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2DE88CAB-80C2-48E2-8CF4-B37FE97BDFA4}" xr6:coauthVersionLast="47" xr6:coauthVersionMax="47" xr10:uidLastSave="{00000000-0000-0000-0000-000000000000}"/>
  <bookViews>
    <workbookView xWindow="-120" yWindow="-120" windowWidth="29040" windowHeight="15840" xr2:uid="{6F5420F1-6BF2-40A8-AFCA-D6DC9F93C87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773" i="1" l="1"/>
  <c r="AS773" i="1"/>
  <c r="AR773" i="1"/>
  <c r="AT772" i="1"/>
  <c r="AS772" i="1"/>
  <c r="AT771" i="1"/>
  <c r="AS771" i="1"/>
  <c r="AR771" i="1"/>
  <c r="AT770" i="1"/>
  <c r="AS770" i="1"/>
  <c r="AR770" i="1"/>
  <c r="AT769" i="1"/>
  <c r="AS769" i="1"/>
  <c r="AT768" i="1"/>
  <c r="AS768" i="1"/>
  <c r="AR768" i="1"/>
  <c r="AT767" i="1"/>
  <c r="AS767" i="1"/>
  <c r="AR767" i="1"/>
  <c r="AT766" i="1"/>
  <c r="AS766" i="1"/>
  <c r="AR766" i="1"/>
  <c r="AT765" i="1"/>
  <c r="AS765" i="1"/>
  <c r="AR765" i="1"/>
  <c r="AT764" i="1"/>
  <c r="AS764" i="1"/>
  <c r="AR764" i="1"/>
  <c r="AT763" i="1"/>
  <c r="AS763" i="1"/>
  <c r="AT762" i="1"/>
  <c r="AS762" i="1"/>
  <c r="AT761" i="1"/>
  <c r="AS761" i="1"/>
  <c r="AR761" i="1"/>
  <c r="AT760" i="1"/>
  <c r="AS760" i="1"/>
  <c r="AR760" i="1"/>
  <c r="AT759" i="1"/>
  <c r="AS759" i="1"/>
  <c r="AR759" i="1"/>
  <c r="AT758" i="1"/>
  <c r="AS758" i="1"/>
  <c r="AR758" i="1"/>
  <c r="AT757" i="1"/>
  <c r="AS757" i="1"/>
  <c r="AR757" i="1"/>
  <c r="AT756" i="1"/>
  <c r="AS756" i="1"/>
  <c r="AT755" i="1"/>
  <c r="AS755" i="1"/>
  <c r="AT754" i="1"/>
  <c r="AS754" i="1"/>
  <c r="AT753" i="1"/>
  <c r="AS753" i="1"/>
  <c r="AR753" i="1"/>
  <c r="AT752" i="1"/>
  <c r="AS752" i="1"/>
  <c r="AR752" i="1"/>
  <c r="AT751" i="1"/>
  <c r="AS751" i="1"/>
  <c r="AR751" i="1"/>
  <c r="AT750" i="1"/>
  <c r="AS750" i="1"/>
  <c r="AT749" i="1"/>
  <c r="AS749" i="1"/>
  <c r="AT748" i="1"/>
  <c r="AS748" i="1"/>
  <c r="AR748" i="1"/>
  <c r="AT747" i="1"/>
  <c r="AS747" i="1"/>
  <c r="AR747" i="1"/>
  <c r="AT746" i="1"/>
  <c r="AS746" i="1"/>
  <c r="AR746" i="1"/>
  <c r="AT745" i="1"/>
  <c r="AS745" i="1"/>
  <c r="AT744" i="1"/>
  <c r="AS744" i="1"/>
  <c r="AR744" i="1"/>
  <c r="AT743" i="1"/>
  <c r="AS743" i="1"/>
  <c r="AR743" i="1"/>
  <c r="AT742" i="1"/>
  <c r="AS742" i="1"/>
  <c r="AT741" i="1"/>
  <c r="AS741" i="1"/>
  <c r="AT740" i="1"/>
  <c r="AS740" i="1"/>
  <c r="AR740" i="1"/>
  <c r="AT739" i="1"/>
  <c r="AS739" i="1"/>
  <c r="AR739" i="1"/>
  <c r="AT738" i="1"/>
  <c r="AS738" i="1"/>
  <c r="AR738" i="1"/>
  <c r="AT737" i="1"/>
  <c r="AS737" i="1"/>
  <c r="AT736" i="1"/>
  <c r="AS736" i="1"/>
  <c r="AT735" i="1"/>
  <c r="AS735" i="1"/>
  <c r="AR735" i="1"/>
  <c r="AT734" i="1"/>
  <c r="AS734" i="1"/>
  <c r="AR734" i="1"/>
  <c r="AT733" i="1"/>
  <c r="AS733" i="1"/>
  <c r="AT732" i="1"/>
  <c r="AS732" i="1"/>
  <c r="AT731" i="1"/>
  <c r="AS731" i="1"/>
  <c r="AR731" i="1"/>
  <c r="AT730" i="1"/>
  <c r="AS730" i="1"/>
  <c r="AT729" i="1"/>
  <c r="AS729" i="1"/>
  <c r="AT728" i="1"/>
  <c r="AS728" i="1"/>
  <c r="AT727" i="1"/>
  <c r="AS727" i="1"/>
  <c r="AT726" i="1"/>
  <c r="AS726" i="1"/>
  <c r="AT725" i="1"/>
  <c r="AS725" i="1"/>
  <c r="AT724" i="1"/>
  <c r="AS724" i="1"/>
  <c r="AT723" i="1"/>
  <c r="AS723" i="1"/>
  <c r="AR723" i="1"/>
  <c r="AT722" i="1"/>
  <c r="AS722" i="1"/>
  <c r="AT721" i="1"/>
  <c r="AS721" i="1"/>
  <c r="AR721" i="1"/>
  <c r="AT720" i="1"/>
  <c r="AS720" i="1"/>
  <c r="AR720" i="1"/>
  <c r="AT719" i="1"/>
  <c r="AS719" i="1"/>
  <c r="AR719" i="1"/>
  <c r="AT718" i="1"/>
  <c r="AS718" i="1"/>
  <c r="AT717" i="1"/>
  <c r="AS717" i="1"/>
  <c r="AT716" i="1"/>
  <c r="AS716" i="1"/>
  <c r="AR716" i="1"/>
  <c r="AT715" i="1"/>
  <c r="AS715" i="1"/>
  <c r="AT714" i="1"/>
  <c r="AS714" i="1"/>
  <c r="AT713" i="1"/>
  <c r="AS713" i="1"/>
  <c r="AT712" i="1"/>
  <c r="AS712" i="1"/>
  <c r="AT711" i="1"/>
  <c r="AS711" i="1"/>
  <c r="AR711" i="1"/>
  <c r="AT710" i="1"/>
  <c r="AS710" i="1"/>
  <c r="AR710" i="1"/>
  <c r="AT709" i="1"/>
  <c r="AS709" i="1"/>
  <c r="AT708" i="1"/>
  <c r="AS708" i="1"/>
  <c r="AT707" i="1"/>
  <c r="AS707" i="1"/>
  <c r="AR707" i="1"/>
  <c r="AT706" i="1"/>
  <c r="AS706" i="1"/>
  <c r="AR706" i="1"/>
  <c r="AT705" i="1"/>
  <c r="AS705" i="1"/>
  <c r="AR705" i="1"/>
  <c r="AT704" i="1"/>
  <c r="AS704" i="1"/>
  <c r="AT703" i="1"/>
  <c r="AS703" i="1"/>
  <c r="AR703" i="1"/>
  <c r="AT702" i="1"/>
  <c r="AS702" i="1"/>
  <c r="AT701" i="1"/>
  <c r="AS701" i="1"/>
  <c r="AR701" i="1"/>
  <c r="AT700" i="1"/>
  <c r="AS700" i="1"/>
  <c r="AT699" i="1"/>
  <c r="AS699" i="1"/>
  <c r="AR699" i="1"/>
  <c r="AT698" i="1"/>
  <c r="AS698" i="1"/>
  <c r="AR698" i="1"/>
  <c r="AT697" i="1"/>
  <c r="AS697" i="1"/>
  <c r="AT696" i="1"/>
  <c r="AS696" i="1"/>
  <c r="AR696" i="1"/>
  <c r="AT695" i="1"/>
  <c r="AS695" i="1"/>
  <c r="AR695" i="1"/>
  <c r="AT694" i="1"/>
  <c r="AS694" i="1"/>
  <c r="AR694" i="1"/>
  <c r="AT693" i="1"/>
  <c r="AS693" i="1"/>
  <c r="AR693" i="1"/>
  <c r="AT692" i="1"/>
  <c r="AS692" i="1"/>
  <c r="AR692" i="1"/>
  <c r="AT691" i="1"/>
  <c r="AS691" i="1"/>
  <c r="AR691" i="1"/>
  <c r="AT690" i="1"/>
  <c r="AS690" i="1"/>
  <c r="AT689" i="1"/>
  <c r="AS689" i="1"/>
  <c r="AT688" i="1"/>
  <c r="AS688" i="1"/>
  <c r="AR688" i="1"/>
  <c r="AT687" i="1"/>
  <c r="AS687" i="1"/>
  <c r="AT686" i="1"/>
  <c r="AS686" i="1"/>
  <c r="AR686" i="1"/>
  <c r="AT685" i="1"/>
  <c r="AS685" i="1"/>
  <c r="AR685" i="1"/>
  <c r="AT684" i="1"/>
  <c r="AS684" i="1"/>
  <c r="AR684" i="1"/>
  <c r="AT683" i="1"/>
  <c r="AS683" i="1"/>
  <c r="AR683" i="1"/>
  <c r="AT682" i="1"/>
  <c r="AS682" i="1"/>
  <c r="AR682" i="1"/>
  <c r="AT681" i="1"/>
  <c r="AS681" i="1"/>
  <c r="AR681" i="1"/>
  <c r="AT680" i="1"/>
  <c r="AS680" i="1"/>
  <c r="AT679" i="1"/>
  <c r="AS679" i="1"/>
  <c r="AR679" i="1"/>
  <c r="AT678" i="1"/>
  <c r="AS678" i="1"/>
  <c r="AT677" i="1"/>
  <c r="AS677" i="1"/>
  <c r="AR677" i="1"/>
  <c r="AT676" i="1"/>
  <c r="AS676" i="1"/>
  <c r="AR676" i="1"/>
  <c r="AT675" i="1"/>
  <c r="AS675" i="1"/>
  <c r="AR675" i="1"/>
  <c r="AT674" i="1"/>
  <c r="AS674" i="1"/>
  <c r="AT673" i="1"/>
  <c r="AS673" i="1"/>
  <c r="AT672" i="1"/>
  <c r="AS672" i="1"/>
  <c r="AT671" i="1"/>
  <c r="AS671" i="1"/>
  <c r="AT670" i="1"/>
  <c r="AS670" i="1"/>
  <c r="AT669" i="1"/>
  <c r="AS669" i="1"/>
  <c r="AT668" i="1"/>
  <c r="AS668" i="1"/>
  <c r="AR668" i="1"/>
  <c r="AT667" i="1"/>
  <c r="AS667" i="1"/>
  <c r="AR667" i="1"/>
  <c r="AT666" i="1"/>
  <c r="AS666" i="1"/>
  <c r="AR666" i="1"/>
  <c r="AT665" i="1"/>
  <c r="AS665" i="1"/>
  <c r="AR665" i="1"/>
  <c r="AT664" i="1"/>
  <c r="AS664" i="1"/>
  <c r="AR664" i="1"/>
  <c r="AT663" i="1"/>
  <c r="AS663" i="1"/>
  <c r="AR663" i="1"/>
  <c r="AT662" i="1"/>
  <c r="AS662" i="1"/>
  <c r="AR662" i="1"/>
  <c r="AT661" i="1"/>
  <c r="AS661" i="1"/>
  <c r="AR661" i="1"/>
  <c r="AT660" i="1"/>
  <c r="AS660" i="1"/>
  <c r="AR660" i="1"/>
  <c r="AT659" i="1"/>
  <c r="AS659" i="1"/>
  <c r="AR659" i="1"/>
  <c r="AT658" i="1"/>
  <c r="AS658" i="1"/>
  <c r="AT657" i="1"/>
  <c r="AS657" i="1"/>
  <c r="AT656" i="1"/>
  <c r="AS656" i="1"/>
  <c r="AT655" i="1"/>
  <c r="AS655" i="1"/>
  <c r="AR655" i="1"/>
  <c r="AT654" i="1"/>
  <c r="AS654" i="1"/>
  <c r="AR654" i="1"/>
  <c r="AT653" i="1"/>
  <c r="AS653" i="1"/>
  <c r="AT652" i="1"/>
  <c r="AS652" i="1"/>
  <c r="AT651" i="1"/>
  <c r="AS651" i="1"/>
  <c r="AT650" i="1"/>
  <c r="AS650" i="1"/>
  <c r="AT649" i="1"/>
  <c r="AS649" i="1"/>
  <c r="AR649" i="1"/>
  <c r="AT648" i="1"/>
  <c r="AS648" i="1"/>
  <c r="AT647" i="1"/>
  <c r="AS647" i="1"/>
  <c r="AT646" i="1"/>
  <c r="AS646" i="1"/>
  <c r="AR646" i="1"/>
  <c r="AT645" i="1"/>
  <c r="AS645" i="1"/>
  <c r="AR645" i="1"/>
  <c r="AT644" i="1"/>
  <c r="AS644" i="1"/>
  <c r="AR644" i="1"/>
  <c r="AT643" i="1"/>
  <c r="AS643" i="1"/>
  <c r="AR643" i="1"/>
  <c r="AT642" i="1"/>
  <c r="AS642" i="1"/>
  <c r="AR642" i="1"/>
  <c r="AT641" i="1"/>
  <c r="AS641" i="1"/>
  <c r="AR641" i="1"/>
  <c r="AT640" i="1"/>
  <c r="AS640" i="1"/>
  <c r="AT639" i="1"/>
  <c r="AS639" i="1"/>
  <c r="AR639" i="1"/>
  <c r="AT638" i="1"/>
  <c r="AS638" i="1"/>
  <c r="AR638" i="1"/>
  <c r="AT637" i="1"/>
  <c r="AS637" i="1"/>
  <c r="AR637" i="1"/>
  <c r="AT636" i="1"/>
  <c r="AS636" i="1"/>
  <c r="AR636" i="1"/>
  <c r="AT635" i="1"/>
  <c r="AS635" i="1"/>
  <c r="AT634" i="1"/>
  <c r="AS634" i="1"/>
  <c r="AR634" i="1"/>
  <c r="AT633" i="1"/>
  <c r="AS633" i="1"/>
  <c r="AT632" i="1"/>
  <c r="AS632" i="1"/>
  <c r="AT631" i="1"/>
  <c r="AS631" i="1"/>
  <c r="AR631" i="1"/>
  <c r="AT630" i="1"/>
  <c r="AS630" i="1"/>
  <c r="AT629" i="1"/>
  <c r="AS629" i="1"/>
  <c r="AT628" i="1"/>
  <c r="AS628" i="1"/>
  <c r="AT627" i="1"/>
  <c r="AS627" i="1"/>
  <c r="AT626" i="1"/>
  <c r="AS626" i="1"/>
  <c r="AT625" i="1"/>
  <c r="AS625" i="1"/>
  <c r="AR625" i="1"/>
  <c r="AT624" i="1"/>
  <c r="AS624" i="1"/>
  <c r="AR624" i="1"/>
  <c r="AT623" i="1"/>
  <c r="AS623" i="1"/>
  <c r="AR623" i="1"/>
  <c r="AT622" i="1"/>
  <c r="AS622" i="1"/>
  <c r="AR622" i="1"/>
  <c r="AT621" i="1"/>
  <c r="AS621" i="1"/>
  <c r="AR621" i="1"/>
  <c r="AT620" i="1"/>
  <c r="AS620" i="1"/>
  <c r="AR620" i="1"/>
  <c r="AT619" i="1"/>
  <c r="AS619" i="1"/>
  <c r="AR619" i="1"/>
  <c r="AT618" i="1"/>
  <c r="AS618" i="1"/>
  <c r="AR618" i="1"/>
  <c r="AT617" i="1"/>
  <c r="AS617" i="1"/>
  <c r="AR617" i="1"/>
  <c r="AT616" i="1"/>
  <c r="AS616" i="1"/>
  <c r="AR616" i="1"/>
  <c r="AT615" i="1"/>
  <c r="AS615" i="1"/>
  <c r="AR615" i="1"/>
  <c r="AT614" i="1"/>
  <c r="AS614" i="1"/>
  <c r="AR614" i="1"/>
  <c r="AT613" i="1"/>
  <c r="AS613" i="1"/>
  <c r="AR613" i="1"/>
  <c r="AT612" i="1"/>
  <c r="AS612" i="1"/>
  <c r="AR612" i="1"/>
  <c r="AT611" i="1"/>
  <c r="AS611" i="1"/>
  <c r="AR611" i="1"/>
  <c r="AT610" i="1"/>
  <c r="AS610" i="1"/>
  <c r="AT609" i="1"/>
  <c r="AS609" i="1"/>
  <c r="AR609" i="1"/>
  <c r="AT608" i="1"/>
  <c r="AS608" i="1"/>
  <c r="AR608" i="1"/>
  <c r="AT607" i="1"/>
  <c r="AS607" i="1"/>
  <c r="AR607" i="1"/>
  <c r="AT606" i="1"/>
  <c r="AS606" i="1"/>
  <c r="AR606" i="1"/>
  <c r="AT605" i="1"/>
  <c r="AS605" i="1"/>
  <c r="AT604" i="1"/>
  <c r="AS604" i="1"/>
  <c r="AR604" i="1"/>
  <c r="AT603" i="1"/>
  <c r="AS603" i="1"/>
  <c r="AR603" i="1"/>
  <c r="AT602" i="1"/>
  <c r="AS602" i="1"/>
  <c r="AR602" i="1"/>
  <c r="AT601" i="1"/>
  <c r="AS601" i="1"/>
  <c r="AR601" i="1"/>
  <c r="AT600" i="1"/>
  <c r="AS600" i="1"/>
  <c r="AR600" i="1"/>
  <c r="AT599" i="1"/>
  <c r="AS599" i="1"/>
  <c r="AR599" i="1"/>
  <c r="AT598" i="1"/>
  <c r="AS598" i="1"/>
  <c r="AR598" i="1"/>
  <c r="AT597" i="1"/>
  <c r="AS597" i="1"/>
  <c r="AR597" i="1"/>
  <c r="AT596" i="1"/>
  <c r="AS596" i="1"/>
  <c r="AR596" i="1"/>
  <c r="AT595" i="1"/>
  <c r="AS595" i="1"/>
  <c r="AT594" i="1"/>
  <c r="AS594" i="1"/>
  <c r="AR594" i="1"/>
  <c r="AT593" i="1"/>
  <c r="AS593" i="1"/>
  <c r="AT592" i="1"/>
  <c r="AS592" i="1"/>
  <c r="AR592" i="1"/>
  <c r="AT591" i="1"/>
  <c r="AS591" i="1"/>
  <c r="AR591" i="1"/>
  <c r="AT590" i="1"/>
  <c r="AS590" i="1"/>
  <c r="AR590" i="1"/>
  <c r="AT589" i="1"/>
  <c r="AS589" i="1"/>
  <c r="AT588" i="1"/>
  <c r="AS588" i="1"/>
  <c r="AR588" i="1"/>
  <c r="AT587" i="1"/>
  <c r="AS587" i="1"/>
  <c r="AT586" i="1"/>
  <c r="AS586" i="1"/>
  <c r="AT585" i="1"/>
  <c r="AS585" i="1"/>
  <c r="AR585" i="1"/>
  <c r="AT584" i="1"/>
  <c r="AS584" i="1"/>
  <c r="AT583" i="1"/>
  <c r="AS583" i="1"/>
  <c r="AT582" i="1"/>
  <c r="AS582" i="1"/>
  <c r="AT581" i="1"/>
  <c r="AS581" i="1"/>
  <c r="AT580" i="1"/>
  <c r="AS580" i="1"/>
  <c r="AR580" i="1"/>
  <c r="AT579" i="1"/>
  <c r="AS579" i="1"/>
  <c r="AR579" i="1"/>
  <c r="AT578" i="1"/>
  <c r="AS578" i="1"/>
  <c r="AR578" i="1"/>
  <c r="AT577" i="1"/>
  <c r="AS577" i="1"/>
  <c r="AR577" i="1"/>
  <c r="AT576" i="1"/>
  <c r="AS576" i="1"/>
  <c r="AR576" i="1"/>
  <c r="AT575" i="1"/>
  <c r="AS575" i="1"/>
  <c r="AT574" i="1"/>
  <c r="AS574" i="1"/>
  <c r="AT573" i="1"/>
  <c r="AS573" i="1"/>
  <c r="AT572" i="1"/>
  <c r="AS572" i="1"/>
  <c r="AT571" i="1"/>
  <c r="AS571" i="1"/>
  <c r="AR571" i="1"/>
  <c r="AT570" i="1"/>
  <c r="AS570" i="1"/>
  <c r="AR570" i="1"/>
  <c r="AT569" i="1"/>
  <c r="AS569" i="1"/>
  <c r="AT568" i="1"/>
  <c r="AS568" i="1"/>
  <c r="AT567" i="1"/>
  <c r="AS567" i="1"/>
  <c r="AT566" i="1"/>
  <c r="AS566" i="1"/>
  <c r="AT565" i="1"/>
  <c r="AS565" i="1"/>
  <c r="AT564" i="1"/>
  <c r="AS564" i="1"/>
  <c r="AR564" i="1"/>
  <c r="AT563" i="1"/>
  <c r="AS563" i="1"/>
  <c r="AR563" i="1"/>
  <c r="AT562" i="1"/>
  <c r="AS562" i="1"/>
  <c r="AR562" i="1"/>
  <c r="AT561" i="1"/>
  <c r="AS561" i="1"/>
  <c r="AR561" i="1"/>
  <c r="AT560" i="1"/>
  <c r="AS560" i="1"/>
  <c r="AR560" i="1"/>
  <c r="AT559" i="1"/>
  <c r="AS559" i="1"/>
  <c r="AR559" i="1"/>
  <c r="AT558" i="1"/>
  <c r="AS558" i="1"/>
  <c r="AT557" i="1"/>
  <c r="AS557" i="1"/>
  <c r="AR557" i="1"/>
  <c r="AT556" i="1"/>
  <c r="AS556" i="1"/>
  <c r="AR556" i="1"/>
  <c r="AT555" i="1"/>
  <c r="AS555" i="1"/>
  <c r="AT554" i="1"/>
  <c r="AS554" i="1"/>
  <c r="AR554" i="1"/>
  <c r="AT553" i="1"/>
  <c r="AS553" i="1"/>
  <c r="AT552" i="1"/>
  <c r="AS552" i="1"/>
  <c r="AR552" i="1"/>
  <c r="AT551" i="1"/>
  <c r="AS551" i="1"/>
  <c r="AR551" i="1"/>
  <c r="AT550" i="1"/>
  <c r="AS550" i="1"/>
  <c r="AT549" i="1"/>
  <c r="AS549" i="1"/>
  <c r="AT548" i="1"/>
  <c r="AS548" i="1"/>
  <c r="AR548" i="1"/>
  <c r="AT547" i="1"/>
  <c r="AS547" i="1"/>
  <c r="AT546" i="1"/>
  <c r="AS546" i="1"/>
  <c r="AT545" i="1"/>
  <c r="AS545" i="1"/>
  <c r="AR545" i="1"/>
  <c r="AT544" i="1"/>
  <c r="AS544" i="1"/>
  <c r="AR544" i="1"/>
  <c r="AT543" i="1"/>
  <c r="AS543" i="1"/>
  <c r="AR543" i="1"/>
  <c r="AT542" i="1"/>
  <c r="AS542" i="1"/>
  <c r="AT541" i="1"/>
  <c r="AS541" i="1"/>
  <c r="AT540" i="1"/>
  <c r="AS540" i="1"/>
  <c r="AR540" i="1"/>
  <c r="AT539" i="1"/>
  <c r="AS539" i="1"/>
  <c r="AT538" i="1"/>
  <c r="AS538" i="1"/>
  <c r="AR538" i="1"/>
  <c r="AT537" i="1"/>
  <c r="AS537" i="1"/>
  <c r="AR537" i="1"/>
  <c r="AT536" i="1"/>
  <c r="AS536" i="1"/>
  <c r="AR536" i="1"/>
  <c r="AT535" i="1"/>
  <c r="AS535" i="1"/>
  <c r="AR535" i="1"/>
  <c r="AT534" i="1"/>
  <c r="AS534" i="1"/>
  <c r="AR534" i="1"/>
  <c r="AT533" i="1"/>
  <c r="AS533" i="1"/>
  <c r="AT532" i="1"/>
  <c r="AS532" i="1"/>
  <c r="AT531" i="1"/>
  <c r="AS531" i="1"/>
  <c r="AR531" i="1"/>
  <c r="AT530" i="1"/>
  <c r="AS530" i="1"/>
  <c r="AT529" i="1"/>
  <c r="AS529" i="1"/>
  <c r="AR529" i="1"/>
  <c r="AT528" i="1"/>
  <c r="AS528" i="1"/>
  <c r="AR528" i="1"/>
  <c r="AT527" i="1"/>
  <c r="AS527" i="1"/>
  <c r="AR527" i="1"/>
  <c r="AT526" i="1"/>
  <c r="AS526" i="1"/>
  <c r="AR526" i="1"/>
  <c r="AT525" i="1"/>
  <c r="AS525" i="1"/>
  <c r="AT524" i="1"/>
  <c r="AS524" i="1"/>
  <c r="AT523" i="1"/>
  <c r="AS523" i="1"/>
  <c r="AT522" i="1"/>
  <c r="AS522" i="1"/>
  <c r="AT521" i="1"/>
  <c r="AS521" i="1"/>
  <c r="AR521" i="1"/>
  <c r="AT520" i="1"/>
  <c r="AS520" i="1"/>
  <c r="AR520" i="1"/>
  <c r="AT519" i="1"/>
  <c r="AS519" i="1"/>
  <c r="AT518" i="1"/>
  <c r="AS518" i="1"/>
  <c r="AT517" i="1"/>
  <c r="AS517" i="1"/>
  <c r="AT516" i="1"/>
  <c r="AS516" i="1"/>
  <c r="AT515" i="1"/>
  <c r="AS515" i="1"/>
  <c r="AT514" i="1"/>
  <c r="AS514" i="1"/>
  <c r="AR514" i="1"/>
  <c r="AT513" i="1"/>
  <c r="AS513" i="1"/>
  <c r="AR513" i="1"/>
  <c r="AT512" i="1"/>
  <c r="AS512" i="1"/>
  <c r="AT511" i="1"/>
  <c r="AS511" i="1"/>
  <c r="AT510" i="1"/>
  <c r="AS510" i="1"/>
  <c r="AT509" i="1"/>
  <c r="AS509" i="1"/>
  <c r="AT508" i="1"/>
  <c r="AS508" i="1"/>
  <c r="AT507" i="1"/>
  <c r="AS507" i="1"/>
  <c r="AT506" i="1"/>
  <c r="AS506" i="1"/>
  <c r="AT505" i="1"/>
  <c r="AS505" i="1"/>
  <c r="AR505" i="1"/>
  <c r="AT504" i="1"/>
  <c r="AS504" i="1"/>
  <c r="AR504" i="1"/>
  <c r="AT503" i="1"/>
  <c r="AS503" i="1"/>
  <c r="AT502" i="1"/>
  <c r="AS502" i="1"/>
  <c r="AT501" i="1"/>
  <c r="AS501" i="1"/>
  <c r="AR501" i="1"/>
  <c r="AT500" i="1"/>
  <c r="AS500" i="1"/>
  <c r="AR500" i="1"/>
  <c r="AT499" i="1"/>
  <c r="AS499" i="1"/>
  <c r="AR499" i="1"/>
  <c r="AT498" i="1"/>
  <c r="AS498" i="1"/>
  <c r="AT497" i="1"/>
  <c r="AS497" i="1"/>
  <c r="AT496" i="1"/>
  <c r="AS496" i="1"/>
  <c r="AR496" i="1"/>
  <c r="AT495" i="1"/>
  <c r="AS495" i="1"/>
  <c r="AT494" i="1"/>
  <c r="AS494" i="1"/>
  <c r="AR494" i="1"/>
  <c r="AT493" i="1"/>
  <c r="AS493" i="1"/>
  <c r="AT492" i="1"/>
  <c r="AS492" i="1"/>
  <c r="AR492" i="1"/>
  <c r="AT491" i="1"/>
  <c r="AS491" i="1"/>
  <c r="AR491" i="1"/>
  <c r="AT490" i="1"/>
  <c r="AS490" i="1"/>
  <c r="AR490" i="1"/>
  <c r="AT489" i="1"/>
  <c r="AS489" i="1"/>
  <c r="AT488" i="1"/>
  <c r="AS488" i="1"/>
  <c r="AT487" i="1"/>
  <c r="AS487" i="1"/>
  <c r="AR487" i="1"/>
  <c r="AT486" i="1"/>
  <c r="AS486" i="1"/>
  <c r="AT485" i="1"/>
  <c r="AS485" i="1"/>
  <c r="AR485" i="1"/>
  <c r="AT484" i="1"/>
  <c r="AS484" i="1"/>
  <c r="AR484" i="1"/>
  <c r="AT483" i="1"/>
  <c r="AS483" i="1"/>
  <c r="AR483" i="1"/>
  <c r="AT482" i="1"/>
  <c r="AS482" i="1"/>
  <c r="AR482" i="1"/>
  <c r="AT481" i="1"/>
  <c r="AS481" i="1"/>
  <c r="AR481" i="1"/>
  <c r="AT480" i="1"/>
  <c r="AS480" i="1"/>
  <c r="AR480" i="1"/>
  <c r="AT479" i="1"/>
  <c r="AS479" i="1"/>
  <c r="AR479" i="1"/>
  <c r="AT478" i="1"/>
  <c r="AS478" i="1"/>
  <c r="AR478" i="1"/>
  <c r="AT477" i="1"/>
  <c r="AS477" i="1"/>
  <c r="AR477" i="1"/>
  <c r="AT476" i="1"/>
  <c r="AS476" i="1"/>
  <c r="AR476" i="1"/>
  <c r="AT475" i="1"/>
  <c r="AS475" i="1"/>
  <c r="AT474" i="1"/>
  <c r="AS474" i="1"/>
  <c r="AR474" i="1"/>
  <c r="AT473" i="1"/>
  <c r="AS473" i="1"/>
  <c r="AR473" i="1"/>
  <c r="AT472" i="1"/>
  <c r="AS472" i="1"/>
  <c r="AT471" i="1"/>
  <c r="AS471" i="1"/>
  <c r="AT470" i="1"/>
  <c r="AS470" i="1"/>
  <c r="AR470" i="1"/>
  <c r="AT469" i="1"/>
  <c r="AS469" i="1"/>
  <c r="AR469" i="1"/>
  <c r="AT468" i="1"/>
  <c r="AS468" i="1"/>
  <c r="AR468" i="1"/>
  <c r="AT467" i="1"/>
  <c r="AS467" i="1"/>
  <c r="AT466" i="1"/>
  <c r="AS466" i="1"/>
  <c r="AT465" i="1"/>
  <c r="AS465" i="1"/>
  <c r="AT464" i="1"/>
  <c r="AS464" i="1"/>
  <c r="AT463" i="1"/>
  <c r="AS463" i="1"/>
  <c r="AT462" i="1"/>
  <c r="AS462" i="1"/>
  <c r="AR462" i="1"/>
  <c r="AT461" i="1"/>
  <c r="AS461" i="1"/>
  <c r="AR461" i="1"/>
  <c r="AT460" i="1"/>
  <c r="AS460" i="1"/>
  <c r="AT459" i="1"/>
  <c r="AS459" i="1"/>
  <c r="AT458" i="1"/>
  <c r="AS458" i="1"/>
  <c r="AT457" i="1"/>
  <c r="AS457" i="1"/>
  <c r="AT456" i="1"/>
  <c r="AS456" i="1"/>
  <c r="AR456" i="1"/>
  <c r="AT455" i="1"/>
  <c r="AS455" i="1"/>
  <c r="AR455" i="1"/>
  <c r="AT454" i="1"/>
  <c r="AS454" i="1"/>
  <c r="AT453" i="1"/>
  <c r="AS453" i="1"/>
  <c r="AR453" i="1"/>
  <c r="AT452" i="1"/>
  <c r="AS452" i="1"/>
  <c r="AR452" i="1"/>
  <c r="AT451" i="1"/>
  <c r="AS451" i="1"/>
  <c r="AT450" i="1"/>
  <c r="AS450" i="1"/>
  <c r="AT449" i="1"/>
  <c r="AS449" i="1"/>
  <c r="AR449" i="1"/>
  <c r="AT448" i="1"/>
  <c r="AS448" i="1"/>
  <c r="AR448" i="1"/>
  <c r="AT447" i="1"/>
  <c r="AS447" i="1"/>
  <c r="AR447" i="1"/>
  <c r="AT446" i="1"/>
  <c r="AS446" i="1"/>
  <c r="AT445" i="1"/>
  <c r="AS445" i="1"/>
  <c r="AR445" i="1"/>
  <c r="AT444" i="1"/>
  <c r="AS444" i="1"/>
  <c r="AT443" i="1"/>
  <c r="AS443" i="1"/>
  <c r="AT442" i="1"/>
  <c r="AS442" i="1"/>
  <c r="AR442" i="1"/>
  <c r="AT441" i="1"/>
  <c r="AS441" i="1"/>
  <c r="AR441" i="1"/>
  <c r="AT440" i="1"/>
  <c r="AS440" i="1"/>
  <c r="AR440" i="1"/>
  <c r="AT439" i="1"/>
  <c r="AS439" i="1"/>
  <c r="AR439" i="1"/>
  <c r="AT438" i="1"/>
  <c r="AS438" i="1"/>
  <c r="AT437" i="1"/>
  <c r="AS437" i="1"/>
  <c r="AT436" i="1"/>
  <c r="AS436" i="1"/>
  <c r="AR436" i="1"/>
  <c r="AT435" i="1"/>
  <c r="AS435" i="1"/>
  <c r="AT434" i="1"/>
  <c r="AS434" i="1"/>
  <c r="AT433" i="1"/>
  <c r="AS433" i="1"/>
  <c r="AR433" i="1"/>
  <c r="AT432" i="1"/>
  <c r="AS432" i="1"/>
  <c r="AR432" i="1"/>
  <c r="AT431" i="1"/>
  <c r="AS431" i="1"/>
  <c r="AR431" i="1"/>
  <c r="AT430" i="1"/>
  <c r="AS430" i="1"/>
  <c r="AR430" i="1"/>
  <c r="AT429" i="1"/>
  <c r="AS429" i="1"/>
  <c r="AR429" i="1"/>
  <c r="AT428" i="1"/>
  <c r="AS428" i="1"/>
  <c r="AR428" i="1"/>
  <c r="AT427" i="1"/>
  <c r="AS427" i="1"/>
  <c r="AT426" i="1"/>
  <c r="AS426" i="1"/>
  <c r="AR426" i="1"/>
  <c r="AT425" i="1"/>
  <c r="AS425" i="1"/>
  <c r="AT424" i="1"/>
  <c r="AS424" i="1"/>
  <c r="AT423" i="1"/>
  <c r="AS423" i="1"/>
  <c r="AR423" i="1"/>
  <c r="AT422" i="1"/>
  <c r="AS422" i="1"/>
  <c r="AR422" i="1"/>
  <c r="AT421" i="1"/>
  <c r="AS421" i="1"/>
  <c r="AR421" i="1"/>
  <c r="AT420" i="1"/>
  <c r="AS420" i="1"/>
  <c r="AR420" i="1"/>
  <c r="AT419" i="1"/>
  <c r="AS419" i="1"/>
  <c r="AR419" i="1"/>
  <c r="AT418" i="1"/>
  <c r="AS418" i="1"/>
  <c r="AT417" i="1"/>
  <c r="AS417" i="1"/>
  <c r="AR417" i="1"/>
  <c r="AT416" i="1"/>
  <c r="AS416" i="1"/>
  <c r="AT415" i="1"/>
  <c r="AS415" i="1"/>
  <c r="AT414" i="1"/>
  <c r="AS414" i="1"/>
  <c r="AT413" i="1"/>
  <c r="AS413" i="1"/>
  <c r="AR413" i="1"/>
  <c r="AT412" i="1"/>
  <c r="AS412" i="1"/>
  <c r="AR412" i="1"/>
  <c r="AT411" i="1"/>
  <c r="AS411" i="1"/>
  <c r="AT410" i="1"/>
  <c r="AS410" i="1"/>
  <c r="AT409" i="1"/>
  <c r="AS409" i="1"/>
  <c r="AR409" i="1"/>
  <c r="AT408" i="1"/>
  <c r="AS408" i="1"/>
  <c r="AR408" i="1"/>
  <c r="AT407" i="1"/>
  <c r="AS407" i="1"/>
  <c r="AT406" i="1"/>
  <c r="AS406" i="1"/>
  <c r="AR406" i="1"/>
  <c r="AT405" i="1"/>
  <c r="AS405" i="1"/>
  <c r="AR405" i="1"/>
  <c r="AT404" i="1"/>
  <c r="AS404" i="1"/>
  <c r="AT403" i="1"/>
  <c r="AS403" i="1"/>
  <c r="AT402" i="1"/>
  <c r="AS402" i="1"/>
  <c r="AR402" i="1"/>
  <c r="AT401" i="1"/>
  <c r="AS401" i="1"/>
  <c r="AR401" i="1"/>
  <c r="AT400" i="1"/>
  <c r="AS400" i="1"/>
  <c r="AR400" i="1"/>
  <c r="AT399" i="1"/>
  <c r="AS399" i="1"/>
  <c r="AR399" i="1"/>
  <c r="AT398" i="1"/>
  <c r="AS398" i="1"/>
  <c r="AR398" i="1"/>
  <c r="AT397" i="1"/>
  <c r="AS397" i="1"/>
  <c r="AT396" i="1"/>
  <c r="AS396" i="1"/>
  <c r="AR396" i="1"/>
  <c r="AT395" i="1"/>
  <c r="AS395" i="1"/>
  <c r="AR395" i="1"/>
  <c r="AT394" i="1"/>
  <c r="AS394" i="1"/>
  <c r="AT393" i="1"/>
  <c r="AS393" i="1"/>
  <c r="AR393" i="1"/>
  <c r="AT392" i="1"/>
  <c r="AS392" i="1"/>
  <c r="AR392" i="1"/>
  <c r="AT391" i="1"/>
  <c r="AS391" i="1"/>
  <c r="AR391" i="1"/>
  <c r="AT390" i="1"/>
  <c r="AS390" i="1"/>
  <c r="AR390" i="1"/>
  <c r="AT389" i="1"/>
  <c r="AS389" i="1"/>
  <c r="AR389" i="1"/>
  <c r="AT388" i="1"/>
  <c r="AS388" i="1"/>
  <c r="AR388" i="1"/>
  <c r="AT387" i="1"/>
  <c r="AS387" i="1"/>
  <c r="AR387" i="1"/>
  <c r="AT386" i="1"/>
  <c r="AS386" i="1"/>
  <c r="AR386" i="1"/>
  <c r="AT385" i="1"/>
  <c r="AS385" i="1"/>
  <c r="AR385" i="1"/>
  <c r="AT384" i="1"/>
  <c r="AS384" i="1"/>
  <c r="AT383" i="1"/>
  <c r="AS383" i="1"/>
  <c r="AR383" i="1"/>
  <c r="AT382" i="1"/>
  <c r="AS382" i="1"/>
  <c r="AT381" i="1"/>
  <c r="AS381" i="1"/>
  <c r="AR381" i="1"/>
  <c r="AT380" i="1"/>
  <c r="AS380" i="1"/>
  <c r="AR380" i="1"/>
  <c r="AT379" i="1"/>
  <c r="AS379" i="1"/>
  <c r="AR379" i="1"/>
  <c r="AT378" i="1"/>
  <c r="AS378" i="1"/>
  <c r="AR378" i="1"/>
  <c r="AT377" i="1"/>
  <c r="AS377" i="1"/>
  <c r="AR377" i="1"/>
  <c r="AT376" i="1"/>
  <c r="AS376" i="1"/>
  <c r="AR376" i="1"/>
  <c r="AT375" i="1"/>
  <c r="AS375" i="1"/>
  <c r="AR375" i="1"/>
  <c r="AT374" i="1"/>
  <c r="AS374" i="1"/>
  <c r="AR374" i="1"/>
  <c r="AT373" i="1"/>
  <c r="AS373" i="1"/>
  <c r="AT372" i="1"/>
  <c r="AS372" i="1"/>
  <c r="AT371" i="1"/>
  <c r="AS371" i="1"/>
  <c r="AT370" i="1"/>
  <c r="AS370" i="1"/>
  <c r="AR370" i="1"/>
  <c r="AT369" i="1"/>
  <c r="AS369" i="1"/>
  <c r="AT368" i="1"/>
  <c r="AS368" i="1"/>
  <c r="AR368" i="1"/>
  <c r="AT367" i="1"/>
  <c r="AS367" i="1"/>
  <c r="AR367" i="1"/>
  <c r="AT366" i="1"/>
  <c r="AS366" i="1"/>
  <c r="AR366" i="1"/>
  <c r="AT365" i="1"/>
  <c r="AS365" i="1"/>
  <c r="AR365" i="1"/>
  <c r="AT364" i="1"/>
  <c r="AS364" i="1"/>
  <c r="AR364" i="1"/>
  <c r="AT363" i="1"/>
  <c r="AS363" i="1"/>
  <c r="AR363" i="1"/>
  <c r="AT362" i="1"/>
  <c r="AS362" i="1"/>
  <c r="AR362" i="1"/>
  <c r="AT361" i="1"/>
  <c r="AS361" i="1"/>
  <c r="AT360" i="1"/>
  <c r="AS360" i="1"/>
  <c r="AR360" i="1"/>
  <c r="AT359" i="1"/>
  <c r="AS359" i="1"/>
  <c r="AR359" i="1"/>
  <c r="AT358" i="1"/>
  <c r="AS358" i="1"/>
  <c r="AT357" i="1"/>
  <c r="AS357" i="1"/>
  <c r="AT356" i="1"/>
  <c r="AS356" i="1"/>
  <c r="AR356" i="1"/>
  <c r="AT355" i="1"/>
  <c r="AS355" i="1"/>
  <c r="AR355" i="1"/>
  <c r="AT354" i="1"/>
  <c r="AS354" i="1"/>
  <c r="AR354" i="1"/>
  <c r="AT353" i="1"/>
  <c r="AS353" i="1"/>
  <c r="AT352" i="1"/>
  <c r="AS352" i="1"/>
  <c r="AT351" i="1"/>
  <c r="AS351" i="1"/>
  <c r="AR351" i="1"/>
  <c r="AT350" i="1"/>
  <c r="AS350" i="1"/>
  <c r="AR350" i="1"/>
  <c r="AT349" i="1"/>
  <c r="AS349" i="1"/>
  <c r="AR349" i="1"/>
  <c r="AT348" i="1"/>
  <c r="AS348" i="1"/>
  <c r="AR348" i="1"/>
  <c r="AT347" i="1"/>
  <c r="AS347" i="1"/>
  <c r="AR347" i="1"/>
  <c r="AT346" i="1"/>
  <c r="AS346" i="1"/>
  <c r="AR346" i="1"/>
  <c r="AT345" i="1"/>
  <c r="AS345" i="1"/>
  <c r="AR345" i="1"/>
  <c r="AT344" i="1"/>
  <c r="AS344" i="1"/>
  <c r="AT343" i="1"/>
  <c r="AS343" i="1"/>
  <c r="AR343" i="1"/>
  <c r="AT342" i="1"/>
  <c r="AS342" i="1"/>
  <c r="AT341" i="1"/>
  <c r="AS341" i="1"/>
  <c r="AR341" i="1"/>
  <c r="AT340" i="1"/>
  <c r="AS340" i="1"/>
  <c r="AR340" i="1"/>
  <c r="AT339" i="1"/>
  <c r="AS339" i="1"/>
  <c r="AR339" i="1"/>
  <c r="AT338" i="1"/>
  <c r="AS338" i="1"/>
  <c r="AT337" i="1"/>
  <c r="AS337" i="1"/>
  <c r="AR337" i="1"/>
  <c r="AT336" i="1"/>
  <c r="AS336" i="1"/>
  <c r="AR336" i="1"/>
  <c r="AT335" i="1"/>
  <c r="AS335" i="1"/>
  <c r="AT334" i="1"/>
  <c r="AS334" i="1"/>
  <c r="AR334" i="1"/>
  <c r="AT333" i="1"/>
  <c r="AS333" i="1"/>
  <c r="AR333" i="1"/>
  <c r="AT332" i="1"/>
  <c r="AS332" i="1"/>
  <c r="AR332" i="1"/>
  <c r="AT331" i="1"/>
  <c r="AS331" i="1"/>
  <c r="AT330" i="1"/>
  <c r="AS330" i="1"/>
  <c r="AT329" i="1"/>
  <c r="AS329" i="1"/>
  <c r="AR329" i="1"/>
  <c r="AT328" i="1"/>
  <c r="AS328" i="1"/>
  <c r="AT327" i="1"/>
  <c r="AS327" i="1"/>
  <c r="AR327" i="1"/>
  <c r="AT326" i="1"/>
  <c r="AS326" i="1"/>
  <c r="AT325" i="1"/>
  <c r="AS325" i="1"/>
  <c r="AR325" i="1"/>
  <c r="AT324" i="1"/>
  <c r="AS324" i="1"/>
  <c r="AR324" i="1"/>
  <c r="AT323" i="1"/>
  <c r="AS323" i="1"/>
  <c r="AR323" i="1"/>
  <c r="AT322" i="1"/>
  <c r="AS322" i="1"/>
  <c r="AT321" i="1"/>
  <c r="AS321" i="1"/>
  <c r="AR321" i="1"/>
  <c r="AT320" i="1"/>
  <c r="AS320" i="1"/>
  <c r="AR320" i="1"/>
  <c r="AT319" i="1"/>
  <c r="AS319" i="1"/>
  <c r="AR319" i="1"/>
  <c r="AT318" i="1"/>
  <c r="AS318" i="1"/>
  <c r="AR318" i="1"/>
  <c r="AT317" i="1"/>
  <c r="AS317" i="1"/>
  <c r="AR317" i="1"/>
  <c r="AT316" i="1"/>
  <c r="AS316" i="1"/>
  <c r="AT315" i="1"/>
  <c r="AS315" i="1"/>
  <c r="AR315" i="1"/>
  <c r="AT314" i="1"/>
  <c r="AS314" i="1"/>
  <c r="AT313" i="1"/>
  <c r="AS313" i="1"/>
  <c r="AR313" i="1"/>
  <c r="AT312" i="1"/>
  <c r="AS312" i="1"/>
  <c r="AR312" i="1"/>
  <c r="AT311" i="1"/>
  <c r="AS311" i="1"/>
  <c r="AT310" i="1"/>
  <c r="AS310" i="1"/>
  <c r="AT309" i="1"/>
  <c r="AS309" i="1"/>
  <c r="AR309" i="1"/>
  <c r="AT308" i="1"/>
  <c r="AS308" i="1"/>
  <c r="AT307" i="1"/>
  <c r="AS307" i="1"/>
  <c r="AR307" i="1"/>
  <c r="AT306" i="1"/>
  <c r="AS306" i="1"/>
  <c r="AT305" i="1"/>
  <c r="AS305" i="1"/>
  <c r="AR305" i="1"/>
  <c r="AT304" i="1"/>
  <c r="AS304" i="1"/>
  <c r="AR304" i="1"/>
  <c r="AT303" i="1"/>
  <c r="AS303" i="1"/>
  <c r="AR303" i="1"/>
  <c r="AT302" i="1"/>
  <c r="AS302" i="1"/>
  <c r="AR302" i="1"/>
  <c r="AT301" i="1"/>
  <c r="AS301" i="1"/>
  <c r="AR301" i="1"/>
  <c r="AT300" i="1"/>
  <c r="AS300" i="1"/>
  <c r="AR300" i="1"/>
  <c r="AT299" i="1"/>
  <c r="AS299" i="1"/>
  <c r="AR299" i="1"/>
  <c r="AT298" i="1"/>
  <c r="AS298" i="1"/>
  <c r="AR298" i="1"/>
  <c r="AT297" i="1"/>
  <c r="AS297" i="1"/>
  <c r="AR297" i="1"/>
  <c r="AT296" i="1"/>
  <c r="AS296" i="1"/>
  <c r="AT295" i="1"/>
  <c r="AS295" i="1"/>
  <c r="AR295" i="1"/>
  <c r="AT294" i="1"/>
  <c r="AS294" i="1"/>
  <c r="AR294" i="1"/>
  <c r="AT293" i="1"/>
  <c r="AS293" i="1"/>
  <c r="AR293" i="1"/>
  <c r="AT292" i="1"/>
  <c r="AS292" i="1"/>
  <c r="AR292" i="1"/>
  <c r="AT291" i="1"/>
  <c r="AS291" i="1"/>
  <c r="AT290" i="1"/>
  <c r="AS290" i="1"/>
  <c r="AR290" i="1"/>
  <c r="AT289" i="1"/>
  <c r="AS289" i="1"/>
  <c r="AR289" i="1"/>
  <c r="AT288" i="1"/>
  <c r="AS288" i="1"/>
  <c r="AR288" i="1"/>
  <c r="AT287" i="1"/>
  <c r="AS287" i="1"/>
  <c r="AT286" i="1"/>
  <c r="AS286" i="1"/>
  <c r="AR286" i="1"/>
  <c r="AT285" i="1"/>
  <c r="AS285" i="1"/>
  <c r="AR285" i="1"/>
  <c r="AT284" i="1"/>
  <c r="AS284" i="1"/>
  <c r="AT283" i="1"/>
  <c r="AS283" i="1"/>
  <c r="AR283" i="1"/>
  <c r="AT282" i="1"/>
  <c r="AS282" i="1"/>
  <c r="AR282" i="1"/>
  <c r="AT281" i="1"/>
  <c r="AS281" i="1"/>
  <c r="AR281" i="1"/>
  <c r="AT280" i="1"/>
  <c r="AS280" i="1"/>
  <c r="AT279" i="1"/>
  <c r="AS279" i="1"/>
  <c r="AT278" i="1"/>
  <c r="AS278" i="1"/>
  <c r="AR278" i="1"/>
  <c r="AT277" i="1"/>
  <c r="AS277" i="1"/>
  <c r="AR277" i="1"/>
  <c r="AT276" i="1"/>
  <c r="AS276" i="1"/>
  <c r="AR276" i="1"/>
  <c r="AT275" i="1"/>
  <c r="AS275" i="1"/>
  <c r="AR275" i="1"/>
  <c r="AT274" i="1"/>
  <c r="AS274" i="1"/>
  <c r="AR274" i="1"/>
  <c r="AT273" i="1"/>
  <c r="AS273" i="1"/>
  <c r="AR273" i="1"/>
  <c r="AT272" i="1"/>
  <c r="AS272" i="1"/>
  <c r="AR272" i="1"/>
  <c r="AT271" i="1"/>
  <c r="AS271" i="1"/>
  <c r="AR271" i="1"/>
  <c r="AT270" i="1"/>
  <c r="AS270" i="1"/>
  <c r="AR270" i="1"/>
  <c r="AT269" i="1"/>
  <c r="AS269" i="1"/>
  <c r="AR269" i="1"/>
  <c r="AT268" i="1"/>
  <c r="AS268" i="1"/>
  <c r="AR268" i="1"/>
  <c r="AT267" i="1"/>
  <c r="AS267" i="1"/>
  <c r="AR267" i="1"/>
  <c r="AT266" i="1"/>
  <c r="AS266" i="1"/>
  <c r="AR266" i="1"/>
  <c r="AT265" i="1"/>
  <c r="AS265" i="1"/>
  <c r="AT264" i="1"/>
  <c r="AS264" i="1"/>
  <c r="AR264" i="1"/>
  <c r="AT263" i="1"/>
  <c r="AS263" i="1"/>
  <c r="AT262" i="1"/>
  <c r="AS262" i="1"/>
  <c r="AR262" i="1"/>
  <c r="AT261" i="1"/>
  <c r="AS261" i="1"/>
  <c r="AR261" i="1"/>
  <c r="AT260" i="1"/>
  <c r="AS260" i="1"/>
  <c r="AR260" i="1"/>
  <c r="AT259" i="1"/>
  <c r="AS259" i="1"/>
  <c r="AR259" i="1"/>
  <c r="AT258" i="1"/>
  <c r="AS258" i="1"/>
  <c r="AR258" i="1"/>
  <c r="AT257" i="1"/>
  <c r="AS257" i="1"/>
  <c r="AT256" i="1"/>
  <c r="AS256" i="1"/>
  <c r="AR256" i="1"/>
  <c r="AT255" i="1"/>
  <c r="AS255" i="1"/>
  <c r="AT254" i="1"/>
  <c r="AS254" i="1"/>
  <c r="AT253" i="1"/>
  <c r="AS253" i="1"/>
  <c r="AR253" i="1"/>
  <c r="AT252" i="1"/>
  <c r="AS252" i="1"/>
  <c r="AT251" i="1"/>
  <c r="AS251" i="1"/>
  <c r="AR251" i="1"/>
  <c r="AT250" i="1"/>
  <c r="AS250" i="1"/>
  <c r="AR250" i="1"/>
  <c r="AT249" i="1"/>
  <c r="AS249" i="1"/>
  <c r="AT248" i="1"/>
  <c r="AS248" i="1"/>
  <c r="AT247" i="1"/>
  <c r="AS247" i="1"/>
  <c r="AT246" i="1"/>
  <c r="AS246" i="1"/>
  <c r="AT245" i="1"/>
  <c r="AS245" i="1"/>
  <c r="AR245" i="1"/>
  <c r="AT244" i="1"/>
  <c r="AS244" i="1"/>
  <c r="AR244" i="1"/>
  <c r="AT243" i="1"/>
  <c r="AS243" i="1"/>
  <c r="AR243" i="1"/>
  <c r="AT242" i="1"/>
  <c r="AS242" i="1"/>
  <c r="AR242" i="1"/>
  <c r="AT241" i="1"/>
  <c r="AS241" i="1"/>
  <c r="AR241" i="1"/>
  <c r="AT240" i="1"/>
  <c r="AS240" i="1"/>
  <c r="AR240" i="1"/>
  <c r="AT239" i="1"/>
  <c r="AS239" i="1"/>
  <c r="AR239" i="1"/>
  <c r="AT238" i="1"/>
  <c r="AS238" i="1"/>
  <c r="AR238" i="1"/>
  <c r="AT237" i="1"/>
  <c r="AS237" i="1"/>
  <c r="AR237" i="1"/>
  <c r="AT236" i="1"/>
  <c r="AS236" i="1"/>
  <c r="AR236" i="1"/>
  <c r="AT235" i="1"/>
  <c r="AS235" i="1"/>
  <c r="AR235" i="1"/>
  <c r="AT234" i="1"/>
  <c r="AS234" i="1"/>
  <c r="AR234" i="1"/>
  <c r="AT233" i="1"/>
  <c r="AS233" i="1"/>
  <c r="AR233" i="1"/>
  <c r="AT232" i="1"/>
  <c r="AS232" i="1"/>
  <c r="AR232" i="1"/>
  <c r="AT231" i="1"/>
  <c r="AS231" i="1"/>
  <c r="AR231" i="1"/>
  <c r="AT230" i="1"/>
  <c r="AS230" i="1"/>
  <c r="AR230" i="1"/>
  <c r="AT229" i="1"/>
  <c r="AS229" i="1"/>
  <c r="AR229" i="1"/>
  <c r="AT228" i="1"/>
  <c r="AS228" i="1"/>
  <c r="AR228" i="1"/>
  <c r="AT227" i="1"/>
  <c r="AS227" i="1"/>
  <c r="AT226" i="1"/>
  <c r="AS226" i="1"/>
  <c r="AR226" i="1"/>
  <c r="AT225" i="1"/>
  <c r="AS225" i="1"/>
  <c r="AR225" i="1"/>
  <c r="AT224" i="1"/>
  <c r="AS224" i="1"/>
  <c r="AR224" i="1"/>
  <c r="AT223" i="1"/>
  <c r="AS223" i="1"/>
  <c r="AT222" i="1"/>
  <c r="AS222" i="1"/>
  <c r="AR222" i="1"/>
  <c r="AT221" i="1"/>
  <c r="AS221" i="1"/>
  <c r="AT220" i="1"/>
  <c r="AS220" i="1"/>
  <c r="AT219" i="1"/>
  <c r="AS219" i="1"/>
  <c r="AR219" i="1"/>
  <c r="AT218" i="1"/>
  <c r="AS218" i="1"/>
  <c r="AR218" i="1"/>
  <c r="AT217" i="1"/>
  <c r="AS217" i="1"/>
  <c r="AT216" i="1"/>
  <c r="AS216" i="1"/>
  <c r="AR216" i="1"/>
  <c r="AT215" i="1"/>
  <c r="AS215" i="1"/>
  <c r="AR215" i="1"/>
  <c r="AT214" i="1"/>
  <c r="AS214" i="1"/>
  <c r="AR214" i="1"/>
  <c r="AT213" i="1"/>
  <c r="AS213" i="1"/>
  <c r="AR213" i="1"/>
  <c r="AT212" i="1"/>
  <c r="AS212" i="1"/>
  <c r="AR212" i="1"/>
  <c r="AT211" i="1"/>
  <c r="AS211" i="1"/>
  <c r="AT210" i="1"/>
  <c r="AS210" i="1"/>
  <c r="AR210" i="1"/>
  <c r="AT209" i="1"/>
  <c r="AS209" i="1"/>
  <c r="AT208" i="1"/>
  <c r="AS208" i="1"/>
  <c r="AR208" i="1"/>
  <c r="AT207" i="1"/>
  <c r="AS207" i="1"/>
  <c r="AR207" i="1"/>
  <c r="AT206" i="1"/>
  <c r="AS206" i="1"/>
  <c r="AR206" i="1"/>
  <c r="AT205" i="1"/>
  <c r="AS205" i="1"/>
  <c r="AT204" i="1"/>
  <c r="AS204" i="1"/>
  <c r="AT203" i="1"/>
  <c r="AS203" i="1"/>
  <c r="AT202" i="1"/>
  <c r="AS202" i="1"/>
  <c r="AR202" i="1"/>
  <c r="AT201" i="1"/>
  <c r="AS201" i="1"/>
  <c r="AR201" i="1"/>
  <c r="AT200" i="1"/>
  <c r="AS200" i="1"/>
  <c r="AR200" i="1"/>
  <c r="AT199" i="1"/>
  <c r="AS199" i="1"/>
  <c r="AR199" i="1"/>
  <c r="AT198" i="1"/>
  <c r="AS198" i="1"/>
  <c r="AR198" i="1"/>
  <c r="AT197" i="1"/>
  <c r="AS197" i="1"/>
  <c r="AR197" i="1"/>
  <c r="AT196" i="1"/>
  <c r="AS196" i="1"/>
  <c r="AR196" i="1"/>
  <c r="AT195" i="1"/>
  <c r="AS195" i="1"/>
  <c r="AR195" i="1"/>
  <c r="AT194" i="1"/>
  <c r="AS194" i="1"/>
  <c r="AR194" i="1"/>
  <c r="AT193" i="1"/>
  <c r="AS193" i="1"/>
  <c r="AR193" i="1"/>
  <c r="AT192" i="1"/>
  <c r="AS192" i="1"/>
  <c r="AR192" i="1"/>
  <c r="AT191" i="1"/>
  <c r="AS191" i="1"/>
  <c r="AR191" i="1"/>
  <c r="AT190" i="1"/>
  <c r="AS190" i="1"/>
  <c r="AR190" i="1"/>
  <c r="AT189" i="1"/>
  <c r="AS189" i="1"/>
  <c r="AR189" i="1"/>
  <c r="AT188" i="1"/>
  <c r="AS188" i="1"/>
  <c r="AR188" i="1"/>
  <c r="AT187" i="1"/>
  <c r="AS187" i="1"/>
  <c r="AR187" i="1"/>
  <c r="AT186" i="1"/>
  <c r="AS186" i="1"/>
  <c r="AR186" i="1"/>
  <c r="AT185" i="1"/>
  <c r="AS185" i="1"/>
  <c r="AR185" i="1"/>
  <c r="AT184" i="1"/>
  <c r="AS184" i="1"/>
  <c r="AR184" i="1"/>
  <c r="AT183" i="1"/>
  <c r="AS183" i="1"/>
  <c r="AR183" i="1"/>
  <c r="AT182" i="1"/>
  <c r="AS182" i="1"/>
  <c r="AR182" i="1"/>
  <c r="AT181" i="1"/>
  <c r="AS181" i="1"/>
  <c r="AR181" i="1"/>
  <c r="AT180" i="1"/>
  <c r="AS180" i="1"/>
  <c r="AR180" i="1"/>
  <c r="AT179" i="1"/>
  <c r="AS179" i="1"/>
  <c r="AR179" i="1"/>
  <c r="AT178" i="1"/>
  <c r="AS178" i="1"/>
  <c r="AR178" i="1"/>
  <c r="AT177" i="1"/>
  <c r="AS177" i="1"/>
  <c r="AT176" i="1"/>
  <c r="AS176" i="1"/>
  <c r="AT175" i="1"/>
  <c r="AS175" i="1"/>
  <c r="AT174" i="1"/>
  <c r="AS174" i="1"/>
  <c r="AT173" i="1"/>
  <c r="AS173" i="1"/>
  <c r="AT172" i="1"/>
  <c r="AS172" i="1"/>
  <c r="AT171" i="1"/>
  <c r="AS171" i="1"/>
  <c r="AT170" i="1"/>
  <c r="AS170" i="1"/>
  <c r="AR170" i="1"/>
  <c r="AT169" i="1"/>
  <c r="AS169" i="1"/>
  <c r="AR169" i="1"/>
  <c r="AT168" i="1"/>
  <c r="AS168" i="1"/>
  <c r="AR168" i="1"/>
  <c r="AT167" i="1"/>
  <c r="AS167" i="1"/>
  <c r="AR167" i="1"/>
  <c r="AT166" i="1"/>
  <c r="AS166" i="1"/>
  <c r="AR166" i="1"/>
  <c r="AT165" i="1"/>
  <c r="AS165" i="1"/>
  <c r="AR165" i="1"/>
  <c r="AT164" i="1"/>
  <c r="AS164" i="1"/>
  <c r="AR164" i="1"/>
  <c r="AT163" i="1"/>
  <c r="AS163" i="1"/>
  <c r="AR163" i="1"/>
  <c r="AT162" i="1"/>
  <c r="AS162" i="1"/>
  <c r="AR162" i="1"/>
  <c r="AT161" i="1"/>
  <c r="AS161" i="1"/>
  <c r="AR161" i="1"/>
  <c r="AT160" i="1"/>
  <c r="AS160" i="1"/>
  <c r="AR160" i="1"/>
  <c r="AT159" i="1"/>
  <c r="AS159" i="1"/>
  <c r="AR159" i="1"/>
  <c r="AT158" i="1"/>
  <c r="AS158" i="1"/>
  <c r="AT157" i="1"/>
  <c r="AS157" i="1"/>
  <c r="AR157" i="1"/>
  <c r="AT156" i="1"/>
  <c r="AS156" i="1"/>
  <c r="AR156" i="1"/>
  <c r="AT155" i="1"/>
  <c r="AS155" i="1"/>
  <c r="AT154" i="1"/>
  <c r="AS154" i="1"/>
  <c r="AT153" i="1"/>
  <c r="AS153" i="1"/>
  <c r="AR153" i="1"/>
  <c r="AT152" i="1"/>
  <c r="AS152" i="1"/>
  <c r="AR152" i="1"/>
  <c r="AT151" i="1"/>
  <c r="AS151" i="1"/>
  <c r="AT150" i="1"/>
  <c r="AS150" i="1"/>
  <c r="AR150" i="1"/>
  <c r="AT149" i="1"/>
  <c r="AS149" i="1"/>
  <c r="AT148" i="1"/>
  <c r="AS148" i="1"/>
  <c r="AT147" i="1"/>
  <c r="AS147" i="1"/>
  <c r="AR147" i="1"/>
  <c r="AT146" i="1"/>
  <c r="AS146" i="1"/>
  <c r="AR146" i="1"/>
  <c r="AT145" i="1"/>
  <c r="AS145" i="1"/>
  <c r="AR145" i="1"/>
  <c r="AT144" i="1"/>
  <c r="AS144" i="1"/>
  <c r="AR144" i="1"/>
  <c r="AT143" i="1"/>
  <c r="AS143" i="1"/>
  <c r="AT142" i="1"/>
  <c r="AS142" i="1"/>
  <c r="AR142" i="1"/>
  <c r="AT141" i="1"/>
  <c r="AS141" i="1"/>
  <c r="AR141" i="1"/>
  <c r="AT140" i="1"/>
  <c r="AS140" i="1"/>
  <c r="AR140" i="1"/>
  <c r="AT139" i="1"/>
  <c r="AS139" i="1"/>
  <c r="AR139" i="1"/>
  <c r="AT138" i="1"/>
  <c r="AS138" i="1"/>
  <c r="AT137" i="1"/>
  <c r="AS137" i="1"/>
  <c r="AT136" i="1"/>
  <c r="AS136" i="1"/>
  <c r="AT135" i="1"/>
  <c r="AS135" i="1"/>
  <c r="AT134" i="1"/>
  <c r="AS134" i="1"/>
  <c r="AT133" i="1"/>
  <c r="AS133" i="1"/>
  <c r="AT132" i="1"/>
  <c r="AS132" i="1"/>
  <c r="AR132" i="1"/>
  <c r="AT131" i="1"/>
  <c r="AS131" i="1"/>
  <c r="AR131" i="1"/>
  <c r="AT130" i="1"/>
  <c r="AS130" i="1"/>
  <c r="AR130" i="1"/>
  <c r="AT129" i="1"/>
  <c r="AS129" i="1"/>
  <c r="AT128" i="1"/>
  <c r="AS128" i="1"/>
  <c r="AT127" i="1"/>
  <c r="AS127" i="1"/>
  <c r="AR127" i="1"/>
  <c r="AT126" i="1"/>
  <c r="AS126" i="1"/>
  <c r="AT125" i="1"/>
  <c r="AS125" i="1"/>
  <c r="AT124" i="1"/>
  <c r="AS124" i="1"/>
  <c r="AT123" i="1"/>
  <c r="AS123" i="1"/>
  <c r="AT122" i="1"/>
  <c r="AS122" i="1"/>
  <c r="AR122" i="1"/>
  <c r="AT121" i="1"/>
  <c r="AS121" i="1"/>
  <c r="AT120" i="1"/>
  <c r="AS120" i="1"/>
  <c r="AT119" i="1"/>
  <c r="AS119" i="1"/>
  <c r="AT118" i="1"/>
  <c r="AS118" i="1"/>
  <c r="AT117" i="1"/>
  <c r="AS117" i="1"/>
  <c r="AR117" i="1"/>
  <c r="AT116" i="1"/>
  <c r="AS116" i="1"/>
  <c r="AT115" i="1"/>
  <c r="AS115" i="1"/>
  <c r="AT114" i="1"/>
  <c r="AS114" i="1"/>
  <c r="AR114" i="1"/>
  <c r="AT113" i="1"/>
  <c r="AS113" i="1"/>
  <c r="AR113" i="1"/>
  <c r="AT112" i="1"/>
  <c r="AS112" i="1"/>
  <c r="AR112" i="1"/>
  <c r="AT111" i="1"/>
  <c r="AS111" i="1"/>
  <c r="AT110" i="1"/>
  <c r="AS110" i="1"/>
  <c r="AT109" i="1"/>
  <c r="AS109" i="1"/>
  <c r="AT108" i="1"/>
  <c r="AS108" i="1"/>
  <c r="AT107" i="1"/>
  <c r="AS107" i="1"/>
  <c r="AT106" i="1"/>
  <c r="AS106" i="1"/>
  <c r="AR106" i="1"/>
  <c r="AT105" i="1"/>
  <c r="AS105" i="1"/>
  <c r="AT104" i="1"/>
  <c r="AS104" i="1"/>
  <c r="AR104" i="1"/>
  <c r="AT103" i="1"/>
  <c r="AS103" i="1"/>
  <c r="AR103" i="1"/>
  <c r="AT102" i="1"/>
  <c r="AS102" i="1"/>
  <c r="AR102" i="1"/>
  <c r="AT101" i="1"/>
  <c r="AS101" i="1"/>
  <c r="AT100" i="1"/>
  <c r="AS100" i="1"/>
  <c r="AR100" i="1"/>
  <c r="AT99" i="1"/>
  <c r="AS99" i="1"/>
  <c r="AT98" i="1"/>
  <c r="AS98" i="1"/>
  <c r="AR98" i="1"/>
  <c r="AT97" i="1"/>
  <c r="AS97" i="1"/>
  <c r="AR97" i="1"/>
  <c r="AT96" i="1"/>
  <c r="AS96" i="1"/>
  <c r="AR96" i="1"/>
  <c r="AT95" i="1"/>
  <c r="AS95" i="1"/>
  <c r="AR95" i="1"/>
  <c r="AT94" i="1"/>
  <c r="AS94" i="1"/>
  <c r="AR94" i="1"/>
  <c r="AT93" i="1"/>
  <c r="AS93" i="1"/>
  <c r="AR93" i="1"/>
  <c r="AT92" i="1"/>
  <c r="AS92" i="1"/>
  <c r="AR92" i="1"/>
  <c r="AT91" i="1"/>
  <c r="AS91" i="1"/>
  <c r="AT90" i="1"/>
  <c r="AS90" i="1"/>
  <c r="AR90" i="1"/>
  <c r="AT89" i="1"/>
  <c r="AS89" i="1"/>
  <c r="AR89" i="1"/>
  <c r="AT88" i="1"/>
  <c r="AS88" i="1"/>
  <c r="AT87" i="1"/>
  <c r="AS87" i="1"/>
  <c r="AR87" i="1"/>
  <c r="AT86" i="1"/>
  <c r="AS86" i="1"/>
  <c r="AT85" i="1"/>
  <c r="AS85" i="1"/>
  <c r="AR85" i="1"/>
  <c r="AT84" i="1"/>
  <c r="AS84" i="1"/>
  <c r="AR84" i="1"/>
  <c r="AT83" i="1"/>
  <c r="AS83" i="1"/>
  <c r="AR83" i="1"/>
  <c r="AT82" i="1"/>
  <c r="AS82" i="1"/>
  <c r="AR82" i="1"/>
  <c r="AT81" i="1"/>
  <c r="AS81" i="1"/>
  <c r="AR81" i="1"/>
  <c r="AT80" i="1"/>
  <c r="AS80" i="1"/>
  <c r="AR80" i="1"/>
  <c r="AT79" i="1"/>
  <c r="AS79" i="1"/>
  <c r="AR79" i="1"/>
  <c r="AT78" i="1"/>
  <c r="AS78" i="1"/>
  <c r="AR78" i="1"/>
  <c r="AT77" i="1"/>
  <c r="AS77" i="1"/>
  <c r="AR77" i="1"/>
  <c r="AT76" i="1"/>
  <c r="AS76" i="1"/>
  <c r="AR76" i="1"/>
  <c r="AT75" i="1"/>
  <c r="AS75" i="1"/>
  <c r="AR75" i="1"/>
  <c r="AT74" i="1"/>
  <c r="AS74" i="1"/>
  <c r="AR74" i="1"/>
  <c r="AT73" i="1"/>
  <c r="AS73" i="1"/>
  <c r="AR73" i="1"/>
  <c r="AT72" i="1"/>
  <c r="AS72" i="1"/>
  <c r="AR72" i="1"/>
  <c r="AT71" i="1"/>
  <c r="AS71" i="1"/>
  <c r="AR71" i="1"/>
  <c r="AT70" i="1"/>
  <c r="AS70" i="1"/>
  <c r="AR70" i="1"/>
  <c r="AT69" i="1"/>
  <c r="AS69" i="1"/>
  <c r="AR69" i="1"/>
  <c r="AT68" i="1"/>
  <c r="AS68" i="1"/>
  <c r="AR68" i="1"/>
  <c r="AT67" i="1"/>
  <c r="AS67" i="1"/>
  <c r="AR67" i="1"/>
  <c r="AT66" i="1"/>
  <c r="AS66" i="1"/>
  <c r="AR66" i="1"/>
  <c r="AT65" i="1"/>
  <c r="AS65" i="1"/>
  <c r="AR65" i="1"/>
  <c r="AT64" i="1"/>
  <c r="AS64" i="1"/>
  <c r="AR64" i="1"/>
  <c r="AT63" i="1"/>
  <c r="AS63" i="1"/>
  <c r="AR63" i="1"/>
  <c r="AT62" i="1"/>
  <c r="AS62" i="1"/>
  <c r="AR62" i="1"/>
  <c r="AT61" i="1"/>
  <c r="AS61" i="1"/>
  <c r="AT60" i="1"/>
  <c r="AS60" i="1"/>
  <c r="AT59" i="1"/>
  <c r="AS59" i="1"/>
  <c r="AR59" i="1"/>
  <c r="AT58" i="1"/>
  <c r="AS58" i="1"/>
  <c r="AR58" i="1"/>
  <c r="AT57" i="1"/>
  <c r="AS57" i="1"/>
  <c r="AT56" i="1"/>
  <c r="AS56" i="1"/>
  <c r="AT55" i="1"/>
  <c r="AS55" i="1"/>
  <c r="AR55" i="1"/>
  <c r="AT54" i="1"/>
  <c r="AS54" i="1"/>
  <c r="AR54" i="1"/>
  <c r="AT53" i="1"/>
  <c r="AS53" i="1"/>
  <c r="AR53" i="1"/>
  <c r="AT52" i="1"/>
  <c r="AS52" i="1"/>
  <c r="AR52" i="1"/>
  <c r="AT51" i="1"/>
  <c r="AS51" i="1"/>
  <c r="AR51" i="1"/>
  <c r="AT50" i="1"/>
  <c r="AS50" i="1"/>
  <c r="AR50" i="1"/>
  <c r="AT49" i="1"/>
  <c r="AS49" i="1"/>
  <c r="AR49" i="1"/>
  <c r="AT48" i="1"/>
  <c r="AS48" i="1"/>
  <c r="AT47" i="1"/>
  <c r="AS47" i="1"/>
  <c r="AT46" i="1"/>
  <c r="AS46" i="1"/>
  <c r="AT45" i="1"/>
  <c r="AS45" i="1"/>
  <c r="AR45" i="1"/>
  <c r="AT44" i="1"/>
  <c r="AS44" i="1"/>
  <c r="AR44" i="1"/>
  <c r="AT43" i="1"/>
  <c r="AS43" i="1"/>
  <c r="AR43" i="1"/>
  <c r="AT42" i="1"/>
  <c r="AS42" i="1"/>
  <c r="AT41" i="1"/>
  <c r="AS41" i="1"/>
  <c r="AR41" i="1"/>
  <c r="AT40" i="1"/>
  <c r="AS40" i="1"/>
  <c r="AT39" i="1"/>
  <c r="AS39" i="1"/>
  <c r="AR39" i="1"/>
  <c r="AT38" i="1"/>
  <c r="AS38" i="1"/>
  <c r="AR38" i="1"/>
  <c r="AT37" i="1"/>
  <c r="AS37" i="1"/>
  <c r="AT36" i="1"/>
  <c r="AS36" i="1"/>
  <c r="AR36" i="1"/>
  <c r="AT35" i="1"/>
  <c r="AS35" i="1"/>
  <c r="AR35" i="1"/>
  <c r="AT34" i="1"/>
  <c r="AS34" i="1"/>
  <c r="AT33" i="1"/>
  <c r="AS33" i="1"/>
  <c r="AR33" i="1"/>
  <c r="AT32" i="1"/>
  <c r="AS32" i="1"/>
  <c r="AT31" i="1"/>
  <c r="AS31" i="1"/>
  <c r="AT30" i="1"/>
  <c r="AS30" i="1"/>
  <c r="AR30" i="1"/>
  <c r="AT29" i="1"/>
  <c r="AS29" i="1"/>
  <c r="AR29" i="1"/>
  <c r="AT28" i="1"/>
  <c r="AS28" i="1"/>
  <c r="AR28" i="1"/>
  <c r="AT27" i="1"/>
  <c r="AS27" i="1"/>
  <c r="AR27" i="1"/>
  <c r="AT26" i="1"/>
  <c r="AS26" i="1"/>
  <c r="AR26" i="1"/>
  <c r="AT25" i="1"/>
  <c r="AS25" i="1"/>
  <c r="AR25" i="1"/>
  <c r="AT24" i="1"/>
  <c r="AS24" i="1"/>
  <c r="AR24" i="1"/>
  <c r="AT23" i="1"/>
  <c r="AS23" i="1"/>
  <c r="AR23" i="1"/>
  <c r="AT22" i="1"/>
  <c r="AS22" i="1"/>
  <c r="AR22" i="1"/>
  <c r="AT21" i="1"/>
  <c r="AS21" i="1"/>
  <c r="AR21" i="1"/>
  <c r="AT20" i="1"/>
  <c r="AS20" i="1"/>
  <c r="AR20" i="1"/>
  <c r="AT19" i="1"/>
  <c r="AS19" i="1"/>
  <c r="AR19" i="1"/>
  <c r="AT18" i="1"/>
  <c r="AS18" i="1"/>
  <c r="AR18" i="1"/>
  <c r="AT17" i="1"/>
  <c r="AS17" i="1"/>
  <c r="AR17" i="1"/>
  <c r="AT16" i="1"/>
  <c r="AS16" i="1"/>
  <c r="AR16" i="1"/>
  <c r="AT15" i="1"/>
  <c r="AS15" i="1"/>
  <c r="AT14" i="1"/>
  <c r="AS14" i="1"/>
  <c r="AR14" i="1"/>
  <c r="AT13" i="1"/>
  <c r="AS13" i="1"/>
  <c r="AR13" i="1"/>
  <c r="AT12" i="1"/>
  <c r="AS12" i="1"/>
  <c r="AR12" i="1"/>
  <c r="AT11" i="1"/>
  <c r="AS11" i="1"/>
  <c r="AR11" i="1"/>
  <c r="AT10" i="1"/>
  <c r="AS10" i="1"/>
  <c r="AR10" i="1"/>
  <c r="AT9" i="1"/>
  <c r="AS9" i="1"/>
  <c r="AR9" i="1"/>
  <c r="AT8" i="1"/>
  <c r="AS8" i="1"/>
  <c r="AR8" i="1"/>
  <c r="AT7" i="1"/>
  <c r="AS7" i="1"/>
  <c r="AR7" i="1"/>
  <c r="AT6" i="1"/>
  <c r="AS6" i="1"/>
  <c r="AR6" i="1"/>
  <c r="AT5" i="1"/>
  <c r="AS5" i="1"/>
  <c r="AR5" i="1"/>
  <c r="AT4" i="1"/>
  <c r="AS4" i="1"/>
  <c r="AR4" i="1"/>
  <c r="AT3" i="1"/>
  <c r="AS3" i="1"/>
  <c r="AR3" i="1"/>
  <c r="AT2" i="1"/>
  <c r="AS2" i="1"/>
  <c r="AR2" i="1"/>
</calcChain>
</file>

<file path=xl/sharedStrings.xml><?xml version="1.0" encoding="utf-8"?>
<sst xmlns="http://schemas.openxmlformats.org/spreadsheetml/2006/main" count="23246" uniqueCount="9350">
  <si>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</si>
  <si>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</si>
  <si>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</si>
  <si>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</si>
  <si>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</si>
  <si>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</si>
  <si>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</si>
  <si>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</si>
  <si>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</si>
  <si>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</si>
  <si>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</si>
  <si>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</si>
  <si>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</si>
  <si>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</si>
  <si>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</si>
  <si>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</si>
  <si>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</si>
  <si>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</si>
  <si>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</si>
  <si>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</si>
  <si>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</si>
  <si>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</si>
  <si>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</si>
  <si>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</si>
  <si>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</si>
  <si>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</si>
  <si>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</si>
  <si>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 xml:space="preserve">Nebraska Holdings </t>
  </si>
  <si>
    <t>All Comparator Library Holdings - Same Edition</t>
  </si>
  <si>
    <t xml:space="preserve">All Comparator Library Holdings </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</si>
  <si>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</si>
  <si>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</si>
  <si>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</si>
  <si>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</si>
  <si>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</si>
  <si>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</si>
  <si>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</si>
  <si>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</si>
  <si>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</si>
  <si>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</si>
  <si>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</si>
  <si>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</si>
  <si>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</si>
  <si>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</si>
  <si>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</si>
  <si>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</si>
  <si>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</si>
  <si>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</si>
  <si>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</si>
  <si>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</si>
  <si>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</si>
  <si>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</si>
  <si>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</si>
  <si>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</si>
  <si>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</si>
  <si>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QL1 .W54 no. 149</t>
  </si>
  <si>
    <t>0                      QL 0001000W  54                                                      no. 149</t>
  </si>
  <si>
    <t>Natal and breeding dispersal of northern spotted owls / by Eric D. Forsman ... [et al.]</t>
  </si>
  <si>
    <t>no. 149*</t>
  </si>
  <si>
    <t>No</t>
  </si>
  <si>
    <t>1</t>
  </si>
  <si>
    <t>0</t>
  </si>
  <si>
    <t>Bethesda, MD : Wildlife Society, c2002.</t>
  </si>
  <si>
    <t>2002</t>
  </si>
  <si>
    <t>eng</t>
  </si>
  <si>
    <t>mdu</t>
  </si>
  <si>
    <t>Wildlife monographs, 0084-0173 ; no. 149</t>
  </si>
  <si>
    <t xml:space="preserve">QL </t>
  </si>
  <si>
    <t>2002-12-12</t>
  </si>
  <si>
    <t>Yes</t>
  </si>
  <si>
    <t>369560148:eng</t>
  </si>
  <si>
    <t>51206815</t>
  </si>
  <si>
    <t>991003961719702656</t>
  </si>
  <si>
    <t>2271464710002656</t>
  </si>
  <si>
    <t>BOOK</t>
  </si>
  <si>
    <t>32285004690912</t>
  </si>
  <si>
    <t>893423214</t>
  </si>
  <si>
    <t>QL1 .W54 no. 150</t>
  </si>
  <si>
    <t>0                      QL 0001000W  54                                                      no. 150</t>
  </si>
  <si>
    <t>Identification and synthetic modeling of factors affecting American black duck populatiions / by Michael J. Conroy, Mark W. Miller, and James E. Hines.</t>
  </si>
  <si>
    <t>no. 150*</t>
  </si>
  <si>
    <t>Wildlife monographs, 0084-0173 ; no. 150</t>
  </si>
  <si>
    <t>7069479:eng</t>
  </si>
  <si>
    <t>51206863</t>
  </si>
  <si>
    <t>991003961689702656</t>
  </si>
  <si>
    <t>2271469730002656</t>
  </si>
  <si>
    <t>32285004690920</t>
  </si>
  <si>
    <t>893525474</t>
  </si>
  <si>
    <t>QL1 .W54 no. 152</t>
  </si>
  <si>
    <t>0                      QL 0001000W  54                                                      no. 152</t>
  </si>
  <si>
    <t>Experimental reduction of wolves in the Yukon : ungulate responses and management implications / by Robert D. Hayes ... [et al.].</t>
  </si>
  <si>
    <t>no. 152*</t>
  </si>
  <si>
    <t>[Bethesda, Md.] : Wildlife Society, c2003.</t>
  </si>
  <si>
    <t>2003</t>
  </si>
  <si>
    <t>Wildlife monographs, 0084-0173 ; no. 152</t>
  </si>
  <si>
    <t>2003-08-28</t>
  </si>
  <si>
    <t>909649042:eng</t>
  </si>
  <si>
    <t>52824830</t>
  </si>
  <si>
    <t>991004110249702656</t>
  </si>
  <si>
    <t>2270810270002656</t>
  </si>
  <si>
    <t>32285004757836</t>
  </si>
  <si>
    <t>893423394</t>
  </si>
  <si>
    <t>QL1 .W54 no. 153</t>
  </si>
  <si>
    <t>0                      QL 0001000W  54                                                      no. 153</t>
  </si>
  <si>
    <t>Effects of the Exxon Valdez oil spill on river otters : injury and recovery of a sentinel species / by R. Terry Bowyer ... [et al.].</t>
  </si>
  <si>
    <t>no. 153*</t>
  </si>
  <si>
    <t>Wildlife monographs, 0084-0173 ; no. 153</t>
  </si>
  <si>
    <t>909543102:eng</t>
  </si>
  <si>
    <t>52824544</t>
  </si>
  <si>
    <t>991004110189702656</t>
  </si>
  <si>
    <t>2270792440002656</t>
  </si>
  <si>
    <t>32285004757844</t>
  </si>
  <si>
    <t>893624348</t>
  </si>
  <si>
    <t>QL1 .W54 no. 154</t>
  </si>
  <si>
    <t>0                      QL 0001000W  54                                                      no. 154</t>
  </si>
  <si>
    <t>Spatially explicit influences on northern goshawk nesting habitat in the interior Pacific Northwest / by Michael T. McGrath ... [et al.].</t>
  </si>
  <si>
    <t>no. 154*</t>
  </si>
  <si>
    <t>Wildlife monographs, 0084-0173 ; no. 154</t>
  </si>
  <si>
    <t>2003-11-13</t>
  </si>
  <si>
    <t>11415454:eng</t>
  </si>
  <si>
    <t>53326507</t>
  </si>
  <si>
    <t>991004182189702656</t>
  </si>
  <si>
    <t>2269144740002656</t>
  </si>
  <si>
    <t>32285004797519</t>
  </si>
  <si>
    <t>893318895</t>
  </si>
  <si>
    <t>QL1 .W54 no. 156</t>
  </si>
  <si>
    <t>0                      QL 0001000W  54                                                      no. 156</t>
  </si>
  <si>
    <t>Survival, movements, and harvest of eastern prairie population Canada geese / by Susan E. Sheaffer ... [et al.].</t>
  </si>
  <si>
    <t>no. 156*</t>
  </si>
  <si>
    <t>[Bethesda, Md.] : Wildlife Society, c2004.</t>
  </si>
  <si>
    <t>2004</t>
  </si>
  <si>
    <t>Wildlife monographs, 0084-0173 ; no. 156</t>
  </si>
  <si>
    <t>2004-06-23</t>
  </si>
  <si>
    <t>13729261:eng</t>
  </si>
  <si>
    <t>55057627</t>
  </si>
  <si>
    <t>991004314489702656</t>
  </si>
  <si>
    <t>2266188890002656</t>
  </si>
  <si>
    <t>32285004920483</t>
  </si>
  <si>
    <t>893700085</t>
  </si>
  <si>
    <t>QL1 .W54 no. 159</t>
  </si>
  <si>
    <t>0                      QL 0001000W  54                                                      no. 159</t>
  </si>
  <si>
    <t>Aspects of the thermal ecology of bobwhites in north Texas / by Fred S. Guthery ... [et al.]</t>
  </si>
  <si>
    <t>no. 159*</t>
  </si>
  <si>
    <t>[Washington, DC] : Wildlife Society, c2005.</t>
  </si>
  <si>
    <t>2005</t>
  </si>
  <si>
    <t>dcu</t>
  </si>
  <si>
    <t>Wildlife monographs ; no. 159</t>
  </si>
  <si>
    <t>2005-08-24</t>
  </si>
  <si>
    <t>6264721:eng</t>
  </si>
  <si>
    <t>61271786</t>
  </si>
  <si>
    <t>991004633379702656</t>
  </si>
  <si>
    <t>2268198100002656</t>
  </si>
  <si>
    <t>32285005081657</t>
  </si>
  <si>
    <t>893526336</t>
  </si>
  <si>
    <t>QL1 .W54 no. 160</t>
  </si>
  <si>
    <t>0                      QL 0001000W  54                                                      no. 160</t>
  </si>
  <si>
    <t>Cumulative effects of human developments on arctic wildlife / by Chris J. Johnson ... [et. al.].</t>
  </si>
  <si>
    <t>no. 160*</t>
  </si>
  <si>
    <t>[Washington, D.C. ] : Wildlife Society, [2005]</t>
  </si>
  <si>
    <t>Wildlife monographs ; no. 160</t>
  </si>
  <si>
    <t>2005-12-01</t>
  </si>
  <si>
    <t>46690074:eng</t>
  </si>
  <si>
    <t>62311763</t>
  </si>
  <si>
    <t>991004700309702656</t>
  </si>
  <si>
    <t>2256067950002656</t>
  </si>
  <si>
    <t>32285005150510</t>
  </si>
  <si>
    <t>893229726</t>
  </si>
  <si>
    <t>QL1 .W54 no. 161</t>
  </si>
  <si>
    <t>0                      QL 0001000W  54                                                      no. 161</t>
  </si>
  <si>
    <t>Temporal, spatial, and environmental influences on the demographics of grizzly bears in the greater Yellowstone ecosystem / Charles C. Schwartz ... [et al.]</t>
  </si>
  <si>
    <t>no. 161*</t>
  </si>
  <si>
    <t>[Bethesda, MD? : Wiildlife Society, c2006]</t>
  </si>
  <si>
    <t>2006</t>
  </si>
  <si>
    <t>Wildlife monographs ; no. 161</t>
  </si>
  <si>
    <t>2006-05-24</t>
  </si>
  <si>
    <t>57814707:eng</t>
  </si>
  <si>
    <t>68904567</t>
  </si>
  <si>
    <t>991004821469702656</t>
  </si>
  <si>
    <t>2255407870002656</t>
  </si>
  <si>
    <t>32285005188254</t>
  </si>
  <si>
    <t>893889326</t>
  </si>
  <si>
    <t>QL1 .W54 no. 165</t>
  </si>
  <si>
    <t>0                      QL 0001000W  54                                                      no. 165</t>
  </si>
  <si>
    <t>Calf survival of woodland caribou in a multi-predator ecosystem / David D. Gustine ... [et al.]</t>
  </si>
  <si>
    <t>no. 165*</t>
  </si>
  <si>
    <t>[United States : Wildlife Society, c2006]</t>
  </si>
  <si>
    <t>abc</t>
  </si>
  <si>
    <t>Wildlife monographs ; no. 165</t>
  </si>
  <si>
    <t>2006-12-18</t>
  </si>
  <si>
    <t>62697844:eng</t>
  </si>
  <si>
    <t>76951602</t>
  </si>
  <si>
    <t>991005001229702656</t>
  </si>
  <si>
    <t>2256653520002656</t>
  </si>
  <si>
    <t>32285005267132</t>
  </si>
  <si>
    <t>893326033</t>
  </si>
  <si>
    <t>QL1 .W54 no. 166</t>
  </si>
  <si>
    <t>0                      QL 0001000W  54                                                      no. 166</t>
  </si>
  <si>
    <t>Pathogens, nutritional deficiency, and climate influences on a declining moose population / Dennis L. Murray ... [et al.]</t>
  </si>
  <si>
    <t>no. 166*</t>
  </si>
  <si>
    <t>[Bethesda, MD] : Wiildlife Society, c2006.</t>
  </si>
  <si>
    <t>Wildlife monographs ; no. 166</t>
  </si>
  <si>
    <t>2007-02-13</t>
  </si>
  <si>
    <t>66793149:eng</t>
  </si>
  <si>
    <t>82142126</t>
  </si>
  <si>
    <t>991005039829702656</t>
  </si>
  <si>
    <t>2263870670002656</t>
  </si>
  <si>
    <t>32285005276448</t>
  </si>
  <si>
    <t>893902018</t>
  </si>
  <si>
    <t>QL1 .W54 no. 167</t>
  </si>
  <si>
    <t>0                      QL 0001000W  54                                                      no. 167</t>
  </si>
  <si>
    <t>Herbivore optimization by North American elk : consequences for theory and management / Kelley M. Stewart ... [et al.]</t>
  </si>
  <si>
    <t>no. 167*</t>
  </si>
  <si>
    <t>Wildlife monographs ; no. 167</t>
  </si>
  <si>
    <t>104012912:eng</t>
  </si>
  <si>
    <t>82142099</t>
  </si>
  <si>
    <t>991005039859702656</t>
  </si>
  <si>
    <t>2263954890002656</t>
  </si>
  <si>
    <t>32285005276455</t>
  </si>
  <si>
    <t>893418298</t>
  </si>
  <si>
    <t>QL1 .W54 no. 168</t>
  </si>
  <si>
    <t>0                      QL 0001000W  54                                                      no. 168</t>
  </si>
  <si>
    <t>Ruffed grouse population ecology in the Appalachian region / Patrick K. Devers ... [et al.].</t>
  </si>
  <si>
    <t>no. 168*</t>
  </si>
  <si>
    <t>[Bethesda, Md.] : Wildlife Society ; Lawrence, KS : Publishing services provided by Alliance Communications Group, c2007.</t>
  </si>
  <si>
    <t>2007</t>
  </si>
  <si>
    <t>Wildlife monographs, 0084-0173 ; no. 168</t>
  </si>
  <si>
    <t>2007-06-28</t>
  </si>
  <si>
    <t>103274123:eng</t>
  </si>
  <si>
    <t>144571429</t>
  </si>
  <si>
    <t>991005099439702656</t>
  </si>
  <si>
    <t>2271527890002656</t>
  </si>
  <si>
    <t>32285005318448</t>
  </si>
  <si>
    <t>893776826</t>
  </si>
  <si>
    <t>QL1 .W54 no.132</t>
  </si>
  <si>
    <t>0                      QL 0001000W  54                                                      no.132</t>
  </si>
  <si>
    <t>Habitat selection and productivity of least terns on the lower Platte River, Nebraska / by Eileen M. Kirsch.</t>
  </si>
  <si>
    <t>no.132*</t>
  </si>
  <si>
    <t>Kirsch, Eileen M.</t>
  </si>
  <si>
    <t>[Bethesda, MD] : The Wildlife Society, [c1996].</t>
  </si>
  <si>
    <t>1996</t>
  </si>
  <si>
    <t>Wildlife monographs, 0084-0173 ; no. 132</t>
  </si>
  <si>
    <t>1999-04-01</t>
  </si>
  <si>
    <t>1996-02-12</t>
  </si>
  <si>
    <t>38896394:eng</t>
  </si>
  <si>
    <t>34157563</t>
  </si>
  <si>
    <t>991002608319702656</t>
  </si>
  <si>
    <t>2255080500002656</t>
  </si>
  <si>
    <t>32285002129392</t>
  </si>
  <si>
    <t>893698000</t>
  </si>
  <si>
    <t>QL1 .W54 no.138</t>
  </si>
  <si>
    <t>0                      QL 0001000W  54                                                      no.138</t>
  </si>
  <si>
    <t>Forage site selection by lesser snow geese during autumn staging on the Arctic National Wildlife Refuge, Alaska / by Jerry W. Hupp and Donna G. Robertson.</t>
  </si>
  <si>
    <t>no.138*</t>
  </si>
  <si>
    <t>Hupp, Jerry W.</t>
  </si>
  <si>
    <t>Bethesda, MD : Wildlife Society, c1998.</t>
  </si>
  <si>
    <t>1998</t>
  </si>
  <si>
    <t>Wildlife monographs, 0084-0173 ; no. 138</t>
  </si>
  <si>
    <t>2008-02-22</t>
  </si>
  <si>
    <t>1998-08-04</t>
  </si>
  <si>
    <t>42076874:eng</t>
  </si>
  <si>
    <t>39525295</t>
  </si>
  <si>
    <t>991002958659702656</t>
  </si>
  <si>
    <t>2263688950002656</t>
  </si>
  <si>
    <t>32285003448981</t>
  </si>
  <si>
    <t>893592012</t>
  </si>
  <si>
    <t>QL1 .W54 no.139</t>
  </si>
  <si>
    <t>0                      QL 0001000W  54                                                      no.139</t>
  </si>
  <si>
    <t>Influence of habitat abundance and fragmentation on northern spotted owls in western Oregon / by Joseph S. Meyer, Larry L. Irwin, and Mark S. Boyce.</t>
  </si>
  <si>
    <t>no.139*</t>
  </si>
  <si>
    <t>Meyer, Joseph S.</t>
  </si>
  <si>
    <t>Wildlife monographs, 0084-0173 ; no. 139</t>
  </si>
  <si>
    <t>2008-02-23</t>
  </si>
  <si>
    <t>42066563:eng</t>
  </si>
  <si>
    <t>39524941</t>
  </si>
  <si>
    <t>991002958629702656</t>
  </si>
  <si>
    <t>2263229370002656</t>
  </si>
  <si>
    <t>32285003448999</t>
  </si>
  <si>
    <t>893245859</t>
  </si>
  <si>
    <t>QL1 .W54 no.141</t>
  </si>
  <si>
    <t>0                      QL 0001000W  54                                                      no.141</t>
  </si>
  <si>
    <t>Relations of forest cover and condition of elk : a test of the thermal cover hypothesis in summer and winter / by John G. Cook, ... [et al.].</t>
  </si>
  <si>
    <t>no.141*</t>
  </si>
  <si>
    <t>Cook, John G.</t>
  </si>
  <si>
    <t>Wildlife monographs, 0084-0173 ; no. 141</t>
  </si>
  <si>
    <t>1999-01-20</t>
  </si>
  <si>
    <t>1998-11-09</t>
  </si>
  <si>
    <t>908276649:eng</t>
  </si>
  <si>
    <t>40214259</t>
  </si>
  <si>
    <t>991002985509702656</t>
  </si>
  <si>
    <t>2270767070002656</t>
  </si>
  <si>
    <t>32285003487047</t>
  </si>
  <si>
    <t>893245900</t>
  </si>
  <si>
    <t>QL1 .W54 no.142</t>
  </si>
  <si>
    <t>0                      QL 0001000W  54                                                      no.142</t>
  </si>
  <si>
    <t>Ecological scale and forest development : squirrels, dietary fungi, and vascular plants in managed and unmanaged forests / by Andrew B. Carey ... [et al.].</t>
  </si>
  <si>
    <t>no.142*</t>
  </si>
  <si>
    <t>Bethesda, MD : Wildlife Society, c1999.</t>
  </si>
  <si>
    <t>1999</t>
  </si>
  <si>
    <t>Wildlife monographs, 0084-0173 ; no. 142</t>
  </si>
  <si>
    <t>2000-03-27</t>
  </si>
  <si>
    <t>1999-02-10</t>
  </si>
  <si>
    <t>445578867:eng</t>
  </si>
  <si>
    <t>40718919</t>
  </si>
  <si>
    <t>991003004999702656</t>
  </si>
  <si>
    <t>2267273540002656</t>
  </si>
  <si>
    <t>32285003518999</t>
  </si>
  <si>
    <t>893233718</t>
  </si>
  <si>
    <t>QL1 .W54 no.146</t>
  </si>
  <si>
    <t>0                      QL 0001000W  54                                                      no.146</t>
  </si>
  <si>
    <t>Bioenergetics and nutrition of Mississippi Valley population Canada geese during winter and migration / by Robert J. Gates ... [et al.]</t>
  </si>
  <si>
    <t>no.146*</t>
  </si>
  <si>
    <t>Gates, Robert J.</t>
  </si>
  <si>
    <t>[Bethesda, MD] : Wildlife Society, 2001, c2000.</t>
  </si>
  <si>
    <t>2001</t>
  </si>
  <si>
    <t>Wildlife monographs, 0084-0173 ; no. 146</t>
  </si>
  <si>
    <t>2010-03-01</t>
  </si>
  <si>
    <t>2001-03-01</t>
  </si>
  <si>
    <t>369560678:eng</t>
  </si>
  <si>
    <t>46315736</t>
  </si>
  <si>
    <t>991003498809702656</t>
  </si>
  <si>
    <t>2260315150002656</t>
  </si>
  <si>
    <t>32285004298450</t>
  </si>
  <si>
    <t>893505641</t>
  </si>
  <si>
    <t>QL1 .W54 no.147</t>
  </si>
  <si>
    <t>0                      QL 0001000W  54                                                      no.147</t>
  </si>
  <si>
    <t>Winter nutritional restriction and simulated body condition of Yellowstone elk and bison before and after the fires of 1988 / Glenn D. Delgiudice, Ron A. Moen, Francis J. Singer, and Michael R. Riggs.</t>
  </si>
  <si>
    <t>no.147*</t>
  </si>
  <si>
    <t>DelGiudice, Glenn D. (Glenn David)</t>
  </si>
  <si>
    <t>Bethesda, MD : Wildlife Society, c2001.</t>
  </si>
  <si>
    <t>Wildlife monographs, 0084-0173 ; no. 147</t>
  </si>
  <si>
    <t>2001-11-06</t>
  </si>
  <si>
    <t>2001-11-05</t>
  </si>
  <si>
    <t>37112889:eng</t>
  </si>
  <si>
    <t>48261463</t>
  </si>
  <si>
    <t>991003669919702656</t>
  </si>
  <si>
    <t>2259385080002656</t>
  </si>
  <si>
    <t>32285004417977</t>
  </si>
  <si>
    <t>893324330</t>
  </si>
  <si>
    <t>QL1 .W54 no.148</t>
  </si>
  <si>
    <t>0                      QL 0001000W  54                                                      no.148</t>
  </si>
  <si>
    <t>Spatial ecology of Iberian lynx and abundance of European rabbits in southwestern Spain / Francisco Palomares, Miguel Delibes, Eloy Revilla, Javier Calzada, and Jose María Fedriani.</t>
  </si>
  <si>
    <t>no.148*</t>
  </si>
  <si>
    <t>Palomares, Francisco.</t>
  </si>
  <si>
    <t>Wildlife monographs, 0084-0173 ; no. 148</t>
  </si>
  <si>
    <t>37107104:eng</t>
  </si>
  <si>
    <t>48261215</t>
  </si>
  <si>
    <t>991003669969702656</t>
  </si>
  <si>
    <t>2259506300002656</t>
  </si>
  <si>
    <t>32285004417985</t>
  </si>
  <si>
    <t>893228301</t>
  </si>
  <si>
    <t>QL1 .W54 no.157</t>
  </si>
  <si>
    <t>0                      QL 0001000W  54                                                      no.157</t>
  </si>
  <si>
    <t>Effects of military operations on behavior and hearing of endangered Sonoran pronghorn / by Paul R. Krausman ... [et al.].</t>
  </si>
  <si>
    <t>no.157*</t>
  </si>
  <si>
    <t>Wildlife monographs ; no. 157</t>
  </si>
  <si>
    <t>2004-08-17</t>
  </si>
  <si>
    <t>16305713:eng</t>
  </si>
  <si>
    <t>56081725</t>
  </si>
  <si>
    <t>991004352009702656</t>
  </si>
  <si>
    <t>2258363120002656</t>
  </si>
  <si>
    <t>32285004982426</t>
  </si>
  <si>
    <t>893429955</t>
  </si>
  <si>
    <t>QL1 .W54 no.162</t>
  </si>
  <si>
    <t>0                      QL 0001000W  54                                                      no.162</t>
  </si>
  <si>
    <t>Population dynamics of Greater Scaup Breeding on the Yukon-Kuskokwim Delta, Alaska / Paul L. Flint ... [et al.]</t>
  </si>
  <si>
    <t>no.162*</t>
  </si>
  <si>
    <t>[Bethesda, MD?] Wildlife Society, c2006.</t>
  </si>
  <si>
    <t>Wildlife monographs ; no. 162</t>
  </si>
  <si>
    <t>2006-08-01</t>
  </si>
  <si>
    <t>481010481:eng</t>
  </si>
  <si>
    <t>70630681</t>
  </si>
  <si>
    <t>991004897279702656</t>
  </si>
  <si>
    <t>2259359510002656</t>
  </si>
  <si>
    <t>32285005199236</t>
  </si>
  <si>
    <t>893694469</t>
  </si>
  <si>
    <t>QL1 .W54 no.163</t>
  </si>
  <si>
    <t>0                      QL 0001000W  54                                                      no.163</t>
  </si>
  <si>
    <t>Status and trends in demography of northern spotted owls, 1985-2003 / Robert G. Anthony ... [et al.]</t>
  </si>
  <si>
    <t>no.163*</t>
  </si>
  <si>
    <t>Wildlife monographs ; no. 163</t>
  </si>
  <si>
    <t>2006-10-03</t>
  </si>
  <si>
    <t>58302716:eng</t>
  </si>
  <si>
    <t>71361123</t>
  </si>
  <si>
    <t>991004941989702656</t>
  </si>
  <si>
    <t>2270849480002656</t>
  </si>
  <si>
    <t>32285005226203</t>
  </si>
  <si>
    <t>893895657</t>
  </si>
  <si>
    <t>QL1 .W54 no.164</t>
  </si>
  <si>
    <t>0                      QL 0001000W  54                                                      no.164</t>
  </si>
  <si>
    <t>Evaluation of factors potentially influencing a desert bighorn sheep population / Ted McKinney, Thorry W. Smith, James C. deVos Jr.</t>
  </si>
  <si>
    <t>no.164*</t>
  </si>
  <si>
    <t>McKinney, Ted D.</t>
  </si>
  <si>
    <t>Wildlife monographs ; no. 164</t>
  </si>
  <si>
    <t>140769122:eng</t>
  </si>
  <si>
    <t>71361148</t>
  </si>
  <si>
    <t>991004942019702656</t>
  </si>
  <si>
    <t>2270846100002656</t>
  </si>
  <si>
    <t>32285005226211</t>
  </si>
  <si>
    <t>893236082</t>
  </si>
  <si>
    <t>QL1 .Z733 no. 22</t>
  </si>
  <si>
    <t>0                      QL 0001000Z  733                                                     no. 22</t>
  </si>
  <si>
    <t>Studies in the structure, physiology and ecology of molluscs : the proceedings of a symposium held at the Zoological Society of London on 8 and 9 March, 1967 / edited by Vera Fretter.</t>
  </si>
  <si>
    <t>no. 22*</t>
  </si>
  <si>
    <t>London ; New York : published for the Zoological Study of London by Academic P., 1968.</t>
  </si>
  <si>
    <t>1968</t>
  </si>
  <si>
    <t>enk</t>
  </si>
  <si>
    <t>Symposia of the Zoological Society of London ; no. 22</t>
  </si>
  <si>
    <t>2006-02-17</t>
  </si>
  <si>
    <t>2000-06-15</t>
  </si>
  <si>
    <t>793129778:eng</t>
  </si>
  <si>
    <t>564510</t>
  </si>
  <si>
    <t>991003089599702656</t>
  </si>
  <si>
    <t>2256964030002656</t>
  </si>
  <si>
    <t>32285001967735</t>
  </si>
  <si>
    <t>893258062</t>
  </si>
  <si>
    <t>QL1 .Z733 no. 34</t>
  </si>
  <si>
    <t>0                      QL 0001000Z  733                                                     no. 34</t>
  </si>
  <si>
    <t>The Biology of hystricomorph rodents : the proceedings of a symposium held at the Zoological Society of London on 7 and 8 June, 1973 / edited by I. W. Rowlands and Barbara J. Weir.</t>
  </si>
  <si>
    <t>no. 34*</t>
  </si>
  <si>
    <t>London : Published for the Zoological Society of London by Academic Press, 1974.</t>
  </si>
  <si>
    <t>1974</t>
  </si>
  <si>
    <t>Symposia of the Zoological Society of London ; no. 34</t>
  </si>
  <si>
    <t>2009-03-18</t>
  </si>
  <si>
    <t>2001-04-24</t>
  </si>
  <si>
    <t>795126889:eng</t>
  </si>
  <si>
    <t>3255688</t>
  </si>
  <si>
    <t>991005257279702656</t>
  </si>
  <si>
    <t>2272344630002656</t>
  </si>
  <si>
    <t>9780126133349</t>
  </si>
  <si>
    <t>32285001967818</t>
  </si>
  <si>
    <t>893713749</t>
  </si>
  <si>
    <t>QL1 .Z733 no. 43</t>
  </si>
  <si>
    <t>0                      QL 0001000Z  733                                                     no. 43</t>
  </si>
  <si>
    <t>Artificial breeding of non-domestic animals : (the proceedings of a symposium held at the Zoological Society of London on 7 and 8 September 1977) / edited by P. F. Watson.</t>
  </si>
  <si>
    <t>no. 43*</t>
  </si>
  <si>
    <t>London ; New York : Academic Press for the Zoological Society of London, 1978.</t>
  </si>
  <si>
    <t>1978</t>
  </si>
  <si>
    <t>Symposia of the Zoological Society of London ; no. 43</t>
  </si>
  <si>
    <t>1992-10-14</t>
  </si>
  <si>
    <t>803225749:eng</t>
  </si>
  <si>
    <t>5676848</t>
  </si>
  <si>
    <t>991004857969702656</t>
  </si>
  <si>
    <t>2260075310002656</t>
  </si>
  <si>
    <t>9780126133431</t>
  </si>
  <si>
    <t>32285001348449</t>
  </si>
  <si>
    <t>893883040</t>
  </si>
  <si>
    <t>QL1 .Z733 no.15</t>
  </si>
  <si>
    <t>0                      QL 0001000Z  733                                                     no.15</t>
  </si>
  <si>
    <t>Comparative biology of reproduction in mammals : the proceedings of an international symposium / edited by I. W. Rowlands.</t>
  </si>
  <si>
    <t>no.15*</t>
  </si>
  <si>
    <t>Rowlands, I. W.</t>
  </si>
  <si>
    <t>[London] : Published for the Zoological Society of London by Academic Press, 1966.</t>
  </si>
  <si>
    <t>1966</t>
  </si>
  <si>
    <t>Symposia of the Zoological Society of London ; no. 15</t>
  </si>
  <si>
    <t>2004-02-21</t>
  </si>
  <si>
    <t>8911539922:eng</t>
  </si>
  <si>
    <t>711507</t>
  </si>
  <si>
    <t>991003091099702656</t>
  </si>
  <si>
    <t>2261903050002656</t>
  </si>
  <si>
    <t>32285001967685</t>
  </si>
  <si>
    <t>893686185</t>
  </si>
  <si>
    <t>QL1 .Z733 no.18</t>
  </si>
  <si>
    <t>0                      QL 0001000Z  733                                                     no.18</t>
  </si>
  <si>
    <t>Play, exploration and territory in mammals : the proceedings of a symposium held at the Zoological Society of London on 19 and 20 November 1965 / edited by P. A. Jewell and Caroline Loizos.</t>
  </si>
  <si>
    <t>no.18*</t>
  </si>
  <si>
    <t>New York] : Published for the Zoological Society of London by Academic Press, 1966.</t>
  </si>
  <si>
    <t>[U.S. ed.</t>
  </si>
  <si>
    <t>nyu</t>
  </si>
  <si>
    <t>Symposia of the Zoological Society of London ; no. 18</t>
  </si>
  <si>
    <t>2007-02-23</t>
  </si>
  <si>
    <t>808167343:eng</t>
  </si>
  <si>
    <t>467124</t>
  </si>
  <si>
    <t>991003087999702656</t>
  </si>
  <si>
    <t>2263500840002656</t>
  </si>
  <si>
    <t>32285001967701</t>
  </si>
  <si>
    <t>893227670</t>
  </si>
  <si>
    <t>QL1 .Z733 no.20</t>
  </si>
  <si>
    <t>0                      QL 0001000Z  733                                                     no.20</t>
  </si>
  <si>
    <t>Echinoderm biology / edited by N. Millott.</t>
  </si>
  <si>
    <t>no.20*</t>
  </si>
  <si>
    <t>[New York] : Published for the Zoological Society of London by Academic Press, 1967.</t>
  </si>
  <si>
    <t>1967</t>
  </si>
  <si>
    <t>Symposia of the Zoological Society of London ; no. 20</t>
  </si>
  <si>
    <t>2008-02-29</t>
  </si>
  <si>
    <t>808137282:eng</t>
  </si>
  <si>
    <t>557742</t>
  </si>
  <si>
    <t>991003089509702656</t>
  </si>
  <si>
    <t>2261489600002656</t>
  </si>
  <si>
    <t>32285001967727</t>
  </si>
  <si>
    <t>893434642</t>
  </si>
  <si>
    <t>QL1 .Z733 no.56</t>
  </si>
  <si>
    <t>0                      QL 0001000Z  733                                                     no.56</t>
  </si>
  <si>
    <t>Immune mechanisms in invertebrate vectors : the proceedings of a symposium held at the Zoological Society of London on 14th and 15th of November 1985 / edited by A.M. Lackie.</t>
  </si>
  <si>
    <t>no.56*</t>
  </si>
  <si>
    <t>Oxford [Oxfordshire] : Published for the Zoological Society of London by Clarendon Press ; New York : Oxford University Press, 1986.</t>
  </si>
  <si>
    <t>1986</t>
  </si>
  <si>
    <t>Symposia of the Zoological Society of London ; no. 56</t>
  </si>
  <si>
    <t>1997-02-23</t>
  </si>
  <si>
    <t>1993-02-12</t>
  </si>
  <si>
    <t>836656574:eng</t>
  </si>
  <si>
    <t>13794564</t>
  </si>
  <si>
    <t>991000873149702656</t>
  </si>
  <si>
    <t>2269723480002656</t>
  </si>
  <si>
    <t>9780198540045</t>
  </si>
  <si>
    <t>32285001427730</t>
  </si>
  <si>
    <t>893614571</t>
  </si>
  <si>
    <t>QL1 .Z733 no.67</t>
  </si>
  <si>
    <t>0                      QL 0001000Z  733                                                     no.67</t>
  </si>
  <si>
    <t>Ecology, evolution, and behaviour of bats : the proceedings of a symposium held by the Zoological Society of London and the Mammal Society : London, 26th and 27th November 1993 / edited by Paul A. Racey and Susan M. Swift.</t>
  </si>
  <si>
    <t>no.67*</t>
  </si>
  <si>
    <t>Oxford : Published for the Zoological Society of London by Clarendon Press ; New York : Oxford University Press, 1995.</t>
  </si>
  <si>
    <t>1995</t>
  </si>
  <si>
    <t>Symposia of the Zoological Society of London ; no. 67</t>
  </si>
  <si>
    <t>2008-02-14</t>
  </si>
  <si>
    <t>1996-10-30</t>
  </si>
  <si>
    <t>1241430665:eng</t>
  </si>
  <si>
    <t>31865555</t>
  </si>
  <si>
    <t>991002442569702656</t>
  </si>
  <si>
    <t>2259323670002656</t>
  </si>
  <si>
    <t>9780198549451</t>
  </si>
  <si>
    <t>32285002379443</t>
  </si>
  <si>
    <t>893792476</t>
  </si>
  <si>
    <t>QL1 W54 no. 158</t>
  </si>
  <si>
    <t>0                      QL 0001000W  54                                                      no. 158</t>
  </si>
  <si>
    <t>Ecology of Florida black bears in the Okefenokee-Osceola ecosystem / by Steven Dobey ... [et al.].</t>
  </si>
  <si>
    <t>no. 158*</t>
  </si>
  <si>
    <t>[Bethesda, Md.] : Wildlife Society, c2005.</t>
  </si>
  <si>
    <t>Wildlife monographs ; no. 158</t>
  </si>
  <si>
    <t>2005-06-02</t>
  </si>
  <si>
    <t>57509896:eng</t>
  </si>
  <si>
    <t>60037726</t>
  </si>
  <si>
    <t>991004558009702656</t>
  </si>
  <si>
    <t>2261439170002656</t>
  </si>
  <si>
    <t>32285005092183</t>
  </si>
  <si>
    <t>893901370</t>
  </si>
  <si>
    <t>QL100 .H2713 1981</t>
  </si>
  <si>
    <t>0                      QL 0100000H  2713        1981</t>
  </si>
  <si>
    <t>Venomous animals and their toxins / Gerhard G. Habermehl.</t>
  </si>
  <si>
    <t>Habermehl, Gerhard.</t>
  </si>
  <si>
    <t>Berlin ; New York : Springer-Verlag, 1981.</t>
  </si>
  <si>
    <t>1981</t>
  </si>
  <si>
    <t xml:space="preserve">gw </t>
  </si>
  <si>
    <t>2000-08-16</t>
  </si>
  <si>
    <t>1993-05-21</t>
  </si>
  <si>
    <t>4161368241:eng</t>
  </si>
  <si>
    <t>7552940</t>
  </si>
  <si>
    <t>991005125069702656</t>
  </si>
  <si>
    <t>2265571130002656</t>
  </si>
  <si>
    <t>9780387107806</t>
  </si>
  <si>
    <t>32285001686210</t>
  </si>
  <si>
    <t>893242250</t>
  </si>
  <si>
    <t>QL100 .Q36 2003</t>
  </si>
  <si>
    <t>0                      QL 0100000Q  36          2003</t>
  </si>
  <si>
    <t>Monster of God : the man-eating predator in the jungles of history and the mind / David Quammen.</t>
  </si>
  <si>
    <t>Quammen, David, 1948-</t>
  </si>
  <si>
    <t>New York : W.W. Norton, c2003.</t>
  </si>
  <si>
    <t>1st ed.</t>
  </si>
  <si>
    <t>2003-09-25</t>
  </si>
  <si>
    <t>2003-09-10</t>
  </si>
  <si>
    <t>796385050:eng</t>
  </si>
  <si>
    <t>52041418</t>
  </si>
  <si>
    <t>991004111539702656</t>
  </si>
  <si>
    <t>2258854390002656</t>
  </si>
  <si>
    <t>9780393051407</t>
  </si>
  <si>
    <t>32285004782529</t>
  </si>
  <si>
    <t>893722270</t>
  </si>
  <si>
    <t>QL101 .S55</t>
  </si>
  <si>
    <t>0                      QL 0101000S  55</t>
  </si>
  <si>
    <t>The geography of evolution; collected essays.</t>
  </si>
  <si>
    <t>Simpson, George Gaylord, 1902-1984.</t>
  </si>
  <si>
    <t>Philadelphia, Chilton Books [1965]</t>
  </si>
  <si>
    <t>1965</t>
  </si>
  <si>
    <t>[1st ed.]</t>
  </si>
  <si>
    <t>pau</t>
  </si>
  <si>
    <t>1999-06-21</t>
  </si>
  <si>
    <t>1997-07-19</t>
  </si>
  <si>
    <t>197263298:eng</t>
  </si>
  <si>
    <t>711563</t>
  </si>
  <si>
    <t>991003180059702656</t>
  </si>
  <si>
    <t>2261934580002656</t>
  </si>
  <si>
    <t>32285002939261</t>
  </si>
  <si>
    <t>893416124</t>
  </si>
  <si>
    <t>QL104 .I78</t>
  </si>
  <si>
    <t>0                      QL 0104000I  78</t>
  </si>
  <si>
    <t>Arctic life of birds and mammals, including man.</t>
  </si>
  <si>
    <t>Irving, Laurence, 1895-1979.</t>
  </si>
  <si>
    <t>Berlin, New York, Springer-Verlag, 1972.</t>
  </si>
  <si>
    <t>1972</t>
  </si>
  <si>
    <t>Zoophysiology and ecology ; v. 2</t>
  </si>
  <si>
    <t>2010-01-25</t>
  </si>
  <si>
    <t>1778286:eng</t>
  </si>
  <si>
    <t>590792</t>
  </si>
  <si>
    <t>991003027099702656</t>
  </si>
  <si>
    <t>2265555870002656</t>
  </si>
  <si>
    <t>9780387058016</t>
  </si>
  <si>
    <t>32285002939279</t>
  </si>
  <si>
    <t>893530778</t>
  </si>
  <si>
    <t>QL105 .B55 2005</t>
  </si>
  <si>
    <t>0                      QL 0105000B  55          2005</t>
  </si>
  <si>
    <t>Arctic animals and their adaptations to life on the edge / Arnoldus Schytte Blix.</t>
  </si>
  <si>
    <t>Blix, Arnoldus Schytte.</t>
  </si>
  <si>
    <t>Trondheim : Tapir Academic Press, c2005.</t>
  </si>
  <si>
    <t xml:space="preserve">no </t>
  </si>
  <si>
    <t>2010-07-26</t>
  </si>
  <si>
    <t>2007-03-14</t>
  </si>
  <si>
    <t>46241635:eng</t>
  </si>
  <si>
    <t>61699492</t>
  </si>
  <si>
    <t>991005027349702656</t>
  </si>
  <si>
    <t>2261090310002656</t>
  </si>
  <si>
    <t>9788251920506</t>
  </si>
  <si>
    <t>32285005281745</t>
  </si>
  <si>
    <t>893536313</t>
  </si>
  <si>
    <t>QL105 .R4513</t>
  </si>
  <si>
    <t>0                      QL 0105000R  4513</t>
  </si>
  <si>
    <t>Arctic animal ecology / Hermann Remmert ; [translated by Joy Wieser].</t>
  </si>
  <si>
    <t>Remmert, Hermann.</t>
  </si>
  <si>
    <t>Berlin ; New York : Springer-Verlag, 1980.</t>
  </si>
  <si>
    <t>1980</t>
  </si>
  <si>
    <t>457284:eng</t>
  </si>
  <si>
    <t>6487503</t>
  </si>
  <si>
    <t>991004991699702656</t>
  </si>
  <si>
    <t>2271775880002656</t>
  </si>
  <si>
    <t>9780387101699</t>
  </si>
  <si>
    <t>32285001686228</t>
  </si>
  <si>
    <t>893507467</t>
  </si>
  <si>
    <t>QL109 .N37 2005</t>
  </si>
  <si>
    <t>0                      QL 0109000N  37          2005</t>
  </si>
  <si>
    <t>The smaller majority : the hidden world of the animals that dominate the tropics / Piotr Naskrecki.</t>
  </si>
  <si>
    <t>Naskrecki, Piotr.</t>
  </si>
  <si>
    <t>Cambridge, Mass. : Belknap Press of Harvard University Press, 2005.</t>
  </si>
  <si>
    <t>mau</t>
  </si>
  <si>
    <t>2005-12-14</t>
  </si>
  <si>
    <t>42722159:eng</t>
  </si>
  <si>
    <t>58843020</t>
  </si>
  <si>
    <t>991004699389702656</t>
  </si>
  <si>
    <t>2259947880002656</t>
  </si>
  <si>
    <t>9780674019157</t>
  </si>
  <si>
    <t>32285005152276</t>
  </si>
  <si>
    <t>893712913</t>
  </si>
  <si>
    <t>QL110 .B8 1967</t>
  </si>
  <si>
    <t>0                      QL 0110000B  8           1967</t>
  </si>
  <si>
    <t>Soil biology, edited by A. Burges and F. Raw.</t>
  </si>
  <si>
    <t>Burges, Alan, 1911-</t>
  </si>
  <si>
    <t>London, Academic Press, 1967.</t>
  </si>
  <si>
    <t>2002-04-24</t>
  </si>
  <si>
    <t>346791990:eng</t>
  </si>
  <si>
    <t>556358</t>
  </si>
  <si>
    <t>991002983859702656</t>
  </si>
  <si>
    <t>2259915460002656</t>
  </si>
  <si>
    <t>32285002939295</t>
  </si>
  <si>
    <t>893598135</t>
  </si>
  <si>
    <t>QL110 .K4</t>
  </si>
  <si>
    <t>0                      QL 0110000K  4</t>
  </si>
  <si>
    <t>Soil animals. With a foreword by E. John Russell.</t>
  </si>
  <si>
    <t>Kevan, D. Keith McE.</t>
  </si>
  <si>
    <t>New York Philosophical Library [1962]</t>
  </si>
  <si>
    <t>1962</t>
  </si>
  <si>
    <t>Aspects of zoology.</t>
  </si>
  <si>
    <t>2002-10-12</t>
  </si>
  <si>
    <t>1525296:eng</t>
  </si>
  <si>
    <t>1545936</t>
  </si>
  <si>
    <t>991003814839702656</t>
  </si>
  <si>
    <t>2272806830002656</t>
  </si>
  <si>
    <t>32285002939303</t>
  </si>
  <si>
    <t>893336990</t>
  </si>
  <si>
    <t>QL114 .D34</t>
  </si>
  <si>
    <t>0                      QL 0114000D  34</t>
  </si>
  <si>
    <t>Animals of the tidal marsh / Franklin C. Daiber.</t>
  </si>
  <si>
    <t>Daiber, Franklin C.</t>
  </si>
  <si>
    <t>New York : Van Nostrand Reinhold, c1982.</t>
  </si>
  <si>
    <t>1982</t>
  </si>
  <si>
    <t>2006-11-02</t>
  </si>
  <si>
    <t>481851:eng</t>
  </si>
  <si>
    <t>6943580</t>
  </si>
  <si>
    <t>991005064839702656</t>
  </si>
  <si>
    <t>2256585940002656</t>
  </si>
  <si>
    <t>9780442248543</t>
  </si>
  <si>
    <t>32285001686244</t>
  </si>
  <si>
    <t>893533101</t>
  </si>
  <si>
    <t>QL114.5 .A75 2000</t>
  </si>
  <si>
    <t>0                      QL 0114500A  75          2000</t>
  </si>
  <si>
    <t>Wild and swampy / exploring with Jim Arnosky.</t>
  </si>
  <si>
    <t>Arnosky, Jim.</t>
  </si>
  <si>
    <t>[New York] : HarperCollins Publishers, c2000.</t>
  </si>
  <si>
    <t>2000</t>
  </si>
  <si>
    <t>2002-01-08</t>
  </si>
  <si>
    <t>27998181:eng</t>
  </si>
  <si>
    <t>42771519</t>
  </si>
  <si>
    <t>991003703259702656</t>
  </si>
  <si>
    <t>2271543470002656</t>
  </si>
  <si>
    <t>9780688171193</t>
  </si>
  <si>
    <t>32285004446513</t>
  </si>
  <si>
    <t>893405153</t>
  </si>
  <si>
    <t>QL115 .D52</t>
  </si>
  <si>
    <t>0                      QL 0115000D  52</t>
  </si>
  <si>
    <t>Walt Disney's Vanishing prairie. [Text] by Louis Bromfield.</t>
  </si>
  <si>
    <t>Walt Disney Productions.</t>
  </si>
  <si>
    <t>New York, Simon and Schuster [1956?]</t>
  </si>
  <si>
    <t>1956</t>
  </si>
  <si>
    <t>A True-life adventure</t>
  </si>
  <si>
    <t>1998-04-09</t>
  </si>
  <si>
    <t>1909188019:eng</t>
  </si>
  <si>
    <t>3394997</t>
  </si>
  <si>
    <t>991004423939702656</t>
  </si>
  <si>
    <t>2272809940002656</t>
  </si>
  <si>
    <t>32285002939337</t>
  </si>
  <si>
    <t>893436276</t>
  </si>
  <si>
    <t>QL115.3 .C87 1994</t>
  </si>
  <si>
    <t>0                      QL 0115300C  87          1994</t>
  </si>
  <si>
    <t>Grassland invertebrates : ecology, influence on soil fertility, and effects on plant growth / J.P. Curry.</t>
  </si>
  <si>
    <t>Curry, J. P.</t>
  </si>
  <si>
    <t>London ; New York : Chapman &amp; Hall, 1994.</t>
  </si>
  <si>
    <t>1994</t>
  </si>
  <si>
    <t>1997-04-09</t>
  </si>
  <si>
    <t>807611905:eng</t>
  </si>
  <si>
    <t>28800575</t>
  </si>
  <si>
    <t>991002234839702656</t>
  </si>
  <si>
    <t>2258509650002656</t>
  </si>
  <si>
    <t>9780412165207</t>
  </si>
  <si>
    <t>32285002495629</t>
  </si>
  <si>
    <t>893517045</t>
  </si>
  <si>
    <t>QL116 .C7</t>
  </si>
  <si>
    <t>0                      QL 0116000C  7</t>
  </si>
  <si>
    <t>Biology of desert invertebrates / Clifford S. Crawford.</t>
  </si>
  <si>
    <t>Crawford, Clifford S.</t>
  </si>
  <si>
    <t>2005-02-26</t>
  </si>
  <si>
    <t>28882858:eng</t>
  </si>
  <si>
    <t>7575660</t>
  </si>
  <si>
    <t>991005134729702656</t>
  </si>
  <si>
    <t>2265621390002656</t>
  </si>
  <si>
    <t>9780387108070</t>
  </si>
  <si>
    <t>32285001686251</t>
  </si>
  <si>
    <t>893514102</t>
  </si>
  <si>
    <t>QL116 .S3</t>
  </si>
  <si>
    <t>0                      QL 0116000S  3</t>
  </si>
  <si>
    <t>Desert animals: physiological problems of heat and water.</t>
  </si>
  <si>
    <t>Schmidt-Nielsen, Knut, 1915-2007.</t>
  </si>
  <si>
    <t>Oxford, Clarendon Press, 1964.</t>
  </si>
  <si>
    <t>1964</t>
  </si>
  <si>
    <t>2004-12-06</t>
  </si>
  <si>
    <t>1558987:eng</t>
  </si>
  <si>
    <t>536492</t>
  </si>
  <si>
    <t>991002944479702656</t>
  </si>
  <si>
    <t>2260873690002656</t>
  </si>
  <si>
    <t>32285002939345</t>
  </si>
  <si>
    <t>893239709</t>
  </si>
  <si>
    <t>QL117 .M62</t>
  </si>
  <si>
    <t>0                      QL 0117000M  62</t>
  </si>
  <si>
    <t>The life of the cave [by] Charles E. Mohr and Thomas L. Poulson.</t>
  </si>
  <si>
    <t>Mohr, Charles E.</t>
  </si>
  <si>
    <t>New York, McGraw-Hill [1966]</t>
  </si>
  <si>
    <t>Our living world of nature</t>
  </si>
  <si>
    <t>1997-12-02</t>
  </si>
  <si>
    <t>405973:eng</t>
  </si>
  <si>
    <t>560451</t>
  </si>
  <si>
    <t>991002990779702656</t>
  </si>
  <si>
    <t>2256727490002656</t>
  </si>
  <si>
    <t>32285002939352</t>
  </si>
  <si>
    <t>893329815</t>
  </si>
  <si>
    <t>QL120 .S46 1988</t>
  </si>
  <si>
    <t>0                      QL 0120000S  46          1988</t>
  </si>
  <si>
    <t>Sensory biology of aquatic animals / Jelle Atema ... [et a.], editors.</t>
  </si>
  <si>
    <t>New York : Springer-Verlag, c1988.</t>
  </si>
  <si>
    <t>1987</t>
  </si>
  <si>
    <t>2007-02-21</t>
  </si>
  <si>
    <t>765171803:eng</t>
  </si>
  <si>
    <t>15551696</t>
  </si>
  <si>
    <t>991001038709702656</t>
  </si>
  <si>
    <t>2258972550002656</t>
  </si>
  <si>
    <t>32285001686269</t>
  </si>
  <si>
    <t>893772249</t>
  </si>
  <si>
    <t>QL120 .V5513</t>
  </si>
  <si>
    <t>0                      QL 0120000V  5513</t>
  </si>
  <si>
    <t>Methods for the estimation of production of aquatic animals / edited by G. G. Winberg ; translated from the Russian by Annie Duncan.</t>
  </si>
  <si>
    <t>Vinberg, G. G.</t>
  </si>
  <si>
    <t>London ; New York : Academic Press, 1971.</t>
  </si>
  <si>
    <t>1971</t>
  </si>
  <si>
    <t>2004-02-22</t>
  </si>
  <si>
    <t>1993-10-05</t>
  </si>
  <si>
    <t>363858280:eng</t>
  </si>
  <si>
    <t>292355</t>
  </si>
  <si>
    <t>991002228059702656</t>
  </si>
  <si>
    <t>2265508730002656</t>
  </si>
  <si>
    <t>9780127583501</t>
  </si>
  <si>
    <t>32285001772689</t>
  </si>
  <si>
    <t>893721346</t>
  </si>
  <si>
    <t>QL121 .B925 2001</t>
  </si>
  <si>
    <t>0                      QL 0121000B  925         2001</t>
  </si>
  <si>
    <t>The blue planet : a natural history of the oceans / Andrew Byatt, Alastair Fothergill, and Martha Holmes.</t>
  </si>
  <si>
    <t>Byatt, Andrew.</t>
  </si>
  <si>
    <t>New York, NY : DK, 2001.</t>
  </si>
  <si>
    <t>1st US ed.</t>
  </si>
  <si>
    <t>2010-03-26</t>
  </si>
  <si>
    <t>2002-07-10</t>
  </si>
  <si>
    <t>14468304:eng</t>
  </si>
  <si>
    <t>48880798</t>
  </si>
  <si>
    <t>991003820629702656</t>
  </si>
  <si>
    <t>2269221420002656</t>
  </si>
  <si>
    <t>9780789482655</t>
  </si>
  <si>
    <t>32285004497490</t>
  </si>
  <si>
    <t>893887958</t>
  </si>
  <si>
    <t>QL121 .E58 1994</t>
  </si>
  <si>
    <t>0                      QL 0121000E  58          1994</t>
  </si>
  <si>
    <t>Monsters of the sea / Richard Ellis.</t>
  </si>
  <si>
    <t>Ellis, Richard, 1938-</t>
  </si>
  <si>
    <t>New York : Knopf, 1994.</t>
  </si>
  <si>
    <t>2003-02-25</t>
  </si>
  <si>
    <t>1995-12-05</t>
  </si>
  <si>
    <t>87326:eng</t>
  </si>
  <si>
    <t>29669349</t>
  </si>
  <si>
    <t>991002288819702656</t>
  </si>
  <si>
    <t>2269689330002656</t>
  </si>
  <si>
    <t>9780679406396</t>
  </si>
  <si>
    <t>32285002108081</t>
  </si>
  <si>
    <t>893341263</t>
  </si>
  <si>
    <t>QL121 .G33 1985</t>
  </si>
  <si>
    <t>0                      QL 0121000G  33          1985</t>
  </si>
  <si>
    <t>Larval forms, and other zoological verses / Walter Garstang ; with an introduction by Sir Alister Hardy and a foreword by Michael LaBarbera.</t>
  </si>
  <si>
    <t>Garstang, Walter, 1868-1949.</t>
  </si>
  <si>
    <t>Chicago : University of Chicago Press, 1985.</t>
  </si>
  <si>
    <t>1985</t>
  </si>
  <si>
    <t>ilu</t>
  </si>
  <si>
    <t>1999-11-29</t>
  </si>
  <si>
    <t>3855436981:eng</t>
  </si>
  <si>
    <t>12262983</t>
  </si>
  <si>
    <t>991000664809702656</t>
  </si>
  <si>
    <t>2270850690002656</t>
  </si>
  <si>
    <t>9780226284231</t>
  </si>
  <si>
    <t>32285001686277</t>
  </si>
  <si>
    <t>893315130</t>
  </si>
  <si>
    <t>QL121 .G4</t>
  </si>
  <si>
    <t>0                      QL 0121000G  4</t>
  </si>
  <si>
    <t>Marine life : an illustrated encyclopedia of invertebrates in the sea / by J. David George and Jennifer J. George ; with a foreword by Sir Eric Smith.</t>
  </si>
  <si>
    <t>George, J. David (John David)</t>
  </si>
  <si>
    <t>New York : Wiley, c1979.</t>
  </si>
  <si>
    <t>1979</t>
  </si>
  <si>
    <t>2008-05-19</t>
  </si>
  <si>
    <t>488864:eng</t>
  </si>
  <si>
    <t>4774511</t>
  </si>
  <si>
    <t>991004712119702656</t>
  </si>
  <si>
    <t>2257158130002656</t>
  </si>
  <si>
    <t>9780471056751</t>
  </si>
  <si>
    <t>32285001686285</t>
  </si>
  <si>
    <t>893618984</t>
  </si>
  <si>
    <t>QL121 .N28 1977</t>
  </si>
  <si>
    <t>0                      QL 0121000N  28          1977</t>
  </si>
  <si>
    <t>Marine organisms : genetics, ecology, and evolution / edited by Bruno Battaglia and John A. Beardmore.</t>
  </si>
  <si>
    <t>Nato Advanced Study Research Institute on Genetics, Evolution, and Ecology of Marine Organisms (1977 : Fondazione "Giorgio Cini")</t>
  </si>
  <si>
    <t>New York : Plenum Press, c1978.</t>
  </si>
  <si>
    <t>NATO conference series. IV, Marine sciences</t>
  </si>
  <si>
    <t>1998-12-07</t>
  </si>
  <si>
    <t>1995-10-05</t>
  </si>
  <si>
    <t>180386299:eng</t>
  </si>
  <si>
    <t>3912628</t>
  </si>
  <si>
    <t>991004544329702656</t>
  </si>
  <si>
    <t>2260233420002656</t>
  </si>
  <si>
    <t>9780306400209</t>
  </si>
  <si>
    <t>32285002067964</t>
  </si>
  <si>
    <t>893807208</t>
  </si>
  <si>
    <t>QL121 .N44 1970b</t>
  </si>
  <si>
    <t>0                      QL 0121000N  44          1970b</t>
  </si>
  <si>
    <t>Biology of intertidal animals, [by] R. C. Newell.</t>
  </si>
  <si>
    <t>Newell, R. C. (Richard Charles)</t>
  </si>
  <si>
    <t>London, Logos P., 1970.</t>
  </si>
  <si>
    <t>1970</t>
  </si>
  <si>
    <t>1186840:eng</t>
  </si>
  <si>
    <t>105670</t>
  </si>
  <si>
    <t>991000629909702656</t>
  </si>
  <si>
    <t>2263113530002656</t>
  </si>
  <si>
    <t>9780236177332</t>
  </si>
  <si>
    <t>32285002939386</t>
  </si>
  <si>
    <t>893595732</t>
  </si>
  <si>
    <t>QL121 .N5 1967</t>
  </si>
  <si>
    <t>0                      QL 0121000N  5           1967</t>
  </si>
  <si>
    <t>The biology of marine animals / by J. A. Colin Nicol.</t>
  </si>
  <si>
    <t>Nicol, J. A. Colin (Joseph Arthur Colin), 1915-2004.</t>
  </si>
  <si>
    <t>London : Pitman, 1967.</t>
  </si>
  <si>
    <t>2nd ed.</t>
  </si>
  <si>
    <t>2009-03-01</t>
  </si>
  <si>
    <t>1993-09-29</t>
  </si>
  <si>
    <t>1631819:eng</t>
  </si>
  <si>
    <t>955646</t>
  </si>
  <si>
    <t>991003415829702656</t>
  </si>
  <si>
    <t>2259976650002656</t>
  </si>
  <si>
    <t>32285001771269</t>
  </si>
  <si>
    <t>893535463</t>
  </si>
  <si>
    <t>QL121 .W45 1998</t>
  </si>
  <si>
    <t>0                      QL 0121000W  45          1998</t>
  </si>
  <si>
    <t>Civilization and the limpet / Martin Wells.</t>
  </si>
  <si>
    <t>Wells, Martin John.</t>
  </si>
  <si>
    <t>Reading, Mass. : Perseus Books, c1998.</t>
  </si>
  <si>
    <t>Helix books</t>
  </si>
  <si>
    <t>2001-09-27</t>
  </si>
  <si>
    <t>2001-02-28</t>
  </si>
  <si>
    <t>23459324:eng</t>
  </si>
  <si>
    <t>40153193</t>
  </si>
  <si>
    <t>991003496679702656</t>
  </si>
  <si>
    <t>2264203420002656</t>
  </si>
  <si>
    <t>9780738200170</t>
  </si>
  <si>
    <t>32285004298443</t>
  </si>
  <si>
    <t>893342616</t>
  </si>
  <si>
    <t>QL121 .W5</t>
  </si>
  <si>
    <t>0                      QL 0121000W  5</t>
  </si>
  <si>
    <t>Behavior of marine animals; current perspectives in research, edited by Howard E. Winn and Bori L. Olla.</t>
  </si>
  <si>
    <t>V.3</t>
  </si>
  <si>
    <t>Winn, Howard Elliott, 1926-</t>
  </si>
  <si>
    <t>New York, Plenum Press, 1972-</t>
  </si>
  <si>
    <t>2001-12-01</t>
  </si>
  <si>
    <t>2006-02-23</t>
  </si>
  <si>
    <t>1993-10-06</t>
  </si>
  <si>
    <t>4927535835:eng</t>
  </si>
  <si>
    <t>334507</t>
  </si>
  <si>
    <t>991002395509702656</t>
  </si>
  <si>
    <t>2257297480002656</t>
  </si>
  <si>
    <t>9780306375712</t>
  </si>
  <si>
    <t>32285001774917</t>
  </si>
  <si>
    <t>893798536</t>
  </si>
  <si>
    <t>V.1</t>
  </si>
  <si>
    <t>32285001774891</t>
  </si>
  <si>
    <t>893804564</t>
  </si>
  <si>
    <t>V.4</t>
  </si>
  <si>
    <t>32285001774925</t>
  </si>
  <si>
    <t>893798537</t>
  </si>
  <si>
    <t>V.2</t>
  </si>
  <si>
    <t>32285001774909</t>
  </si>
  <si>
    <t>893804565</t>
  </si>
  <si>
    <t>QL122 .C63 1973</t>
  </si>
  <si>
    <t>0                      QL 0122000C  63          1973</t>
  </si>
  <si>
    <t>The Ocean World of Jacques Cousteau.</t>
  </si>
  <si>
    <t>Cousteau, Jacques, 1910-1997.</t>
  </si>
  <si>
    <t>New York : Danbury Press, 1973.</t>
  </si>
  <si>
    <t>1973</t>
  </si>
  <si>
    <t xml:space="preserve">xx </t>
  </si>
  <si>
    <t>2001-02-21</t>
  </si>
  <si>
    <t>2008-04-06</t>
  </si>
  <si>
    <t>1993-02-05</t>
  </si>
  <si>
    <t>2908519411:eng</t>
  </si>
  <si>
    <t>975423</t>
  </si>
  <si>
    <t>991004229909702656</t>
  </si>
  <si>
    <t>2260176020002656</t>
  </si>
  <si>
    <t>32285001484491</t>
  </si>
  <si>
    <t>893882214</t>
  </si>
  <si>
    <t>V.11</t>
  </si>
  <si>
    <t>32285001484418</t>
  </si>
  <si>
    <t>893882217</t>
  </si>
  <si>
    <t>V.16</t>
  </si>
  <si>
    <t>1992-01-14</t>
  </si>
  <si>
    <t>32285000911783</t>
  </si>
  <si>
    <t>893900974</t>
  </si>
  <si>
    <t>2004-02-24</t>
  </si>
  <si>
    <t>32285001484517</t>
  </si>
  <si>
    <t>893888454</t>
  </si>
  <si>
    <t>V.8</t>
  </si>
  <si>
    <t>1995-12-04</t>
  </si>
  <si>
    <t>32285001484442</t>
  </si>
  <si>
    <t>893882213</t>
  </si>
  <si>
    <t>V.10</t>
  </si>
  <si>
    <t>32285001484426</t>
  </si>
  <si>
    <t>893875843</t>
  </si>
  <si>
    <t>V.13</t>
  </si>
  <si>
    <t>32285001484392</t>
  </si>
  <si>
    <t>893888453</t>
  </si>
  <si>
    <t>V.15</t>
  </si>
  <si>
    <t>1999-11-04</t>
  </si>
  <si>
    <t>32285001484384</t>
  </si>
  <si>
    <t>893900975</t>
  </si>
  <si>
    <t>V.20</t>
  </si>
  <si>
    <t>32285001484343</t>
  </si>
  <si>
    <t>893875840</t>
  </si>
  <si>
    <t>V.19</t>
  </si>
  <si>
    <t>32285001484350</t>
  </si>
  <si>
    <t>893882219</t>
  </si>
  <si>
    <t>V.12</t>
  </si>
  <si>
    <t>32285001484400</t>
  </si>
  <si>
    <t>893882216</t>
  </si>
  <si>
    <t>1994-02-14</t>
  </si>
  <si>
    <t>32285001484509</t>
  </si>
  <si>
    <t>893882215</t>
  </si>
  <si>
    <t>1993-10-11</t>
  </si>
  <si>
    <t>32285001484483</t>
  </si>
  <si>
    <t>893875841</t>
  </si>
  <si>
    <t>V.9</t>
  </si>
  <si>
    <t>32285001484434</t>
  </si>
  <si>
    <t>893875844</t>
  </si>
  <si>
    <t>V.6</t>
  </si>
  <si>
    <t>32285001484467</t>
  </si>
  <si>
    <t>893888451</t>
  </si>
  <si>
    <t>V.7</t>
  </si>
  <si>
    <t>32285001484459</t>
  </si>
  <si>
    <t>893888450</t>
  </si>
  <si>
    <t>V.5</t>
  </si>
  <si>
    <t>32285001484475</t>
  </si>
  <si>
    <t>893882218</t>
  </si>
  <si>
    <t>V.17</t>
  </si>
  <si>
    <t>32285001484376</t>
  </si>
  <si>
    <t>893888452</t>
  </si>
  <si>
    <t>V.14</t>
  </si>
  <si>
    <t>2001-03-27</t>
  </si>
  <si>
    <t>32285001482735</t>
  </si>
  <si>
    <t>893875842</t>
  </si>
  <si>
    <t>V.18</t>
  </si>
  <si>
    <t>32285001484368</t>
  </si>
  <si>
    <t>893882220</t>
  </si>
  <si>
    <t>QL122 .G36 1998</t>
  </si>
  <si>
    <t>0                      QL 0122000G  36          1998</t>
  </si>
  <si>
    <t>Secrets of the sea / [written by Linda Gamlin]</t>
  </si>
  <si>
    <t>Gamlin, Linda.</t>
  </si>
  <si>
    <t>London : Reader's Digest Association, 1998.</t>
  </si>
  <si>
    <t>The Earth, it wonders, its secrets</t>
  </si>
  <si>
    <t>2010-08-24</t>
  </si>
  <si>
    <t>1998-09-08</t>
  </si>
  <si>
    <t>3755176083:eng</t>
  </si>
  <si>
    <t>39501785</t>
  </si>
  <si>
    <t>991002957489702656</t>
  </si>
  <si>
    <t>2263651200002656</t>
  </si>
  <si>
    <t>9780762101092</t>
  </si>
  <si>
    <t>32285003466561</t>
  </si>
  <si>
    <t>893409756</t>
  </si>
  <si>
    <t>QL122.2 .H3668 2005</t>
  </si>
  <si>
    <t>0                      QL 0122200H  3668        2005</t>
  </si>
  <si>
    <t>Out of the blue / Paul Horsman ; photography by Seapics.com.</t>
  </si>
  <si>
    <t>Horsman, Paul V.</t>
  </si>
  <si>
    <t>Cambridge, Mass. : MIT Press, c2005.</t>
  </si>
  <si>
    <t>2008-06-04</t>
  </si>
  <si>
    <t>134978586:eng</t>
  </si>
  <si>
    <t>57669579</t>
  </si>
  <si>
    <t>991005221899702656</t>
  </si>
  <si>
    <t>2256259640002656</t>
  </si>
  <si>
    <t>9780262083416</t>
  </si>
  <si>
    <t>32285005442198</t>
  </si>
  <si>
    <t>893613328</t>
  </si>
  <si>
    <t>QL123 .T64 1996</t>
  </si>
  <si>
    <t>0                      QL 0123000T  64          1996</t>
  </si>
  <si>
    <t>Coastal marine zooplankton : a practical manual for students / C.D. Todd, M.S. Laverack &amp; G.A. Boxshall.</t>
  </si>
  <si>
    <t>Todd, C. D.</t>
  </si>
  <si>
    <t>Cambridge ; New York : Cambridge University Press, 1996.</t>
  </si>
  <si>
    <t>2009-12-01</t>
  </si>
  <si>
    <t>1996-07-15</t>
  </si>
  <si>
    <t>836729287:eng</t>
  </si>
  <si>
    <t>32893739</t>
  </si>
  <si>
    <t>991002531589702656</t>
  </si>
  <si>
    <t>2258121680002656</t>
  </si>
  <si>
    <t>9780521555333</t>
  </si>
  <si>
    <t>32285002212339</t>
  </si>
  <si>
    <t>893251339</t>
  </si>
  <si>
    <t>QL123 .Z62</t>
  </si>
  <si>
    <t>0                      QL 0123000Z  62</t>
  </si>
  <si>
    <t>Zoogeography and diversity of plankton / edited by S. van der Spoel and A. C. Pierrot-Bults.</t>
  </si>
  <si>
    <t>New York : Halsted Press, c1979.</t>
  </si>
  <si>
    <t>2008-03-13</t>
  </si>
  <si>
    <t>355912531:eng</t>
  </si>
  <si>
    <t>5219667</t>
  </si>
  <si>
    <t>991004802359702656</t>
  </si>
  <si>
    <t>2268335230002656</t>
  </si>
  <si>
    <t>9780470267981</t>
  </si>
  <si>
    <t>32285001686293</t>
  </si>
  <si>
    <t>893229851</t>
  </si>
  <si>
    <t>QL138 .H99 1985</t>
  </si>
  <si>
    <t>0                      QL 0138000H  99          1985</t>
  </si>
  <si>
    <t>Hydrothermal vents of the eastern Pacific : an overview / sponsored by the National Science Foundation ... [et al.] ; Meredith L. Jones, editor.</t>
  </si>
  <si>
    <t>Vienna, Va. : INFAX, 1985.</t>
  </si>
  <si>
    <t>vau</t>
  </si>
  <si>
    <t>Bulletin of the Biological Society of Washington ; no. 6</t>
  </si>
  <si>
    <t>2008-01-30</t>
  </si>
  <si>
    <t>1992-04-09</t>
  </si>
  <si>
    <t>796149348:eng</t>
  </si>
  <si>
    <t>12980315</t>
  </si>
  <si>
    <t>991000764659702656</t>
  </si>
  <si>
    <t>2268718650002656</t>
  </si>
  <si>
    <t>9780933937024</t>
  </si>
  <si>
    <t>32285001066553</t>
  </si>
  <si>
    <t>893903154</t>
  </si>
  <si>
    <t>QL138 .R5 1968</t>
  </si>
  <si>
    <t>0                      QL 0138000R  5           1968</t>
  </si>
  <si>
    <t>Between Pacific tides [by] Edward F. Ricketts and Jack Calvin. Rev. by Joel W. Hedgpeth.</t>
  </si>
  <si>
    <t>Ricketts, Edward Flanders, 1897-1948.</t>
  </si>
  <si>
    <t>Stanford, Calif., Stanford University Press, 1968.</t>
  </si>
  <si>
    <t>4th ed.</t>
  </si>
  <si>
    <t>cau</t>
  </si>
  <si>
    <t>3855330465:eng</t>
  </si>
  <si>
    <t>173801</t>
  </si>
  <si>
    <t>991001021619702656</t>
  </si>
  <si>
    <t>2268451480002656</t>
  </si>
  <si>
    <t>32285002939402</t>
  </si>
  <si>
    <t>893426257</t>
  </si>
  <si>
    <t>QL141 .D48 1982</t>
  </si>
  <si>
    <t>0                      QL 0141000D  48          1982</t>
  </si>
  <si>
    <t>Developmental biology of freshwater invertebrates / editors, Frederick W. Harrison, Ronald R. Cowden.</t>
  </si>
  <si>
    <t>New York : Liss, c1982.</t>
  </si>
  <si>
    <t>2002-04-08</t>
  </si>
  <si>
    <t>352985305:eng</t>
  </si>
  <si>
    <t>8708286</t>
  </si>
  <si>
    <t>991000054639702656</t>
  </si>
  <si>
    <t>2255520550002656</t>
  </si>
  <si>
    <t>9780845102220</t>
  </si>
  <si>
    <t>32285001686301</t>
  </si>
  <si>
    <t>893419151</t>
  </si>
  <si>
    <t>QL141 .P45 1989</t>
  </si>
  <si>
    <t>0                      QL 0141000P  45          1989</t>
  </si>
  <si>
    <t>Fresh-water invertebrates of the United States : protozoa to mollusca / Robert W. Pennak.</t>
  </si>
  <si>
    <t>Pennak, Robert W. (Robert William)</t>
  </si>
  <si>
    <t>New York : Wiley, c1989.</t>
  </si>
  <si>
    <t>1989</t>
  </si>
  <si>
    <t>3rd ed.</t>
  </si>
  <si>
    <t>2010-11-09</t>
  </si>
  <si>
    <t>1992-06-11</t>
  </si>
  <si>
    <t>3943516701:eng</t>
  </si>
  <si>
    <t>18292075</t>
  </si>
  <si>
    <t>991001328549702656</t>
  </si>
  <si>
    <t>2264552690002656</t>
  </si>
  <si>
    <t>9780471631187</t>
  </si>
  <si>
    <t>32285001130961</t>
  </si>
  <si>
    <t>893590202</t>
  </si>
  <si>
    <t>QL143 .E96</t>
  </si>
  <si>
    <t>0                      QL 0143000E  96</t>
  </si>
  <si>
    <t>Evolution and ecology of zooplankton communities / W. Charles Kerfoot, editor.</t>
  </si>
  <si>
    <t>Hanover, N.H. : University Press of New England, 1980.</t>
  </si>
  <si>
    <t>nhu</t>
  </si>
  <si>
    <t>54646546:eng</t>
  </si>
  <si>
    <t>6555516</t>
  </si>
  <si>
    <t>991005003879702656</t>
  </si>
  <si>
    <t>2254846680002656</t>
  </si>
  <si>
    <t>9780874511802</t>
  </si>
  <si>
    <t>32285001686319</t>
  </si>
  <si>
    <t>893248209</t>
  </si>
  <si>
    <t>QL143 .L48</t>
  </si>
  <si>
    <t>0                      QL 0143000L  48</t>
  </si>
  <si>
    <t>Zooplankton community analysis : studies on a tropical system / William M. Lewis, Jr.</t>
  </si>
  <si>
    <t>Lewis, William M., Jr., 1945-</t>
  </si>
  <si>
    <t>New York : Springer-Verlag, c1979.</t>
  </si>
  <si>
    <t>2008-04-11</t>
  </si>
  <si>
    <t>895890719:eng</t>
  </si>
  <si>
    <t>5170716</t>
  </si>
  <si>
    <t>991004789839702656</t>
  </si>
  <si>
    <t>2256992540002656</t>
  </si>
  <si>
    <t>9780387904344</t>
  </si>
  <si>
    <t>32285001686327</t>
  </si>
  <si>
    <t>893260170</t>
  </si>
  <si>
    <t>QL15 .H38 1972</t>
  </si>
  <si>
    <t>0                      QL 0015000H  38          1972</t>
  </si>
  <si>
    <t>Birds, beasts, and men : a humanist history of zoology / by H. R. Hays.</t>
  </si>
  <si>
    <t>Hays, H. R. (Hoffman Reynolds), 1904-1980.</t>
  </si>
  <si>
    <t>New York : Putnam, [1972]</t>
  </si>
  <si>
    <t>1999-07-21</t>
  </si>
  <si>
    <t>1481882:eng</t>
  </si>
  <si>
    <t>292977</t>
  </si>
  <si>
    <t>991002228619702656</t>
  </si>
  <si>
    <t>2265489120002656</t>
  </si>
  <si>
    <t>32285001685956</t>
  </si>
  <si>
    <t>893262162</t>
  </si>
  <si>
    <t>QL151 .A85</t>
  </si>
  <si>
    <t>0                      QL 0151000A  85</t>
  </si>
  <si>
    <t>Audubon's wildlife : with selections from the writings of John James Audubon / [editor:] Edwin Way Teale.</t>
  </si>
  <si>
    <t>Audubon, John James, 1785-1851.</t>
  </si>
  <si>
    <t>New York : Viking Press, [1964]</t>
  </si>
  <si>
    <t>A Studio book</t>
  </si>
  <si>
    <t>1990-05-22</t>
  </si>
  <si>
    <t>32410926:eng</t>
  </si>
  <si>
    <t>1353570</t>
  </si>
  <si>
    <t>991003712149702656</t>
  </si>
  <si>
    <t>2262513110002656</t>
  </si>
  <si>
    <t>32285000157668</t>
  </si>
  <si>
    <t>893512266</t>
  </si>
  <si>
    <t>QL151 .K36 1995</t>
  </si>
  <si>
    <t>0                      QL 0151000K  36          1995</t>
  </si>
  <si>
    <t>Wild life : the remarkable lives of ordinary animals / Edward Kanze ; illustrated by Jennifer Harper.</t>
  </si>
  <si>
    <t>Kanze, Edward.</t>
  </si>
  <si>
    <t>New York : Crown, c1995.</t>
  </si>
  <si>
    <t>2001-02-12</t>
  </si>
  <si>
    <t>1996-10-02</t>
  </si>
  <si>
    <t>4230280730:eng</t>
  </si>
  <si>
    <t>32085304</t>
  </si>
  <si>
    <t>991002461639702656</t>
  </si>
  <si>
    <t>2272299980002656</t>
  </si>
  <si>
    <t>9780517701690</t>
  </si>
  <si>
    <t>32285002322195</t>
  </si>
  <si>
    <t>893530022</t>
  </si>
  <si>
    <t>QL151 .W65 1990</t>
  </si>
  <si>
    <t>0                      QL 0151000W  65          1990</t>
  </si>
  <si>
    <t>The kingdom : wildlife in North America / photographs by Art Wolfe ; text by Douglas Chadwick.</t>
  </si>
  <si>
    <t>Wolfe, Art.</t>
  </si>
  <si>
    <t>San Francisco : Sierra Club Books ; Washington, D.C. : National Wildlife Federation, 1990.</t>
  </si>
  <si>
    <t>1990</t>
  </si>
  <si>
    <t>1994-03-19</t>
  </si>
  <si>
    <t>1991-07-03</t>
  </si>
  <si>
    <t>22872716:eng</t>
  </si>
  <si>
    <t>21331178</t>
  </si>
  <si>
    <t>991001676079702656</t>
  </si>
  <si>
    <t>2261637810002656</t>
  </si>
  <si>
    <t>9780871566171</t>
  </si>
  <si>
    <t>32285000660117</t>
  </si>
  <si>
    <t>893444757</t>
  </si>
  <si>
    <t>QL155 .E3 1982</t>
  </si>
  <si>
    <t>0                      QL 0155000E  3           1982</t>
  </si>
  <si>
    <t>Taxonomic keys to the common animals of the North Central States : exclusive of the parasitic worms, terrestrial insects, and birds / by Samuel Eddy, A. C. Hodson.</t>
  </si>
  <si>
    <t>Eddy, Samuel, 1897-1972.</t>
  </si>
  <si>
    <t>Minneapolis : Burgess, c1982.</t>
  </si>
  <si>
    <t>4th ed. / rev. by James C. Underhill, William D. Schmid, Donald E. Gilbertson.</t>
  </si>
  <si>
    <t>mnu</t>
  </si>
  <si>
    <t>1993-05-25</t>
  </si>
  <si>
    <t>236788077:eng</t>
  </si>
  <si>
    <t>8440851</t>
  </si>
  <si>
    <t>991005243839702656</t>
  </si>
  <si>
    <t>2262197280002656</t>
  </si>
  <si>
    <t>9780808722106</t>
  </si>
  <si>
    <t>32285001686343</t>
  </si>
  <si>
    <t>893625684</t>
  </si>
  <si>
    <t>QL155 .H6 1927</t>
  </si>
  <si>
    <t>0                      QL 0155000H  6           1927</t>
  </si>
  <si>
    <t>Hornaday's American natural history; a foundation of useful knowledge of the higher animals of North America.</t>
  </si>
  <si>
    <t>Hornaday, William T. (William Temple), 1854-1937.</t>
  </si>
  <si>
    <t>New York, C. Scribner's sons, c1927.</t>
  </si>
  <si>
    <t>1927</t>
  </si>
  <si>
    <t>13th ed., rev.</t>
  </si>
  <si>
    <t>1999-02-19</t>
  </si>
  <si>
    <t>3855369647:eng</t>
  </si>
  <si>
    <t>5107653</t>
  </si>
  <si>
    <t>991004781009702656</t>
  </si>
  <si>
    <t>2272589520002656</t>
  </si>
  <si>
    <t>32285002939436</t>
  </si>
  <si>
    <t>893901752</t>
  </si>
  <si>
    <t>QL155 .P7</t>
  </si>
  <si>
    <t>0                      QL 0155000P  7</t>
  </si>
  <si>
    <t>A manual of land and fresh water vertebrate animals of the United States (exclusive of birds) by Henry Sherring Pratt ... with 184 illustrations.</t>
  </si>
  <si>
    <t>Pratt, Henry Sherring, 1859-1946.</t>
  </si>
  <si>
    <t>Philadelphia, Blakiston's [c1923]</t>
  </si>
  <si>
    <t>1923</t>
  </si>
  <si>
    <t>1974069:eng</t>
  </si>
  <si>
    <t>991373</t>
  </si>
  <si>
    <t>991003452489702656</t>
  </si>
  <si>
    <t>2256900990002656</t>
  </si>
  <si>
    <t>32285002939444</t>
  </si>
  <si>
    <t>893422579</t>
  </si>
  <si>
    <t>QL161 .N42</t>
  </si>
  <si>
    <t>0                      QL 0161000N  42</t>
  </si>
  <si>
    <t>Report upon natural history collections made in Alaska between the years 1877 and 1881 / by Edward W. Nelson. ; Ed. by Henry W. Henshaw.</t>
  </si>
  <si>
    <t>Nelson, Edward William, 1855-1934.</t>
  </si>
  <si>
    <t>Washington : Government Printing Office, 1887.</t>
  </si>
  <si>
    <t>1887</t>
  </si>
  <si>
    <t>___</t>
  </si>
  <si>
    <t>Arctic series of publications issued in connection with the Signal Service, U.S. Army, no. III</t>
  </si>
  <si>
    <t>2001-10-24</t>
  </si>
  <si>
    <t>347581347:eng</t>
  </si>
  <si>
    <t>944162</t>
  </si>
  <si>
    <t>991003404539702656</t>
  </si>
  <si>
    <t>2265333690002656</t>
  </si>
  <si>
    <t>32285001686350</t>
  </si>
  <si>
    <t>893881127</t>
  </si>
  <si>
    <t>QL207 .W38 1979</t>
  </si>
  <si>
    <t>0                      QL 0207000W  38          1979</t>
  </si>
  <si>
    <t>Naturalist's Big Bend : an introduction to the trees and shrubs, wildflowers, cacti, mammals, birds, reptiles and amphibians, fish, and insects / by Roland H. Wauer.</t>
  </si>
  <si>
    <t>Wauer, Roland H.</t>
  </si>
  <si>
    <t>College Station : Texas A &amp; M University Press, 1980.</t>
  </si>
  <si>
    <t>txu</t>
  </si>
  <si>
    <t>1998-02-23</t>
  </si>
  <si>
    <t>796158108:eng</t>
  </si>
  <si>
    <t>5675262</t>
  </si>
  <si>
    <t>991004856309702656</t>
  </si>
  <si>
    <t>2260640210002656</t>
  </si>
  <si>
    <t>9780890960691</t>
  </si>
  <si>
    <t>32285001686376</t>
  </si>
  <si>
    <t>893889377</t>
  </si>
  <si>
    <t>QL243 .C44 2008</t>
  </si>
  <si>
    <t>0                      QL 0243000C  44          2008</t>
  </si>
  <si>
    <t>A wildlife guide to Chile : continental Chile, Chilean Antarctica, Easter Island, Juan Fernandez Archipelago / Sharon Chester.</t>
  </si>
  <si>
    <t>Chester, Sharon R.</t>
  </si>
  <si>
    <t>Princeton, N.J. : Princeton University Press, c2008.</t>
  </si>
  <si>
    <t>2008</t>
  </si>
  <si>
    <t>nju</t>
  </si>
  <si>
    <t>2009-01-20</t>
  </si>
  <si>
    <t>263814238:eng</t>
  </si>
  <si>
    <t>173502714</t>
  </si>
  <si>
    <t>991005282799702656</t>
  </si>
  <si>
    <t>2268486840002656</t>
  </si>
  <si>
    <t>9780691129754</t>
  </si>
  <si>
    <t>32285005479935</t>
  </si>
  <si>
    <t>893877238</t>
  </si>
  <si>
    <t>QL246 .B35 1925</t>
  </si>
  <si>
    <t>0                      QL 0246000B  35          1925</t>
  </si>
  <si>
    <t>Jungle days / by William Beebe.</t>
  </si>
  <si>
    <t>Beebe, William, 1877-1962.</t>
  </si>
  <si>
    <t>New York ; London : G.P. Putnam's Sons, 1925.</t>
  </si>
  <si>
    <t>1925</t>
  </si>
  <si>
    <t>2000-09-21</t>
  </si>
  <si>
    <t>1909048881:eng</t>
  </si>
  <si>
    <t>556835</t>
  </si>
  <si>
    <t>991003289669702656</t>
  </si>
  <si>
    <t>2259936980002656</t>
  </si>
  <si>
    <t>32285003763975</t>
  </si>
  <si>
    <t>893258268</t>
  </si>
  <si>
    <t>QL26 .L426 2010</t>
  </si>
  <si>
    <t>0                      QL 0026000L  426         2010</t>
  </si>
  <si>
    <t>Leaders in animal behavior : the second generation / edited by Lee Drickamer, Donald Dewsbury.</t>
  </si>
  <si>
    <t>New York : Cambridge University Press, 2010.</t>
  </si>
  <si>
    <t>2010</t>
  </si>
  <si>
    <t>2010-04-12</t>
  </si>
  <si>
    <t>1028062182:eng</t>
  </si>
  <si>
    <t>351331776</t>
  </si>
  <si>
    <t>991005379439702656</t>
  </si>
  <si>
    <t>2258905840002656</t>
  </si>
  <si>
    <t>9780521517584</t>
  </si>
  <si>
    <t>32285005562870</t>
  </si>
  <si>
    <t>893248830</t>
  </si>
  <si>
    <t>QL26 .L43 1985</t>
  </si>
  <si>
    <t>0                      QL 0026000L  43          1985</t>
  </si>
  <si>
    <t>Leaders in the study of animal behavior : autobiographical perspectives / edited by Donald A. Dewsbury.</t>
  </si>
  <si>
    <t>Lewisburg [Pa.] : Bucknell University Press ; London : Associated University Presses, c1985.</t>
  </si>
  <si>
    <t>Animal behavior series</t>
  </si>
  <si>
    <t>2009-10-26</t>
  </si>
  <si>
    <t>3855271971:eng</t>
  </si>
  <si>
    <t>11043774</t>
  </si>
  <si>
    <t>991000478369702656</t>
  </si>
  <si>
    <t>2261747670002656</t>
  </si>
  <si>
    <t>9780838750520</t>
  </si>
  <si>
    <t>32285001685964</t>
  </si>
  <si>
    <t>893702137</t>
  </si>
  <si>
    <t>QL31.A9 H3 2004</t>
  </si>
  <si>
    <t>0                      QL 0031000A  9                  H  3           2004</t>
  </si>
  <si>
    <t>Audubon's elephant : America's greatest naturalist and the making of the Birds of America / Duff Hart-Davis.</t>
  </si>
  <si>
    <t>Hart-Davis, Duff.</t>
  </si>
  <si>
    <t>New York : H. Holt, 2004.</t>
  </si>
  <si>
    <t>1st American ed.</t>
  </si>
  <si>
    <t>2004-11-29</t>
  </si>
  <si>
    <t>3372241741:eng</t>
  </si>
  <si>
    <t>52858489</t>
  </si>
  <si>
    <t>991004413249702656</t>
  </si>
  <si>
    <t>2260716910002656</t>
  </si>
  <si>
    <t>9780805075687</t>
  </si>
  <si>
    <t>32285005012967</t>
  </si>
  <si>
    <t>893423766</t>
  </si>
  <si>
    <t>QL31.A9 S68 2004</t>
  </si>
  <si>
    <t>0                      QL 0031000A  9                  S  68          2004</t>
  </si>
  <si>
    <t>Under a wild sky : John James Audubon and the making of the Birds of America / William Souder.</t>
  </si>
  <si>
    <t>Souder, William, 1949-</t>
  </si>
  <si>
    <t>New York : North Point Press, 2004.</t>
  </si>
  <si>
    <t>2004-11-30</t>
  </si>
  <si>
    <t>83375:eng</t>
  </si>
  <si>
    <t>53839872</t>
  </si>
  <si>
    <t>991004413219702656</t>
  </si>
  <si>
    <t>2271102110002656</t>
  </si>
  <si>
    <t>9780865476714</t>
  </si>
  <si>
    <t>32285005013932</t>
  </si>
  <si>
    <t>893349970</t>
  </si>
  <si>
    <t>QL31.C34 D38 2007</t>
  </si>
  <si>
    <t>0                      QL 0031000C  34                 D  38          2007</t>
  </si>
  <si>
    <t>The man who saved sea turtles : Archie Carr and the origins of conservation biology / Frederick Rowe Davis.</t>
  </si>
  <si>
    <t>Davis, Frederick Rowe, 1965-</t>
  </si>
  <si>
    <t>Oxford ; New York : Oxford University Press, 2007.</t>
  </si>
  <si>
    <t>2008-03-17</t>
  </si>
  <si>
    <t>202132617:eng</t>
  </si>
  <si>
    <t>71312826</t>
  </si>
  <si>
    <t>991005183559702656</t>
  </si>
  <si>
    <t>2266347720002656</t>
  </si>
  <si>
    <t>9780195310771</t>
  </si>
  <si>
    <t>32285005397244</t>
  </si>
  <si>
    <t>893701153</t>
  </si>
  <si>
    <t>QL31.C54 A3 1962</t>
  </si>
  <si>
    <t>0                      QL 0031000C  54                 A  3           1962</t>
  </si>
  <si>
    <t>Three thousand coyotes and I : memoirs of a zoology professor, State University of South Dakota / by Edward P. Churchill.</t>
  </si>
  <si>
    <t>Churchill, E. P. (Edward Perry), 1882-1976.</t>
  </si>
  <si>
    <t>Vermillion : State University of South Dakota, 1962.</t>
  </si>
  <si>
    <t>sdu</t>
  </si>
  <si>
    <t>2003-06-03</t>
  </si>
  <si>
    <t>19742136:eng</t>
  </si>
  <si>
    <t>5718039</t>
  </si>
  <si>
    <t>991004069199702656</t>
  </si>
  <si>
    <t>2261362780002656</t>
  </si>
  <si>
    <t>32285004750179</t>
  </si>
  <si>
    <t>893593231</t>
  </si>
  <si>
    <t>QL31.E79 A3 2000</t>
  </si>
  <si>
    <t>0                      QL 0031000E  79                 A  3           2000</t>
  </si>
  <si>
    <t>Maggots, murder, and men : memories and reflections of a forensic entomologist / Zakaria Erzin*clio*glu.</t>
  </si>
  <si>
    <t>Erzinçlioğlu, Zakaria.</t>
  </si>
  <si>
    <t>Colchester, Essex, England : Harley Books, c2000.</t>
  </si>
  <si>
    <t>2008-11-21</t>
  </si>
  <si>
    <t>2001-12-11</t>
  </si>
  <si>
    <t>675496:eng</t>
  </si>
  <si>
    <t>45767518</t>
  </si>
  <si>
    <t>991003666159702656</t>
  </si>
  <si>
    <t>2266880000002656</t>
  </si>
  <si>
    <t>9780946589654</t>
  </si>
  <si>
    <t>32285004427364</t>
  </si>
  <si>
    <t>893611290</t>
  </si>
  <si>
    <t>QL31.F65 H39 1990</t>
  </si>
  <si>
    <t>0                      QL 0031000F  65                 H  39          1990</t>
  </si>
  <si>
    <t>The dark romance of Dian Fossey / Harold T.P. Hayes.</t>
  </si>
  <si>
    <t>Hayes, Harold.</t>
  </si>
  <si>
    <t>New York : Simon and Schuster, c1990.</t>
  </si>
  <si>
    <t>1997-02-24</t>
  </si>
  <si>
    <t>1990-09-20</t>
  </si>
  <si>
    <t>18952360:eng</t>
  </si>
  <si>
    <t>21374370</t>
  </si>
  <si>
    <t>991001682899702656</t>
  </si>
  <si>
    <t>2262942770002656</t>
  </si>
  <si>
    <t>9780671633394</t>
  </si>
  <si>
    <t>32285000277466</t>
  </si>
  <si>
    <t>893261906</t>
  </si>
  <si>
    <t>QL31.F65 M69 1987</t>
  </si>
  <si>
    <t>0                      QL 0031000F  65                 M  69          1987</t>
  </si>
  <si>
    <t>Woman in the mists : the story of Dian Fossey and the mountain gorillas of Africa / Farley Mowat.</t>
  </si>
  <si>
    <t>Mowat, Farley.</t>
  </si>
  <si>
    <t>New York, NY : Warner Books, c1987.</t>
  </si>
  <si>
    <t>2007-04-25</t>
  </si>
  <si>
    <t>1991-10-28</t>
  </si>
  <si>
    <t>12288758:eng</t>
  </si>
  <si>
    <t>16227410</t>
  </si>
  <si>
    <t>991001094039702656</t>
  </si>
  <si>
    <t>2264870080002656</t>
  </si>
  <si>
    <t>9780446513609</t>
  </si>
  <si>
    <t>32285000801927</t>
  </si>
  <si>
    <t>893891296</t>
  </si>
  <si>
    <t>QL31.G34 A3 1995</t>
  </si>
  <si>
    <t>0                      QL 0031000G  34                 A  3           1995</t>
  </si>
  <si>
    <t>Reflections of Eden : my years with the orangutans of Borneo / Biruté M.F. Galdikas.</t>
  </si>
  <si>
    <t>Galdikas, Biruté Marija Filomena.</t>
  </si>
  <si>
    <t>Boston : Little, Brown, c1995.</t>
  </si>
  <si>
    <t>1995-02-28</t>
  </si>
  <si>
    <t>1995-02-13</t>
  </si>
  <si>
    <t>24135287:eng</t>
  </si>
  <si>
    <t>30919372</t>
  </si>
  <si>
    <t>991002380279702656</t>
  </si>
  <si>
    <t>2264810380002656</t>
  </si>
  <si>
    <t>9780316301817</t>
  </si>
  <si>
    <t>32285001998318</t>
  </si>
  <si>
    <t>893440090</t>
  </si>
  <si>
    <t>QL31.H42 A33 1984</t>
  </si>
  <si>
    <t>0                      QL 0031000H  42                 A  33          1984</t>
  </si>
  <si>
    <t>In a patch of fireweed / Bernd Heinrich.</t>
  </si>
  <si>
    <t>Heinrich, Bernd, 1940-</t>
  </si>
  <si>
    <t>Cambridge, Mass. : Harvard University Press, 1984.</t>
  </si>
  <si>
    <t>1984</t>
  </si>
  <si>
    <t>2006-10-09</t>
  </si>
  <si>
    <t>138466918:eng</t>
  </si>
  <si>
    <t>9896517</t>
  </si>
  <si>
    <t>991000277439702656</t>
  </si>
  <si>
    <t>2264310760002656</t>
  </si>
  <si>
    <t>9780674445482</t>
  </si>
  <si>
    <t>32285001685980</t>
  </si>
  <si>
    <t>893407071</t>
  </si>
  <si>
    <t>QL31.H85 A3</t>
  </si>
  <si>
    <t>0                      QL 0031000H  85                 A  3</t>
  </si>
  <si>
    <t>Far away and long ago : a history of my early life / by W. H. Hudson.</t>
  </si>
  <si>
    <t>Hudson, W. H. (William Henry), 1841-1922.</t>
  </si>
  <si>
    <t>New York : Dutton, 1925, c1918.</t>
  </si>
  <si>
    <t>Special school ed.</t>
  </si>
  <si>
    <t>2006-07-07</t>
  </si>
  <si>
    <t>1997-07-18</t>
  </si>
  <si>
    <t>474578:eng</t>
  </si>
  <si>
    <t>3507256</t>
  </si>
  <si>
    <t>991004450279702656</t>
  </si>
  <si>
    <t>2255916420002656</t>
  </si>
  <si>
    <t>32285002938537</t>
  </si>
  <si>
    <t>893506857</t>
  </si>
  <si>
    <t>QL31.J56 J36 2008</t>
  </si>
  <si>
    <t>0                      QL 0031000J  56                 J  36          2008</t>
  </si>
  <si>
    <t>The snake charmer : a life and death in pursuit of knowledge / Jamie James.</t>
  </si>
  <si>
    <t>James, Jamie.</t>
  </si>
  <si>
    <t>New York : Hyperion, c2008.</t>
  </si>
  <si>
    <t>2008-09-29</t>
  </si>
  <si>
    <t>865658950:eng</t>
  </si>
  <si>
    <t>166372889</t>
  </si>
  <si>
    <t>991005267119702656</t>
  </si>
  <si>
    <t>2266992860002656</t>
  </si>
  <si>
    <t>9781401302139</t>
  </si>
  <si>
    <t>32285005460976</t>
  </si>
  <si>
    <t>893520742</t>
  </si>
  <si>
    <t>QL31.L76 G74 2009</t>
  </si>
  <si>
    <t>0                      QL 0031000L  76                 G  74          2009</t>
  </si>
  <si>
    <t>The goose man : the story of Konrad Lorenz / Elaine Greenstein.</t>
  </si>
  <si>
    <t>Greenstein, Elaine.</t>
  </si>
  <si>
    <t>Boston : Clarion Books, 2009.</t>
  </si>
  <si>
    <t>2009</t>
  </si>
  <si>
    <t>2010-02-10</t>
  </si>
  <si>
    <t>155024172:eng</t>
  </si>
  <si>
    <t>263146948</t>
  </si>
  <si>
    <t>991005363909702656</t>
  </si>
  <si>
    <t>2265563320002656</t>
  </si>
  <si>
    <t>9780547084596</t>
  </si>
  <si>
    <t>32285005572879</t>
  </si>
  <si>
    <t>893862409</t>
  </si>
  <si>
    <t>QL31.M63 A3 2008</t>
  </si>
  <si>
    <t>0                      QL 0031000M  63                 A  3           2008</t>
  </si>
  <si>
    <t>The soul of a rhino : a Nepali adventure with kings and elephant drivers, billionaires and bureaucrats, shamans and scientists, and the Indian rhinoceros / Hemanta R. Mishra with Jim Ottaway, Jr. ; with forewords by Bruce Babbitt and Jim Fowler.</t>
  </si>
  <si>
    <t>Mishra, Hemanta R.</t>
  </si>
  <si>
    <t>Guilford, Conn. : Lyons Press, 2008.</t>
  </si>
  <si>
    <t>ctu</t>
  </si>
  <si>
    <t>2010-03-29</t>
  </si>
  <si>
    <t>3855921248:eng</t>
  </si>
  <si>
    <t>167499336</t>
  </si>
  <si>
    <t>991005222349702656</t>
  </si>
  <si>
    <t>2272142000002656</t>
  </si>
  <si>
    <t>9781599211466</t>
  </si>
  <si>
    <t>32285005441992</t>
  </si>
  <si>
    <t>893412523</t>
  </si>
  <si>
    <t>QL31.N23 J644 1999</t>
  </si>
  <si>
    <t>0                      QL 0031000N  23                 J  644         1999</t>
  </si>
  <si>
    <t>Nabokov's blues : the scientific odyssey of a literary genius / Kurt Johnson, Steve Coates.</t>
  </si>
  <si>
    <t>Johnson, Kurt.</t>
  </si>
  <si>
    <t>Cambridge, Mass. : Zoland Books, 1999.</t>
  </si>
  <si>
    <t>2000-09-19</t>
  </si>
  <si>
    <t>2000-07-26</t>
  </si>
  <si>
    <t>35049294:eng</t>
  </si>
  <si>
    <t>41346998</t>
  </si>
  <si>
    <t>991003220149702656</t>
  </si>
  <si>
    <t>2264231340002656</t>
  </si>
  <si>
    <t>9781581950090</t>
  </si>
  <si>
    <t>32285003742557</t>
  </si>
  <si>
    <t>893227813</t>
  </si>
  <si>
    <t>QL31.P15 A3 1994</t>
  </si>
  <si>
    <t>0                      QL 0031000P  15                 A  3           1994</t>
  </si>
  <si>
    <t>Into Africa / Craig Packer.</t>
  </si>
  <si>
    <t>Packer, Craig.</t>
  </si>
  <si>
    <t>Chicago : University of Chicago Press, 1994.</t>
  </si>
  <si>
    <t>2006-02-26</t>
  </si>
  <si>
    <t>1995-04-10</t>
  </si>
  <si>
    <t>3901395471:eng</t>
  </si>
  <si>
    <t>29952612</t>
  </si>
  <si>
    <t>991002308609702656</t>
  </si>
  <si>
    <t>2263369150002656</t>
  </si>
  <si>
    <t>9780226644295</t>
  </si>
  <si>
    <t>32285002017415</t>
  </si>
  <si>
    <t>893328920</t>
  </si>
  <si>
    <t>QL31.P45 R67 2008</t>
  </si>
  <si>
    <t>0                      QL 0031000P  45                 R  67          2008</t>
  </si>
  <si>
    <t>Birdwatcher : the life of Roger Tory Peterson / Elizabeth J. Rosenthal.</t>
  </si>
  <si>
    <t>Rosenthal, Elizabeth J.</t>
  </si>
  <si>
    <t>Guilford, Conn. : Lyons Press, c2008.</t>
  </si>
  <si>
    <t>2009-06-11</t>
  </si>
  <si>
    <t>312829545:eng</t>
  </si>
  <si>
    <t>176926490</t>
  </si>
  <si>
    <t>991005319509702656</t>
  </si>
  <si>
    <t>2258267580002656</t>
  </si>
  <si>
    <t>9781599212944</t>
  </si>
  <si>
    <t>32285005534549</t>
  </si>
  <si>
    <t>893870887</t>
  </si>
  <si>
    <t>QL31.P68 A3 1996</t>
  </si>
  <si>
    <t>0                      QL 0031000P  68                 A  3           1996</t>
  </si>
  <si>
    <t>Coming of age with elephants : a memoir / by Joyce Poole.</t>
  </si>
  <si>
    <t>Poole, Joyce, 1956-</t>
  </si>
  <si>
    <t>New York : Hyperion, c1996.</t>
  </si>
  <si>
    <t>2003-02-20</t>
  </si>
  <si>
    <t>1996-04-16</t>
  </si>
  <si>
    <t>43781400:eng</t>
  </si>
  <si>
    <t>33244376</t>
  </si>
  <si>
    <t>991002557469702656</t>
  </si>
  <si>
    <t>2255910360002656</t>
  </si>
  <si>
    <t>9780786860951</t>
  </si>
  <si>
    <t>32285002153608</t>
  </si>
  <si>
    <t>893239207</t>
  </si>
  <si>
    <t>QL31.S18 A3 2008</t>
  </si>
  <si>
    <t>0                      QL 0031000S  18                 A  3           2008</t>
  </si>
  <si>
    <t>Chico, George, the birds, and me : the Mexican travelogue of a woman naturalist, 1948-1949 / by Dorothy Chapman Saunders ; edited and annotated by Henry M. Reeves and Roy E. Tomlinson ; epilogue by Jesús G. Franco Pizaña.</t>
  </si>
  <si>
    <t>Saunders, Dorothy Chapman.</t>
  </si>
  <si>
    <t>College Station : Texas A&amp;M University Press, c2008.</t>
  </si>
  <si>
    <t>Louise Lindsey Merrick natural environment series ; no. 43</t>
  </si>
  <si>
    <t>2008-12-01</t>
  </si>
  <si>
    <t>119812461:eng</t>
  </si>
  <si>
    <t>191882094</t>
  </si>
  <si>
    <t>991005276309702656</t>
  </si>
  <si>
    <t>2255823170002656</t>
  </si>
  <si>
    <t>9781603440615</t>
  </si>
  <si>
    <t>32285005469175</t>
  </si>
  <si>
    <t>893242476</t>
  </si>
  <si>
    <t>QL31.S36 A36</t>
  </si>
  <si>
    <t>0                      QL 0031000S  36                 A  36</t>
  </si>
  <si>
    <t>Observations of wildlife / Peter Scott.</t>
  </si>
  <si>
    <t>Scott, Peter, 1909-1989.</t>
  </si>
  <si>
    <t>Ithaca, N.Y. : Cornell University Press, 1980.</t>
  </si>
  <si>
    <t>1994-10-25</t>
  </si>
  <si>
    <t>62479296:eng</t>
  </si>
  <si>
    <t>6857801</t>
  </si>
  <si>
    <t>991005047489702656</t>
  </si>
  <si>
    <t>2259578780002656</t>
  </si>
  <si>
    <t>9780801413414</t>
  </si>
  <si>
    <t>32285001686038</t>
  </si>
  <si>
    <t>893344563</t>
  </si>
  <si>
    <t>QL31.T56 K78 2003</t>
  </si>
  <si>
    <t>0                      QL 0031000T  56                 K  78          2003</t>
  </si>
  <si>
    <t>Niko's nature : the life of Niko Tinbergen and his science of animal behaviour / Hans Kruuk ; with drawings and photographs by Niko Tinbergen.</t>
  </si>
  <si>
    <t>Kruuk, H. (Hans)</t>
  </si>
  <si>
    <t>Oxford ; New York : Oxford University Press, 2003.</t>
  </si>
  <si>
    <t>2009-09-28</t>
  </si>
  <si>
    <t>2004-04-15</t>
  </si>
  <si>
    <t>840641737:eng</t>
  </si>
  <si>
    <t>52830553</t>
  </si>
  <si>
    <t>991004276429702656</t>
  </si>
  <si>
    <t>2254807130002656</t>
  </si>
  <si>
    <t>9780198515586</t>
  </si>
  <si>
    <t>32285004899620</t>
  </si>
  <si>
    <t>893532212</t>
  </si>
  <si>
    <t>QL31.W7 C3</t>
  </si>
  <si>
    <t>0                      QL 0031000W  7                  C  3</t>
  </si>
  <si>
    <t>Alexander Wilson: naturalist and pioneer, a biography. With decorations by Robert Ball.</t>
  </si>
  <si>
    <t>Cantwell, Robert, 1908-1978.</t>
  </si>
  <si>
    <t>Philadelphia, Lippincott [1961]</t>
  </si>
  <si>
    <t>1961</t>
  </si>
  <si>
    <t>[1st ed.].</t>
  </si>
  <si>
    <t>2008-05-12</t>
  </si>
  <si>
    <t>1527061:eng</t>
  </si>
  <si>
    <t>391517</t>
  </si>
  <si>
    <t>991002661149702656</t>
  </si>
  <si>
    <t>2263075580002656</t>
  </si>
  <si>
    <t>32285002938586</t>
  </si>
  <si>
    <t>893710528</t>
  </si>
  <si>
    <t>QL337.K3 O95 1984</t>
  </si>
  <si>
    <t>0                      QL 0337000K  3                  O  95          1984</t>
  </si>
  <si>
    <t>Cry of the Kalahari / Mark and Delia Owens.</t>
  </si>
  <si>
    <t>Owens, Mark, 1944-</t>
  </si>
  <si>
    <t>Boston : Houghton Mifflin, 1984.</t>
  </si>
  <si>
    <t>1997-08-27</t>
  </si>
  <si>
    <t>3559143:eng</t>
  </si>
  <si>
    <t>10780404</t>
  </si>
  <si>
    <t>991000433609702656</t>
  </si>
  <si>
    <t>2255341220002656</t>
  </si>
  <si>
    <t>9780395322147</t>
  </si>
  <si>
    <t>32285001686392</t>
  </si>
  <si>
    <t>893714579</t>
  </si>
  <si>
    <t>QL337.M2 M33 1984</t>
  </si>
  <si>
    <t>0                      QL 0337000M  2                  M  33          1984</t>
  </si>
  <si>
    <t>Madagascar / editors, Alison Jolly, Philippe Oberlé, Roland Albignac ; foreword by HRH the Duke of Edinburgh.</t>
  </si>
  <si>
    <t>Oxford [Oxfordshire] ; New York : Pergamon Press, 1984.</t>
  </si>
  <si>
    <t>Key environments</t>
  </si>
  <si>
    <t>2004-05-05</t>
  </si>
  <si>
    <t>3768389434:eng</t>
  </si>
  <si>
    <t>9895231</t>
  </si>
  <si>
    <t>991000276749702656</t>
  </si>
  <si>
    <t>2264855810002656</t>
  </si>
  <si>
    <t>9780080280028</t>
  </si>
  <si>
    <t>32285001686400</t>
  </si>
  <si>
    <t>893231004</t>
  </si>
  <si>
    <t>QL337.S65 M37 1972b</t>
  </si>
  <si>
    <t>0                      QL 0337000S  65                 M  37          1972b</t>
  </si>
  <si>
    <t>The tree where man was born / [text by] Peter Matthiessen. The African experience / [photographs by] Eliot Porter.</t>
  </si>
  <si>
    <t>Matthiessen, Peter.</t>
  </si>
  <si>
    <t>New York : Dutton, 1972.</t>
  </si>
  <si>
    <t>2006-02-10</t>
  </si>
  <si>
    <t>678995:eng</t>
  </si>
  <si>
    <t>31636827</t>
  </si>
  <si>
    <t>991002428069702656</t>
  </si>
  <si>
    <t>2271436820002656</t>
  </si>
  <si>
    <t>9780525222651</t>
  </si>
  <si>
    <t>32285002939485</t>
  </si>
  <si>
    <t>893510721</t>
  </si>
  <si>
    <t>QL337.T3 I9313 1987</t>
  </si>
  <si>
    <t>0                      QL 0337000T  3                  I  9313        1987</t>
  </si>
  <si>
    <t>Serengeti, natural order on the African plain / by Mitsuaki Iwago.</t>
  </si>
  <si>
    <t>Iwagō, Mitsuaki, 1950-</t>
  </si>
  <si>
    <t>San Francisco : Chronicle Books ; Vancouver, B.C. : Distributed in Canada by Raincoast Books, 1987, c1986.</t>
  </si>
  <si>
    <t>1999-07-18</t>
  </si>
  <si>
    <t>354175260:eng</t>
  </si>
  <si>
    <t>15366006</t>
  </si>
  <si>
    <t>991001019659702656</t>
  </si>
  <si>
    <t>2259845180002656</t>
  </si>
  <si>
    <t>9780877014324</t>
  </si>
  <si>
    <t>32285001686426</t>
  </si>
  <si>
    <t>893589954</t>
  </si>
  <si>
    <t>QL337.T3 S43</t>
  </si>
  <si>
    <t>0                      QL 0337000T  3                  S  43</t>
  </si>
  <si>
    <t>Serengeti, dynamics of an ecosystem / edited by A. R. E. Sinclair and M. Norton-Griffiths.</t>
  </si>
  <si>
    <t>Chicago : University of Chicago Press, 1979.</t>
  </si>
  <si>
    <t>1999-10-28</t>
  </si>
  <si>
    <t>1992-06-10</t>
  </si>
  <si>
    <t>365807220:eng</t>
  </si>
  <si>
    <t>4804514</t>
  </si>
  <si>
    <t>991004720999702656</t>
  </si>
  <si>
    <t>2270307750002656</t>
  </si>
  <si>
    <t>9780226760285</t>
  </si>
  <si>
    <t>32285001098911</t>
  </si>
  <si>
    <t>893712943</t>
  </si>
  <si>
    <t>QL337.T3 S755 2002</t>
  </si>
  <si>
    <t>0                      QL 0337000T  3                  S  755         2002</t>
  </si>
  <si>
    <t>Nomads of the Serengeti / Robyn Stewart.</t>
  </si>
  <si>
    <t>Stewart, Robyn.</t>
  </si>
  <si>
    <t>Cape Town : Struik Publishers, 2002.</t>
  </si>
  <si>
    <t xml:space="preserve">sa </t>
  </si>
  <si>
    <t>2008-01-07</t>
  </si>
  <si>
    <t>818877:eng</t>
  </si>
  <si>
    <t>51575878</t>
  </si>
  <si>
    <t>991005151989702656</t>
  </si>
  <si>
    <t>2264098970002656</t>
  </si>
  <si>
    <t>9781868727629</t>
  </si>
  <si>
    <t>32285005374417</t>
  </si>
  <si>
    <t>893507694</t>
  </si>
  <si>
    <t>QL338 .B8</t>
  </si>
  <si>
    <t>0                      QL 0338000B  8</t>
  </si>
  <si>
    <t>Bush dwellers of Australia.</t>
  </si>
  <si>
    <t>[North Clayton, Victoria : Australian News and Information Bureau ; Specialty Press n.d.]</t>
  </si>
  <si>
    <t xml:space="preserve">at </t>
  </si>
  <si>
    <t>An Australian News and Information Bureau Publication</t>
  </si>
  <si>
    <t>1995-01-14</t>
  </si>
  <si>
    <t>54233529:eng</t>
  </si>
  <si>
    <t>4055516</t>
  </si>
  <si>
    <t>991004578269702656</t>
  </si>
  <si>
    <t>2272621320002656</t>
  </si>
  <si>
    <t>32285000884709</t>
  </si>
  <si>
    <t>893795009</t>
  </si>
  <si>
    <t>QL338 .J8 1977</t>
  </si>
  <si>
    <t>0                      QL 0338000J  8           1977</t>
  </si>
  <si>
    <t>Kangaroos &amp; other creatures from down under : based on the television series Wild, Wild World of Animals / [by Donald Dale Jackson].</t>
  </si>
  <si>
    <t>Jackson, Donald Dale, 1935-</t>
  </si>
  <si>
    <t>[New York]: Time-Life Films, 1977.</t>
  </si>
  <si>
    <t>1977</t>
  </si>
  <si>
    <t>Wild, wild world of animals</t>
  </si>
  <si>
    <t>1992-01-08</t>
  </si>
  <si>
    <t>12201271:eng</t>
  </si>
  <si>
    <t>3647063</t>
  </si>
  <si>
    <t>991004486429702656</t>
  </si>
  <si>
    <t>2255449870002656</t>
  </si>
  <si>
    <t>9780913948170</t>
  </si>
  <si>
    <t>32285000884691</t>
  </si>
  <si>
    <t>893319295</t>
  </si>
  <si>
    <t>QL338 .S4 1966a</t>
  </si>
  <si>
    <t>0                      QL 0338000S  4           1966a</t>
  </si>
  <si>
    <t>A continent in danger; editor Colin Willock.</t>
  </si>
  <si>
    <t>Serventy, Vincent.</t>
  </si>
  <si>
    <t>[Worcester] Reynal, in association with W. Morrow [c1966]</t>
  </si>
  <si>
    <t>Survival books</t>
  </si>
  <si>
    <t>1997-02-19</t>
  </si>
  <si>
    <t>1992-11-06</t>
  </si>
  <si>
    <t>1864808:eng</t>
  </si>
  <si>
    <t>10566222</t>
  </si>
  <si>
    <t>991000394939702656</t>
  </si>
  <si>
    <t>2268397170002656</t>
  </si>
  <si>
    <t>32285001387769</t>
  </si>
  <si>
    <t>893877995</t>
  </si>
  <si>
    <t>QL351 .A53 v...</t>
  </si>
  <si>
    <t>0                      QL 0351000A  53                                                      v...</t>
  </si>
  <si>
    <t>Animal identification : a reference guide / edited by D. Hollis.</t>
  </si>
  <si>
    <t>London : British Museum (Natural History) ; Chichester [Eng.] ; New York : Wiley, 1980-</t>
  </si>
  <si>
    <t>5377893960:eng</t>
  </si>
  <si>
    <t>6223809</t>
  </si>
  <si>
    <t>991004949249702656</t>
  </si>
  <si>
    <t>2268547620002656</t>
  </si>
  <si>
    <t>9780471277675</t>
  </si>
  <si>
    <t>32285001686459</t>
  </si>
  <si>
    <t>893412128</t>
  </si>
  <si>
    <t>32285001686467</t>
  </si>
  <si>
    <t>893436951</t>
  </si>
  <si>
    <t>32285001686442</t>
  </si>
  <si>
    <t>893443225</t>
  </si>
  <si>
    <t>QL351 .B54</t>
  </si>
  <si>
    <t>0                      QL 0351000B  54</t>
  </si>
  <si>
    <t>Taxonomy; a text and reference book [by] Richard E. Blackwelder.</t>
  </si>
  <si>
    <t>Blackwelder, Richard E.</t>
  </si>
  <si>
    <t>New York, Wiley [1967]</t>
  </si>
  <si>
    <t>1999-10-05</t>
  </si>
  <si>
    <t>836704296:eng</t>
  </si>
  <si>
    <t>327928</t>
  </si>
  <si>
    <t>991002378789702656</t>
  </si>
  <si>
    <t>2272672460002656</t>
  </si>
  <si>
    <t>32285002939493</t>
  </si>
  <si>
    <t>893779743</t>
  </si>
  <si>
    <t>QL351 .R57 1997</t>
  </si>
  <si>
    <t>0                      QL 0351000R  57          1997</t>
  </si>
  <si>
    <t>The platypus and the mermaid, and other figments of the classifying imagination / Harriet Ritvo.</t>
  </si>
  <si>
    <t>Ritvo, Harriet, 1946-</t>
  </si>
  <si>
    <t>Cambridge, Mass. : Harvard University Press, 1997.</t>
  </si>
  <si>
    <t>1997</t>
  </si>
  <si>
    <t>2003-03-10</t>
  </si>
  <si>
    <t>1999-04-22</t>
  </si>
  <si>
    <t>569545:eng</t>
  </si>
  <si>
    <t>36186375</t>
  </si>
  <si>
    <t>991002758929702656</t>
  </si>
  <si>
    <t>2262672770002656</t>
  </si>
  <si>
    <t>9780674673571</t>
  </si>
  <si>
    <t>32285003555132</t>
  </si>
  <si>
    <t>893792873</t>
  </si>
  <si>
    <t>QL351 .S27</t>
  </si>
  <si>
    <t>0                      QL 0351000S  27</t>
  </si>
  <si>
    <t>Animal taxonomy [by] Theodore Savory.</t>
  </si>
  <si>
    <t>Savory, Theodore H. (Theodore Horace), 1896-1980.</t>
  </si>
  <si>
    <t>London, Heinemann Educational, 1970.</t>
  </si>
  <si>
    <t>The scholarship series in biology</t>
  </si>
  <si>
    <t>1997-11-23</t>
  </si>
  <si>
    <t>1319816:eng</t>
  </si>
  <si>
    <t>95960</t>
  </si>
  <si>
    <t>991000584709702656</t>
  </si>
  <si>
    <t>2272422820002656</t>
  </si>
  <si>
    <t>9780435618001</t>
  </si>
  <si>
    <t>32285002939568</t>
  </si>
  <si>
    <t>893614318</t>
  </si>
  <si>
    <t>QL352 .H42</t>
  </si>
  <si>
    <t>0                      QL 0352000H  42</t>
  </si>
  <si>
    <t>Outline of a classification of the animal kingdom / by Dr. Anatol Heintz and Dr. Leif Störmer.</t>
  </si>
  <si>
    <t>Heintz, Anatol, 1898-</t>
  </si>
  <si>
    <t>Rochester, N.Y. : Ward's natural science establishment, inc., [c1940]</t>
  </si>
  <si>
    <t>1940</t>
  </si>
  <si>
    <t>1998-02-25</t>
  </si>
  <si>
    <t>1994-03-02</t>
  </si>
  <si>
    <t>12346628:eng</t>
  </si>
  <si>
    <t>3727554</t>
  </si>
  <si>
    <t>991004502409702656</t>
  </si>
  <si>
    <t>2263274930002656</t>
  </si>
  <si>
    <t>32285001851228</t>
  </si>
  <si>
    <t>893901299</t>
  </si>
  <si>
    <t>QL353 .S34</t>
  </si>
  <si>
    <t>0                      QL 0353000S  34</t>
  </si>
  <si>
    <t>Procedure in taxonomy : including a reprint of the International rules of zoölogical nomenclature with summaries of Opinions rendered to the present date; completely indexed / [by] Edward T. Schenk and John H. McMasters.</t>
  </si>
  <si>
    <t>Schenk, Edward T. (Edward Theodore), 1905-</t>
  </si>
  <si>
    <t>Stanford University, Calif. : Stanford university press ; London : H. Milford, Oxford university press, [c1936]</t>
  </si>
  <si>
    <t>1936</t>
  </si>
  <si>
    <t>1992-02-12</t>
  </si>
  <si>
    <t>4924157441:eng</t>
  </si>
  <si>
    <t>809965</t>
  </si>
  <si>
    <t>991003287659702656</t>
  </si>
  <si>
    <t>2263004000002656</t>
  </si>
  <si>
    <t>32285000970011</t>
  </si>
  <si>
    <t>893887320</t>
  </si>
  <si>
    <t>QL362 .A32</t>
  </si>
  <si>
    <t>0                      QL 0362000A  32</t>
  </si>
  <si>
    <t>Atlas of the invertebrates of the far eastern seas of the USSR. Edited by E. N. Pavlovskii. Translated from Russian [by A. Mercado]</t>
  </si>
  <si>
    <t>Zoologicheskiĭ institut (Akademii͡a nauk SSSR)</t>
  </si>
  <si>
    <t>Jerusalem, Israel Program for Scientific Translations, 1966.</t>
  </si>
  <si>
    <t>1716621:eng</t>
  </si>
  <si>
    <t>784637</t>
  </si>
  <si>
    <t>991003259029702656</t>
  </si>
  <si>
    <t>2261968560002656</t>
  </si>
  <si>
    <t>32285002939592</t>
  </si>
  <si>
    <t>893422361</t>
  </si>
  <si>
    <t>QL362 .A43</t>
  </si>
  <si>
    <t>0                      QL 0362000A  43</t>
  </si>
  <si>
    <t>The invertebrates / R. McNeill Alexander.</t>
  </si>
  <si>
    <t>Alexander, R. McNeill.</t>
  </si>
  <si>
    <t>Cambridge ; New York : Cambridge University Press, 1979.</t>
  </si>
  <si>
    <t>2002-02-24</t>
  </si>
  <si>
    <t>777464000:eng</t>
  </si>
  <si>
    <t>3845123</t>
  </si>
  <si>
    <t>991004530589702656</t>
  </si>
  <si>
    <t>2262607840002656</t>
  </si>
  <si>
    <t>9780521221207</t>
  </si>
  <si>
    <t>32285001686483</t>
  </si>
  <si>
    <t>893807182</t>
  </si>
  <si>
    <t>QL362 .B26 1993</t>
  </si>
  <si>
    <t>0                      QL 0362000B  26          1993</t>
  </si>
  <si>
    <t>The invertebrates : a new synthesis / R.S.K. Barnes, P. Calow, P.J.W. Olive ; with a chapter contributed by D.W. Golding.</t>
  </si>
  <si>
    <t>Barnes, R. S. K. (Richard Stephen Kent)</t>
  </si>
  <si>
    <t>Oxford [England] ; Boston : Blackwell Scientific Publications, c1993.</t>
  </si>
  <si>
    <t>1993</t>
  </si>
  <si>
    <t>2009-02-28</t>
  </si>
  <si>
    <t>1994-02-03</t>
  </si>
  <si>
    <t>4916406631:eng</t>
  </si>
  <si>
    <t>26586485</t>
  </si>
  <si>
    <t>991002074119702656</t>
  </si>
  <si>
    <t>2265145530002656</t>
  </si>
  <si>
    <t>9780632031252</t>
  </si>
  <si>
    <t>32285001834893</t>
  </si>
  <si>
    <t>893697306</t>
  </si>
  <si>
    <t>QL362 .B27</t>
  </si>
  <si>
    <t>0                      QL 0362000B  27</t>
  </si>
  <si>
    <t>Invertebrate zoology.</t>
  </si>
  <si>
    <t>Barnes, Robert D.</t>
  </si>
  <si>
    <t>Philadelphia : Saunders, 1963.</t>
  </si>
  <si>
    <t>1963</t>
  </si>
  <si>
    <t>2005-02-19</t>
  </si>
  <si>
    <t>1996-05-29</t>
  </si>
  <si>
    <t>171437:eng</t>
  </si>
  <si>
    <t>556540</t>
  </si>
  <si>
    <t>991002984179702656</t>
  </si>
  <si>
    <t>2259821680002656</t>
  </si>
  <si>
    <t>32285002121308</t>
  </si>
  <si>
    <t>893245898</t>
  </si>
  <si>
    <t>QL362 .B3</t>
  </si>
  <si>
    <t>0                      QL 0362000B  3</t>
  </si>
  <si>
    <t>The free-living lower invertebrates / [by] Frederick M. Bayer and Harding B. Owre.</t>
  </si>
  <si>
    <t>Bayer, Frederick M.</t>
  </si>
  <si>
    <t>New York : Macmillan, [1967, c1968]</t>
  </si>
  <si>
    <t>2005-02-27</t>
  </si>
  <si>
    <t>1991-09-04</t>
  </si>
  <si>
    <t>1347432:eng</t>
  </si>
  <si>
    <t>253740</t>
  </si>
  <si>
    <t>991001963919702656</t>
  </si>
  <si>
    <t>2267226020002656</t>
  </si>
  <si>
    <t>32285000734086</t>
  </si>
  <si>
    <t>893798004</t>
  </si>
  <si>
    <t>QL362 .B6 1961</t>
  </si>
  <si>
    <t>0                      QL 0362000B  6           1961</t>
  </si>
  <si>
    <t>The invertebrata : a manual for the use of students / by L.A. Borradaile &amp; F.A. Potts. With chapters by L.E.S. Eastham and J.T. Saunders.</t>
  </si>
  <si>
    <t>Borradaile, L. A. (Lancelot Alexander), 1872-1945.</t>
  </si>
  <si>
    <t>Cambridge [Eng.] : University Press, 1961.</t>
  </si>
  <si>
    <t>4th ed. / rev. by G.A. Kerkut.</t>
  </si>
  <si>
    <t>2001-02-09</t>
  </si>
  <si>
    <t>1995-05-04</t>
  </si>
  <si>
    <t>1779302:eng</t>
  </si>
  <si>
    <t>5806181</t>
  </si>
  <si>
    <t>991004879209702656</t>
  </si>
  <si>
    <t>2261102510002656</t>
  </si>
  <si>
    <t>32285002031861</t>
  </si>
  <si>
    <t>893338229</t>
  </si>
  <si>
    <t>QL362 .B88</t>
  </si>
  <si>
    <t>0                      QL 0362000B  88</t>
  </si>
  <si>
    <t>Selected invertebrate types.</t>
  </si>
  <si>
    <t>Brown, Frank A. (Frank Arthur), 1908-1983, editor.</t>
  </si>
  <si>
    <t>New York : Wiley, [1950]</t>
  </si>
  <si>
    <t>1950</t>
  </si>
  <si>
    <t>1996-02-10</t>
  </si>
  <si>
    <t>1995-05-06</t>
  </si>
  <si>
    <t>1346821:eng</t>
  </si>
  <si>
    <t>253557</t>
  </si>
  <si>
    <t>991001962589702656</t>
  </si>
  <si>
    <t>2267202070002656</t>
  </si>
  <si>
    <t>32285002032562</t>
  </si>
  <si>
    <t>893785566</t>
  </si>
  <si>
    <t>QL362 .B924 2003</t>
  </si>
  <si>
    <t>0                      QL 0362000B  924         2003</t>
  </si>
  <si>
    <t>Invertebrates / Richard C. Brusca, Gary J. Brusca ; with illustrations by Nancy Haver.</t>
  </si>
  <si>
    <t>Brusca, Richard C.</t>
  </si>
  <si>
    <t>Sunderland, Mass. : Sinauer Associates, c2003.</t>
  </si>
  <si>
    <t>2010-02-19</t>
  </si>
  <si>
    <t>2005-08-15</t>
  </si>
  <si>
    <t>1147528:eng</t>
  </si>
  <si>
    <t>51053596</t>
  </si>
  <si>
    <t>991004628969702656</t>
  </si>
  <si>
    <t>2262032840002656</t>
  </si>
  <si>
    <t>9780878930975</t>
  </si>
  <si>
    <t>32285005080907</t>
  </si>
  <si>
    <t>893687954</t>
  </si>
  <si>
    <t>QL362 .B93 1987</t>
  </si>
  <si>
    <t>0                      QL 0362000B  93          1987</t>
  </si>
  <si>
    <t>Animals without backbones.</t>
  </si>
  <si>
    <t>Buchsbaum, Ralph, 1907-2002.</t>
  </si>
  <si>
    <t>Chicago : University of Chicago Press, 1987.</t>
  </si>
  <si>
    <t>3rd ed. / Ralph Buchsbaum ... [et al.].</t>
  </si>
  <si>
    <t>2006-03-17</t>
  </si>
  <si>
    <t>1990-02-13</t>
  </si>
  <si>
    <t>10349386883:eng</t>
  </si>
  <si>
    <t>13456472</t>
  </si>
  <si>
    <t>991000833169702656</t>
  </si>
  <si>
    <t>2263212080002656</t>
  </si>
  <si>
    <t>9780226078748</t>
  </si>
  <si>
    <t>32285000051184</t>
  </si>
  <si>
    <t>893790898</t>
  </si>
  <si>
    <t>QL362 .B94</t>
  </si>
  <si>
    <t>0                      QL 0362000B  94</t>
  </si>
  <si>
    <t>The lower animals : living invertebrates of the world / by Ralph Buchsbaum and Lorus J. Milne. In collaboration with Mildred Buchsbaum and Margery Milne. With photos. by Ralph Buchsbaum, and others. Line drawings by Kenneth Gosner.</t>
  </si>
  <si>
    <t>Garden City, N.Y. : Doubleday, [1960]</t>
  </si>
  <si>
    <t>1960</t>
  </si>
  <si>
    <t>Chanticleer Press ed.</t>
  </si>
  <si>
    <t>The World of nature series</t>
  </si>
  <si>
    <t>1992-12-16</t>
  </si>
  <si>
    <t>190013173:eng</t>
  </si>
  <si>
    <t>560458</t>
  </si>
  <si>
    <t>991002990859702656</t>
  </si>
  <si>
    <t>2256727930002656</t>
  </si>
  <si>
    <t>32285001441814</t>
  </si>
  <si>
    <t>893786846</t>
  </si>
  <si>
    <t>QL362 .C28 1981</t>
  </si>
  <si>
    <t>0                      QL 0362000C  28          1981</t>
  </si>
  <si>
    <t>Invertebrate biology : a functional approach / P. Calow.</t>
  </si>
  <si>
    <t>Calow, Peter.</t>
  </si>
  <si>
    <t>London : Croom Helm ; New York : Wiley, c1981.</t>
  </si>
  <si>
    <t>1996-02-22</t>
  </si>
  <si>
    <t>962045770:eng</t>
  </si>
  <si>
    <t>7575207</t>
  </si>
  <si>
    <t>991005134059702656</t>
  </si>
  <si>
    <t>2265555840002656</t>
  </si>
  <si>
    <t>32285001686509</t>
  </si>
  <si>
    <t>893260606</t>
  </si>
  <si>
    <t>QL362 .C66 1996</t>
  </si>
  <si>
    <t>0                      QL 0362000C  66          1996</t>
  </si>
  <si>
    <t>Spineless wonders : strange tales from the invertebrate world / Richard Conniff ; illustrations by Sally Bensusen.</t>
  </si>
  <si>
    <t>Conniff, Richard, 1951-</t>
  </si>
  <si>
    <t>New York : Henry Holt and Co., 1996.</t>
  </si>
  <si>
    <t>1999-07-14</t>
  </si>
  <si>
    <t>1996-12-05</t>
  </si>
  <si>
    <t>614020:eng</t>
  </si>
  <si>
    <t>34355087</t>
  </si>
  <si>
    <t>991002621519702656</t>
  </si>
  <si>
    <t>2267592150002656</t>
  </si>
  <si>
    <t>9780805042184</t>
  </si>
  <si>
    <t>32285002388493</t>
  </si>
  <si>
    <t>893257513</t>
  </si>
  <si>
    <t>QL362 .G37</t>
  </si>
  <si>
    <t>0                      QL 0362000G  37</t>
  </si>
  <si>
    <t>The biology of invertebrates [by] Mary S. Gardiner.</t>
  </si>
  <si>
    <t>Gardiner, Mary S. (Mary Summerfield), 1896-</t>
  </si>
  <si>
    <t>New York, McGraw-Hill [1972]</t>
  </si>
  <si>
    <t>McGraw-Hill series in organismic biology</t>
  </si>
  <si>
    <t>3901575814:eng</t>
  </si>
  <si>
    <t>415238</t>
  </si>
  <si>
    <t>991002728959702656</t>
  </si>
  <si>
    <t>2266967130002656</t>
  </si>
  <si>
    <t>9780070227255</t>
  </si>
  <si>
    <t>32285002939626</t>
  </si>
  <si>
    <t>893257631</t>
  </si>
  <si>
    <t>QL362 .K213</t>
  </si>
  <si>
    <t>0                      QL 0362000K  213</t>
  </si>
  <si>
    <t>Invertebrate zoology. Translated and adapted from the 2d German ed. by Herbert W. Levi and Lorna R. Levi.</t>
  </si>
  <si>
    <t>Kaestner, Alfred, 1901-1971.</t>
  </si>
  <si>
    <t>New York, Interscience [1967-</t>
  </si>
  <si>
    <t>4535656750:eng</t>
  </si>
  <si>
    <t>230967</t>
  </si>
  <si>
    <t>991001425759702656</t>
  </si>
  <si>
    <t>2269403640002656</t>
  </si>
  <si>
    <t>9780471454175</t>
  </si>
  <si>
    <t>32285002939634</t>
  </si>
  <si>
    <t>893872524</t>
  </si>
  <si>
    <t>32285002939659</t>
  </si>
  <si>
    <t>893891569</t>
  </si>
  <si>
    <t>32285002939642</t>
  </si>
  <si>
    <t>893903418</t>
  </si>
  <si>
    <t>QL362 .M4 1972</t>
  </si>
  <si>
    <t>0                      QL 0362000M  4           1972</t>
  </si>
  <si>
    <t>Invertebrate zoology / [by] Paul A. Meglitsch.</t>
  </si>
  <si>
    <t>Meglitsch, Paul A. (Paul Allen), 1914-</t>
  </si>
  <si>
    <t>New York : Oxford University Press, 1972.</t>
  </si>
  <si>
    <t>2d ed.</t>
  </si>
  <si>
    <t>1995-02-24</t>
  </si>
  <si>
    <t>1501122:eng</t>
  </si>
  <si>
    <t>347796</t>
  </si>
  <si>
    <t>991002433019702656</t>
  </si>
  <si>
    <t>2272647020002656</t>
  </si>
  <si>
    <t>9780195015607</t>
  </si>
  <si>
    <t>32285002010246</t>
  </si>
  <si>
    <t>893622270</t>
  </si>
  <si>
    <t>QL362 .N4 1995</t>
  </si>
  <si>
    <t>0                      QL 0362000N  4           1995</t>
  </si>
  <si>
    <t>Introduction to invertebrate conservation biology / T.R. New.</t>
  </si>
  <si>
    <t>New, T. R.</t>
  </si>
  <si>
    <t>Oxford ; New York : Oxford University Press, 1995.</t>
  </si>
  <si>
    <t>Oxford science publications</t>
  </si>
  <si>
    <t>1996-10-24</t>
  </si>
  <si>
    <t>989188:eng</t>
  </si>
  <si>
    <t>31740553</t>
  </si>
  <si>
    <t>991002435009702656</t>
  </si>
  <si>
    <t>2269880880002656</t>
  </si>
  <si>
    <t>9780198540519</t>
  </si>
  <si>
    <t>32285002368701</t>
  </si>
  <si>
    <t>893517286</t>
  </si>
  <si>
    <t>QL362 .P7 1935</t>
  </si>
  <si>
    <t>0                      QL 0362000P  7           1935</t>
  </si>
  <si>
    <t>A manual of the common invertebrate animals, exclusive of insects, by Henry Sherring Pratt ...</t>
  </si>
  <si>
    <t>Philadelphia, P. Blakiston's Son &amp; Co., inc. [c1935]</t>
  </si>
  <si>
    <t>1935</t>
  </si>
  <si>
    <t>Thoroughly rev. ed. 974 illustrations.</t>
  </si>
  <si>
    <t>3310293:eng</t>
  </si>
  <si>
    <t>832669</t>
  </si>
  <si>
    <t>991003309029702656</t>
  </si>
  <si>
    <t>2272404020002656</t>
  </si>
  <si>
    <t>32285002939667</t>
  </si>
  <si>
    <t>893899840</t>
  </si>
  <si>
    <t>QL362 .S3</t>
  </si>
  <si>
    <t>0                      QL 0362000S  3</t>
  </si>
  <si>
    <t>Schechter, Victor, 1907-1959.</t>
  </si>
  <si>
    <t>Englewood Cliffs, N. J., Prentice-Hall, 1959.</t>
  </si>
  <si>
    <t>1959</t>
  </si>
  <si>
    <t>Prentice-Hall animal science series</t>
  </si>
  <si>
    <t>2001-02-22</t>
  </si>
  <si>
    <t>2252191:eng</t>
  </si>
  <si>
    <t>1401638</t>
  </si>
  <si>
    <t>991003739599702656</t>
  </si>
  <si>
    <t>2263579560002656</t>
  </si>
  <si>
    <t>32285002939683</t>
  </si>
  <si>
    <t>893228401</t>
  </si>
  <si>
    <t>QL362 .V3</t>
  </si>
  <si>
    <t>0                      QL 0362000V  3</t>
  </si>
  <si>
    <t>Invertebrate zoology / by Harley Jones Van Cleave.</t>
  </si>
  <si>
    <t>Van Cleave, Harley Jones, 1886-1953.</t>
  </si>
  <si>
    <t>New York : McGraw-Hill, 1924.</t>
  </si>
  <si>
    <t>1924</t>
  </si>
  <si>
    <t>Agricultural and biological publications</t>
  </si>
  <si>
    <t>2001-02-18</t>
  </si>
  <si>
    <t>1998-02-26</t>
  </si>
  <si>
    <t>2219728:eng</t>
  </si>
  <si>
    <t>2611624</t>
  </si>
  <si>
    <t>991004183409702656</t>
  </si>
  <si>
    <t>2272772670002656</t>
  </si>
  <si>
    <t>32285003355921</t>
  </si>
  <si>
    <t>893712248</t>
  </si>
  <si>
    <t>QL362 .W37 1983</t>
  </si>
  <si>
    <t>0                      QL 0362000W  37          1983</t>
  </si>
  <si>
    <t>The IUCN invertebrate red data book / compiled jointly by Susan M. Wells, Robert M. Pyle, and N. Mark Collins of the IUCN Conservation Monitoring Centre, with the help and advice of the Species Survival Commission of the IUCN and other experts throughout the world ; illustrated by Sarah Anne Hughes.</t>
  </si>
  <si>
    <t>Wells, Sue.</t>
  </si>
  <si>
    <t>Gland, Switzerland : IUCN, 1983.</t>
  </si>
  <si>
    <t>1983</t>
  </si>
  <si>
    <t xml:space="preserve">sz </t>
  </si>
  <si>
    <t>1998-12-05</t>
  </si>
  <si>
    <t>1998-08-31</t>
  </si>
  <si>
    <t>134558581:eng</t>
  </si>
  <si>
    <t>10800061</t>
  </si>
  <si>
    <t>991000437829702656</t>
  </si>
  <si>
    <t>2270584440002656</t>
  </si>
  <si>
    <t>32285003463675</t>
  </si>
  <si>
    <t>893224980</t>
  </si>
  <si>
    <t>QL362 .W5</t>
  </si>
  <si>
    <t>0                      QL 0362000W  5</t>
  </si>
  <si>
    <t>Biology of invertebrata / [by] James H. Wilmoth.</t>
  </si>
  <si>
    <t>Wilmoth, James H. (James Herdman), 1910-</t>
  </si>
  <si>
    <t>Englewood Cliffs, N.J. : Prentice-Hall, [1967]</t>
  </si>
  <si>
    <t>Prentice-Hall biological science series</t>
  </si>
  <si>
    <t>1608739:eng</t>
  </si>
  <si>
    <t>652733</t>
  </si>
  <si>
    <t>991003103749702656</t>
  </si>
  <si>
    <t>2262815160002656</t>
  </si>
  <si>
    <t>32285002032554</t>
  </si>
  <si>
    <t>893874432</t>
  </si>
  <si>
    <t>QL362.5 .G68</t>
  </si>
  <si>
    <t>0                      QL 0362500G  68</t>
  </si>
  <si>
    <t>Guide to identification of marine and estuarine invertebrates; Cape Hatteras to the Bay of Fundy [by] Kenneth L. Gosner.</t>
  </si>
  <si>
    <t>Gosner, Kenneth L., 1925-</t>
  </si>
  <si>
    <t>New York, Wiley-Interscience [1971]</t>
  </si>
  <si>
    <t>2000-01-21</t>
  </si>
  <si>
    <t>489868:eng</t>
  </si>
  <si>
    <t>155406</t>
  </si>
  <si>
    <t>991000894559702656</t>
  </si>
  <si>
    <t>2256460060002656</t>
  </si>
  <si>
    <t>9780471318972</t>
  </si>
  <si>
    <t>32285002939691</t>
  </si>
  <si>
    <t>893315331</t>
  </si>
  <si>
    <t>QL362.5 .M6</t>
  </si>
  <si>
    <t>0                      QL 0362500M  6</t>
  </si>
  <si>
    <t>Intertidal invertebrates of California / Robert H. Morris, Donald P. Abbott, and Eugene C. Haderlie, with 31 text contributors.</t>
  </si>
  <si>
    <t>Morris, Robert H.</t>
  </si>
  <si>
    <t>Stanford, Calif. : Stanford University Press, 1980.</t>
  </si>
  <si>
    <t>2004-02-23</t>
  </si>
  <si>
    <t>355688527:eng</t>
  </si>
  <si>
    <t>7043400</t>
  </si>
  <si>
    <t>991005072049702656</t>
  </si>
  <si>
    <t>2254784180002656</t>
  </si>
  <si>
    <t>9780804710459</t>
  </si>
  <si>
    <t>32285001686517</t>
  </si>
  <si>
    <t>893501270</t>
  </si>
  <si>
    <t>QL362.5 .P5</t>
  </si>
  <si>
    <t>0                      QL 0362500P  5</t>
  </si>
  <si>
    <t>Invertebrate identification manual [by] Richard A. Pimentel.</t>
  </si>
  <si>
    <t>Pimentel, Richard A.</t>
  </si>
  <si>
    <t>New York, Reinhold Pub. Corp. [1967]</t>
  </si>
  <si>
    <t>Reinhold books in the biological sciences</t>
  </si>
  <si>
    <t>2004-03-25</t>
  </si>
  <si>
    <t>1359789:eng</t>
  </si>
  <si>
    <t>306911</t>
  </si>
  <si>
    <t>991002265679702656</t>
  </si>
  <si>
    <t>2266150790002656</t>
  </si>
  <si>
    <t>32285002939709</t>
  </si>
  <si>
    <t>893226637</t>
  </si>
  <si>
    <t>QL362.5 .W56</t>
  </si>
  <si>
    <t>0                      QL 0362500W  56</t>
  </si>
  <si>
    <t>Starfish, jellyfish, and the order of life : issues in nineteenth-century science / Mary P. Winsor.</t>
  </si>
  <si>
    <t>Winsor, Mary P.</t>
  </si>
  <si>
    <t>New Haven : Yale University Press, c1976.</t>
  </si>
  <si>
    <t>1976</t>
  </si>
  <si>
    <t>Yale studies in the history of science and medicine ; 10</t>
  </si>
  <si>
    <t>2006-02-12</t>
  </si>
  <si>
    <t>237679500:eng</t>
  </si>
  <si>
    <t>2005321</t>
  </si>
  <si>
    <t>991003975859702656</t>
  </si>
  <si>
    <t>2261992180002656</t>
  </si>
  <si>
    <t>9780300016352</t>
  </si>
  <si>
    <t>32285002939717</t>
  </si>
  <si>
    <t>893429497</t>
  </si>
  <si>
    <t>QL362.75 .W55 1990</t>
  </si>
  <si>
    <t>0                      QL 0362750W  55          1990</t>
  </si>
  <si>
    <t>Invertebrate relationships : patterns in animal evolution / Pat Willmer.</t>
  </si>
  <si>
    <t>Willmer, Pat, 1953-</t>
  </si>
  <si>
    <t>Cambridge ; New York : Cambridge University Press, 1990.</t>
  </si>
  <si>
    <t>1994-03-11</t>
  </si>
  <si>
    <t>13252694:eng</t>
  </si>
  <si>
    <t>17108338</t>
  </si>
  <si>
    <t>991001181099702656</t>
  </si>
  <si>
    <t>2259412540002656</t>
  </si>
  <si>
    <t>9780521337120</t>
  </si>
  <si>
    <t>32285001856201</t>
  </si>
  <si>
    <t>893438941</t>
  </si>
  <si>
    <t>QL362.8 .I578 1979</t>
  </si>
  <si>
    <t>0                      QL 0362800I  578         1979</t>
  </si>
  <si>
    <t>Invertebrate animals collection and preservation / compiled by Roger J. Lincoln &amp; J. Gordon Sheals.</t>
  </si>
  <si>
    <t>London : British Museum (Natural History); Cambridge, [Eng.] ; New York : Cambridge University Press, 1979.</t>
  </si>
  <si>
    <t>15076840:eng</t>
  </si>
  <si>
    <t>4883629</t>
  </si>
  <si>
    <t>991004741159702656</t>
  </si>
  <si>
    <t>2264001400002656</t>
  </si>
  <si>
    <t>9780521228510</t>
  </si>
  <si>
    <t>32285001686525</t>
  </si>
  <si>
    <t>893889209</t>
  </si>
  <si>
    <t>QL362.8 .P73 1970</t>
  </si>
  <si>
    <t>0                      QL 0362800P  73          1970</t>
  </si>
  <si>
    <t>Practical invertebrate zoology : a laboratory manual for the study of the major groups of invertebrates, excluding protochordates / by F. E. G. Cox [and others] Compiled and edited by R. Phillips Dales.</t>
  </si>
  <si>
    <t>Dales, Rodney Phillips.</t>
  </si>
  <si>
    <t>Seattle, University of Washington Press [1970, c1969]</t>
  </si>
  <si>
    <t>wau</t>
  </si>
  <si>
    <t>Biology series</t>
  </si>
  <si>
    <t>2005-04-11</t>
  </si>
  <si>
    <t>1997-09-22</t>
  </si>
  <si>
    <t>469993170:eng</t>
  </si>
  <si>
    <t>66802</t>
  </si>
  <si>
    <t>991000216019702656</t>
  </si>
  <si>
    <t>2258651660002656</t>
  </si>
  <si>
    <t>32285003174579</t>
  </si>
  <si>
    <t>893601587</t>
  </si>
  <si>
    <t>QL362.8 .P73 1981</t>
  </si>
  <si>
    <t>0                      QL 0362800P  73          1981</t>
  </si>
  <si>
    <t>Practical invertebrate zoology : a laboratory manual for the study of the major groups of invertebrates, excluding protochordates / compiled and edited by R.P. Dales ; contributors, F.E.G. Cox ... [et al.].</t>
  </si>
  <si>
    <t>New York : Wiley, 1981.</t>
  </si>
  <si>
    <t>7772892</t>
  </si>
  <si>
    <t>991005159069702656</t>
  </si>
  <si>
    <t>2270682730002656</t>
  </si>
  <si>
    <t>32285001686533</t>
  </si>
  <si>
    <t>893783122</t>
  </si>
  <si>
    <t>QL363 .B413</t>
  </si>
  <si>
    <t>0                      QL 0363000B  413</t>
  </si>
  <si>
    <t>Principles of comparative anatomy of invertebrates [by] W. N. Beklemishev; translated [from the Russian] by J. M. MacLennan, edited by Z. Kabata.</t>
  </si>
  <si>
    <t>Beklemishev, V. N. (Vladimir Nikolaevich), 1890-1962.</t>
  </si>
  <si>
    <t>Edinburgh, Oliver &amp; Boyd, 1969.</t>
  </si>
  <si>
    <t>1969</t>
  </si>
  <si>
    <t>stk</t>
  </si>
  <si>
    <t>489927754:eng</t>
  </si>
  <si>
    <t>112210</t>
  </si>
  <si>
    <t>991000648669702656</t>
  </si>
  <si>
    <t>2268095340002656</t>
  </si>
  <si>
    <t>9780050021897</t>
  </si>
  <si>
    <t>32285002939733</t>
  </si>
  <si>
    <t>893796863</t>
  </si>
  <si>
    <t>QL363 .B413 V.2</t>
  </si>
  <si>
    <t>0                      QL 0363000B  413                                                     V.2</t>
  </si>
  <si>
    <t>V.2*</t>
  </si>
  <si>
    <t>32285002939741</t>
  </si>
  <si>
    <t>893784411</t>
  </si>
  <si>
    <t>QL363 .B78</t>
  </si>
  <si>
    <t>0                      QL 0363000B  78</t>
  </si>
  <si>
    <t>Practical invertebrate anatomy.</t>
  </si>
  <si>
    <t>Bullough, William Sydney, 1914-2010.</t>
  </si>
  <si>
    <t>London, Macmillan, 1950.</t>
  </si>
  <si>
    <t>1476416:eng</t>
  </si>
  <si>
    <t>291925</t>
  </si>
  <si>
    <t>991002226839702656</t>
  </si>
  <si>
    <t>2268129660002656</t>
  </si>
  <si>
    <t>32285002939758</t>
  </si>
  <si>
    <t>893892294</t>
  </si>
  <si>
    <t>QL363 .F76 1999</t>
  </si>
  <si>
    <t>0                      QL 0363000F  76          1999</t>
  </si>
  <si>
    <t>Functional morphology of the invertebrate skeleton / edited by Enrico Savazzi.</t>
  </si>
  <si>
    <t>Chichester ; New York : J. Wiley, c1999.</t>
  </si>
  <si>
    <t>2001-04-25</t>
  </si>
  <si>
    <t>56298889:eng</t>
  </si>
  <si>
    <t>39368506</t>
  </si>
  <si>
    <t>991003511269702656</t>
  </si>
  <si>
    <t>2258080770002656</t>
  </si>
  <si>
    <t>9780471977766</t>
  </si>
  <si>
    <t>32285004314919</t>
  </si>
  <si>
    <t>893318050</t>
  </si>
  <si>
    <t>QL363 .M53 1991, v...</t>
  </si>
  <si>
    <t>0                      QL 0363000M  53          1991                                        v...</t>
  </si>
  <si>
    <t>Microscopic anatomy of invertebrates / treatise editor, Frederick W. Harrison.</t>
  </si>
  <si>
    <t>V. 14</t>
  </si>
  <si>
    <t>New York : Wiley-Liss, c1991-</t>
  </si>
  <si>
    <t>1991</t>
  </si>
  <si>
    <t>2010-04-30</t>
  </si>
  <si>
    <t>1999-03-23</t>
  </si>
  <si>
    <t>5092214031:eng</t>
  </si>
  <si>
    <t>19774404</t>
  </si>
  <si>
    <t>991001496759702656</t>
  </si>
  <si>
    <t>2271594430002656</t>
  </si>
  <si>
    <t>9780471568421</t>
  </si>
  <si>
    <t>32285002086758</t>
  </si>
  <si>
    <t>893497126</t>
  </si>
  <si>
    <t>V. 6A</t>
  </si>
  <si>
    <t>32285002466430</t>
  </si>
  <si>
    <t>893528963</t>
  </si>
  <si>
    <t>V. 7</t>
  </si>
  <si>
    <t>1995-10-13</t>
  </si>
  <si>
    <t>32285002087053</t>
  </si>
  <si>
    <t>893534576</t>
  </si>
  <si>
    <t>V. 8C</t>
  </si>
  <si>
    <t>32285003545414</t>
  </si>
  <si>
    <t>893497123</t>
  </si>
  <si>
    <t>V. 11B</t>
  </si>
  <si>
    <t>1998-03-10</t>
  </si>
  <si>
    <t>32285003357323</t>
  </si>
  <si>
    <t>893503452</t>
  </si>
  <si>
    <t>V. 3</t>
  </si>
  <si>
    <t>32285002087020</t>
  </si>
  <si>
    <t>893534577</t>
  </si>
  <si>
    <t>V. 11A</t>
  </si>
  <si>
    <t>32285003357315</t>
  </si>
  <si>
    <t>893534574</t>
  </si>
  <si>
    <t>V. 6B</t>
  </si>
  <si>
    <t>32285002466448</t>
  </si>
  <si>
    <t>893528962</t>
  </si>
  <si>
    <t>V. 9</t>
  </si>
  <si>
    <t>32285002087061</t>
  </si>
  <si>
    <t>893516234</t>
  </si>
  <si>
    <t>V. 5</t>
  </si>
  <si>
    <t>32285002087046</t>
  </si>
  <si>
    <t>893497124</t>
  </si>
  <si>
    <t>V. 13</t>
  </si>
  <si>
    <t>1997-06-10</t>
  </si>
  <si>
    <t>32285002756764</t>
  </si>
  <si>
    <t>893528958</t>
  </si>
  <si>
    <t>V. 1</t>
  </si>
  <si>
    <t>32285001834885</t>
  </si>
  <si>
    <t>893534578</t>
  </si>
  <si>
    <t>V. 11C</t>
  </si>
  <si>
    <t>32285003357331</t>
  </si>
  <si>
    <t>893534573</t>
  </si>
  <si>
    <t>V. 8B</t>
  </si>
  <si>
    <t>32285003545406</t>
  </si>
  <si>
    <t>893516233</t>
  </si>
  <si>
    <t>V. 2</t>
  </si>
  <si>
    <t>32285002087079</t>
  </si>
  <si>
    <t>893534571</t>
  </si>
  <si>
    <t>V. 4</t>
  </si>
  <si>
    <t>32285002087038</t>
  </si>
  <si>
    <t>893534572</t>
  </si>
  <si>
    <t>V. 15</t>
  </si>
  <si>
    <t>1998-01-12</t>
  </si>
  <si>
    <t>32285003317046</t>
  </si>
  <si>
    <t>893534575</t>
  </si>
  <si>
    <t>V. 8A</t>
  </si>
  <si>
    <t>32285003545398</t>
  </si>
  <si>
    <t>893497125</t>
  </si>
  <si>
    <t>QL364 .B38 1967b</t>
  </si>
  <si>
    <t>0                      QL 0364000B  38          1967b</t>
  </si>
  <si>
    <t>Invertebrate structure and function [by] E. J. W. Barrington.</t>
  </si>
  <si>
    <t>Barrington, E. J. W. (Ernest James William)</t>
  </si>
  <si>
    <t>Boston, Houghton Mifflin [1967]</t>
  </si>
  <si>
    <t>487901:eng</t>
  </si>
  <si>
    <t>181093</t>
  </si>
  <si>
    <t>991001088629702656</t>
  </si>
  <si>
    <t>2272685950002656</t>
  </si>
  <si>
    <t>32285002010717</t>
  </si>
  <si>
    <t>893315502</t>
  </si>
  <si>
    <t>QL364 .M65 1987</t>
  </si>
  <si>
    <t>0                      QL 0364000M  65          1987</t>
  </si>
  <si>
    <t>Molecular biology of invertebrate development : proceedings of a director's sponsors-UCLA symposium / director's sponsors, Eli Lilly Research Laboratories, Monsanto, The Upjohn Company ; editor, John D. O'Connor.</t>
  </si>
  <si>
    <t>New York : A.R. Liss, [1987]</t>
  </si>
  <si>
    <t>UCLA symposia on molecular and cellular biology ; vol. 66</t>
  </si>
  <si>
    <t>808078642:eng</t>
  </si>
  <si>
    <t>16467791</t>
  </si>
  <si>
    <t>991001110789702656</t>
  </si>
  <si>
    <t>2270252200002656</t>
  </si>
  <si>
    <t>9780845126653</t>
  </si>
  <si>
    <t>32285001686558</t>
  </si>
  <si>
    <t>893420068</t>
  </si>
  <si>
    <t>QL364.15 .A34</t>
  </si>
  <si>
    <t>0                      QL 0364150A  34</t>
  </si>
  <si>
    <t>Advances in invertebrate reproduction : proceedings of the second international symposium of the International Society of Invertebrate Reproduction (ISIR) held in Davis, California on August 27-31, 1979 / editors, Wallis H. Clark, Jr., Terrance S. Adams.</t>
  </si>
  <si>
    <t>New York : Elsevier/North-Holland, c1981.</t>
  </si>
  <si>
    <t>Developments in endocrinology ; v. 11</t>
  </si>
  <si>
    <t>1997-10-11</t>
  </si>
  <si>
    <t>836666795:eng</t>
  </si>
  <si>
    <t>7006879</t>
  </si>
  <si>
    <t>991005070159702656</t>
  </si>
  <si>
    <t>2264288240002656</t>
  </si>
  <si>
    <t>9780444005946</t>
  </si>
  <si>
    <t>32285001686566</t>
  </si>
  <si>
    <t>893332355</t>
  </si>
  <si>
    <t>QL364.15 .C67 1991</t>
  </si>
  <si>
    <t>0                      QL 0364150C  67          1991</t>
  </si>
  <si>
    <t>Atlas of invertebrate reproduction and development / David Bruce Conn.</t>
  </si>
  <si>
    <t>Conn, David Bruce.</t>
  </si>
  <si>
    <t>New York : Wiley-Liss, c1991.</t>
  </si>
  <si>
    <t>1992-06-22</t>
  </si>
  <si>
    <t>2286626:eng</t>
  </si>
  <si>
    <t>22629120</t>
  </si>
  <si>
    <t>991001799609702656</t>
  </si>
  <si>
    <t>2269197720002656</t>
  </si>
  <si>
    <t>9780471560791</t>
  </si>
  <si>
    <t>32285001155042</t>
  </si>
  <si>
    <t>893609155</t>
  </si>
  <si>
    <t>QL364.18 .E36 1995</t>
  </si>
  <si>
    <t>0                      QL 0364180E  36          1995</t>
  </si>
  <si>
    <t>Ecology of marine invertebrate larvae / edited by Larry McEdward.</t>
  </si>
  <si>
    <t>Boca Raton : CRC Press, 1995.</t>
  </si>
  <si>
    <t>flu</t>
  </si>
  <si>
    <t>Marine science series</t>
  </si>
  <si>
    <t>2004-09-13</t>
  </si>
  <si>
    <t>1996-01-22</t>
  </si>
  <si>
    <t>180562226:eng</t>
  </si>
  <si>
    <t>31606184</t>
  </si>
  <si>
    <t>991002423829702656</t>
  </si>
  <si>
    <t>2262673260002656</t>
  </si>
  <si>
    <t>9780849380464</t>
  </si>
  <si>
    <t>32285002125176</t>
  </si>
  <si>
    <t>893251194</t>
  </si>
  <si>
    <t>QL364.2 .A27 1990</t>
  </si>
  <si>
    <t>0                      QL 0364200A  27          1990</t>
  </si>
  <si>
    <t>Invertebrate learning : a laboratory manual and source book / Charles I. Abramson.</t>
  </si>
  <si>
    <t>Abramson, Charles I.</t>
  </si>
  <si>
    <t>Washington, DC : American Psychological Association, c1990.</t>
  </si>
  <si>
    <t>1992-01-26</t>
  </si>
  <si>
    <t>1992-01-16</t>
  </si>
  <si>
    <t>323520014:eng</t>
  </si>
  <si>
    <t>22623545</t>
  </si>
  <si>
    <t>991001797389702656</t>
  </si>
  <si>
    <t>2271771500002656</t>
  </si>
  <si>
    <t>9781557981004</t>
  </si>
  <si>
    <t>32285000864354</t>
  </si>
  <si>
    <t>893334610</t>
  </si>
  <si>
    <t>QL364.2 .C67</t>
  </si>
  <si>
    <t>0                      QL 0364200C  67</t>
  </si>
  <si>
    <t>Invertebrate learning. Edited by W. C. Corning and J. A. Dyal and A. O. D. Willows.</t>
  </si>
  <si>
    <t>Corning, William C.</t>
  </si>
  <si>
    <t>New York, Plenum Press, 1973-[75]</t>
  </si>
  <si>
    <t>2009-02-21</t>
  </si>
  <si>
    <t>480471907:eng</t>
  </si>
  <si>
    <t>718135</t>
  </si>
  <si>
    <t>991003193079702656</t>
  </si>
  <si>
    <t>2256319120002656</t>
  </si>
  <si>
    <t>9780306376719</t>
  </si>
  <si>
    <t>32285002010709</t>
  </si>
  <si>
    <t>893348418</t>
  </si>
  <si>
    <t>32285002010923</t>
  </si>
  <si>
    <t>893342311</t>
  </si>
  <si>
    <t>32285002010931</t>
  </si>
  <si>
    <t>893336230</t>
  </si>
  <si>
    <t>QL365.363 .A74 2002</t>
  </si>
  <si>
    <t>0                      QL 0365363A  74          2002</t>
  </si>
  <si>
    <t>Atlas of marine invertebrate larvae / edited by Craig M. Young ; associate editors, Mary A. Sewell, Mary E. Rice.</t>
  </si>
  <si>
    <t>San Diego : Academic Press, c2002.</t>
  </si>
  <si>
    <t>2005-03-03</t>
  </si>
  <si>
    <t>351425871:eng</t>
  </si>
  <si>
    <t>47675816</t>
  </si>
  <si>
    <t>991004474459702656</t>
  </si>
  <si>
    <t>2260228230002656</t>
  </si>
  <si>
    <t>9780127731414</t>
  </si>
  <si>
    <t>32285005040356</t>
  </si>
  <si>
    <t>893895042</t>
  </si>
  <si>
    <t>QL366 .A53 1988</t>
  </si>
  <si>
    <t>0                      QL 0366000A  53          1988</t>
  </si>
  <si>
    <t>Comparative protozoology : ecology, physiology, life history / O. Roger Anderson.</t>
  </si>
  <si>
    <t>Anderson, O. Roger, 1937-</t>
  </si>
  <si>
    <t>Berlin ; New York : Springer-Verlag, c1988.</t>
  </si>
  <si>
    <t>1988</t>
  </si>
  <si>
    <t>1997-02-01</t>
  </si>
  <si>
    <t>1992-03-27</t>
  </si>
  <si>
    <t>9307450:eng</t>
  </si>
  <si>
    <t>16404481</t>
  </si>
  <si>
    <t>991001105249702656</t>
  </si>
  <si>
    <t>2263062510002656</t>
  </si>
  <si>
    <t>9780387180823</t>
  </si>
  <si>
    <t>32285001045599</t>
  </si>
  <si>
    <t>893340157</t>
  </si>
  <si>
    <t>QL366 .B45 1988</t>
  </si>
  <si>
    <t>0                      QL 0366000B  45          1988</t>
  </si>
  <si>
    <t>Sex and death in protozoa : the history of an obsession / Graham Bell.</t>
  </si>
  <si>
    <t>Bell, Graham, 1949-</t>
  </si>
  <si>
    <t>Cambridge [England] ; New York : Cambridge University Press, 1988.</t>
  </si>
  <si>
    <t>1993-05-04</t>
  </si>
  <si>
    <t>1989-12-18</t>
  </si>
  <si>
    <t>795495557:eng</t>
  </si>
  <si>
    <t>18321211</t>
  </si>
  <si>
    <t>991001329689702656</t>
  </si>
  <si>
    <t>2256838950002656</t>
  </si>
  <si>
    <t>9780521361415</t>
  </si>
  <si>
    <t>32285000018175</t>
  </si>
  <si>
    <t>893709182</t>
  </si>
  <si>
    <t>QL366 .F46 1987</t>
  </si>
  <si>
    <t>0                      QL 0366000F  46          1987</t>
  </si>
  <si>
    <t>Ecology of protozoa : the biology of free-living phagotrophic protists / Tom Fenchel.</t>
  </si>
  <si>
    <t>Fenchel, Tom.</t>
  </si>
  <si>
    <t>Madison, Wis. : Science Tech Publishers, c1987.</t>
  </si>
  <si>
    <t>wiu</t>
  </si>
  <si>
    <t>Brock/Springer series in contemporary bioscience</t>
  </si>
  <si>
    <t>1997-07-24</t>
  </si>
  <si>
    <t>290375101:eng</t>
  </si>
  <si>
    <t>14134657</t>
  </si>
  <si>
    <t>991000911519702656</t>
  </si>
  <si>
    <t>2266144590002656</t>
  </si>
  <si>
    <t>9780910239066</t>
  </si>
  <si>
    <t>32285001686582</t>
  </si>
  <si>
    <t>893772101</t>
  </si>
  <si>
    <t>QL366 .I4 2000</t>
  </si>
  <si>
    <t>0                      QL 0366000I  4           2000</t>
  </si>
  <si>
    <t>An illustrated guide to the protozoa : organisms traditionally referred to as protozoa, or newly discovered groups / edited by John J. Lee, Gordon F. Leedale, Phyllis Bradbury.</t>
  </si>
  <si>
    <t>Lawrence, Kan., U.S.A. : Society of Protozoologists, c2000.</t>
  </si>
  <si>
    <t>ksu</t>
  </si>
  <si>
    <t>2002-10-21</t>
  </si>
  <si>
    <t>365392228:eng</t>
  </si>
  <si>
    <t>49191284</t>
  </si>
  <si>
    <t>991003918969702656</t>
  </si>
  <si>
    <t>2262387970002656</t>
  </si>
  <si>
    <t>9781891276224</t>
  </si>
  <si>
    <t>32285004656145</t>
  </si>
  <si>
    <t>893506152</t>
  </si>
  <si>
    <t>32285004656152</t>
  </si>
  <si>
    <t>893535712</t>
  </si>
  <si>
    <t>QL366 .J3 1979</t>
  </si>
  <si>
    <t>0                      QL 0366000J  3           1979</t>
  </si>
  <si>
    <t>How to know the protozoa / Theodore Louis Jahn, Eugene Cleveland Bovee, Frances Floed Jahn.</t>
  </si>
  <si>
    <t>Jahn, Theodore Louis, 1905-</t>
  </si>
  <si>
    <t>Dubuque, Iowa : W. C. Brown Co., c1979.</t>
  </si>
  <si>
    <t>iau</t>
  </si>
  <si>
    <t>The Pictured key nature series</t>
  </si>
  <si>
    <t>1994-10-06</t>
  </si>
  <si>
    <t>1991-06-28</t>
  </si>
  <si>
    <t>5218518741:eng</t>
  </si>
  <si>
    <t>4469922</t>
  </si>
  <si>
    <t>991004642449702656</t>
  </si>
  <si>
    <t>2269630050002656</t>
  </si>
  <si>
    <t>9780697047588</t>
  </si>
  <si>
    <t>32285000635457</t>
  </si>
  <si>
    <t>893712844</t>
  </si>
  <si>
    <t>QL366 .K8 1966</t>
  </si>
  <si>
    <t>0                      QL 0366000K  8           1966</t>
  </si>
  <si>
    <t>Protozoology, by Richard R. Kudo.</t>
  </si>
  <si>
    <t>Kudo, Richard R. (Richard Roksabro), 1886-1967.</t>
  </si>
  <si>
    <t>Springfield, Ill., Thomas [1966]</t>
  </si>
  <si>
    <t>5th ed.</t>
  </si>
  <si>
    <t>1997-02-20</t>
  </si>
  <si>
    <t>1992-09-17</t>
  </si>
  <si>
    <t>1468440:eng</t>
  </si>
  <si>
    <t>556222</t>
  </si>
  <si>
    <t>991002983539702656</t>
  </si>
  <si>
    <t>2259920600002656</t>
  </si>
  <si>
    <t>32285001330181</t>
  </si>
  <si>
    <t>893530724</t>
  </si>
  <si>
    <t>QL366 .L26 1992</t>
  </si>
  <si>
    <t>0                      QL 0366000L  26          1992</t>
  </si>
  <si>
    <t>Protozoan plankton ecology / Johanna-Laybourn Parry.</t>
  </si>
  <si>
    <t>Laybourn-Parry, Johanna.</t>
  </si>
  <si>
    <t>London ; New York : Chapman &amp; Hall, 1992.</t>
  </si>
  <si>
    <t>1992</t>
  </si>
  <si>
    <t>2006-01-26</t>
  </si>
  <si>
    <t>1992-11-09</t>
  </si>
  <si>
    <t>25023718:eng</t>
  </si>
  <si>
    <t>24106098</t>
  </si>
  <si>
    <t>991001908189702656</t>
  </si>
  <si>
    <t>2255719900002656</t>
  </si>
  <si>
    <t>9780412344404</t>
  </si>
  <si>
    <t>32285001360956</t>
  </si>
  <si>
    <t>893590729</t>
  </si>
  <si>
    <t>QL366 .M28</t>
  </si>
  <si>
    <t>0                      QL 0366000M  28</t>
  </si>
  <si>
    <t>An introduction to the study of protozoa / by the late Doris L. Mackinnon and R. S. J. Hawes.</t>
  </si>
  <si>
    <t>Mackinnon, Doris L. (Doris Livingston)</t>
  </si>
  <si>
    <t>Oxford : Clarendon Press, 1961.</t>
  </si>
  <si>
    <t>2009-08-17</t>
  </si>
  <si>
    <t>1990-05-30</t>
  </si>
  <si>
    <t>1471875:eng</t>
  </si>
  <si>
    <t>833576</t>
  </si>
  <si>
    <t>991003309709702656</t>
  </si>
  <si>
    <t>2271625740002656</t>
  </si>
  <si>
    <t>32285000159854</t>
  </si>
  <si>
    <t>893518362</t>
  </si>
  <si>
    <t>QL366 .N38 1988</t>
  </si>
  <si>
    <t>0                      QL 0366000N  38          1988</t>
  </si>
  <si>
    <t>Protozoa and their role in marine processes / edited by P.C. Reid, C.M. Turley, and P.H. Burkill.</t>
  </si>
  <si>
    <t>NATO Advanced Study Institute on Protozoa and Their Role in Marine Processes (1988 : Plymouth, England)</t>
  </si>
  <si>
    <t>Berlin ; New York : Springer-Verlag, c1991.</t>
  </si>
  <si>
    <t>NATO ASI series. Series G, Ecological sciences ; vol. 25</t>
  </si>
  <si>
    <t>2006-01-29</t>
  </si>
  <si>
    <t>1991-09-20</t>
  </si>
  <si>
    <t>24065531:eng</t>
  </si>
  <si>
    <t>22859897</t>
  </si>
  <si>
    <t>991001817939702656</t>
  </si>
  <si>
    <t>2259292010002656</t>
  </si>
  <si>
    <t>9780387185651</t>
  </si>
  <si>
    <t>32285000704691</t>
  </si>
  <si>
    <t>893903588</t>
  </si>
  <si>
    <t>QL366 .S54 1989</t>
  </si>
  <si>
    <t>0                      QL 0366000S  54          1989</t>
  </si>
  <si>
    <t>Protozoa and other protists / Michael A. Sleigh.</t>
  </si>
  <si>
    <t>Sleigh, Michael A.</t>
  </si>
  <si>
    <t>London : Edward Arnold, 1989.</t>
  </si>
  <si>
    <t>[2nd ed.]</t>
  </si>
  <si>
    <t>2002-04-21</t>
  </si>
  <si>
    <t>1990-01-25</t>
  </si>
  <si>
    <t>23819464:eng</t>
  </si>
  <si>
    <t>21446319</t>
  </si>
  <si>
    <t>991001376219702656</t>
  </si>
  <si>
    <t>2264558880002656</t>
  </si>
  <si>
    <t>9780713129793</t>
  </si>
  <si>
    <t>32285000035427</t>
  </si>
  <si>
    <t>893509582</t>
  </si>
  <si>
    <t>QL366.5 .P37 1992b</t>
  </si>
  <si>
    <t>0                      QL 0366500P  37          1992b</t>
  </si>
  <si>
    <t>Free-living freshwater protozoa : a colour guide / D.J. Patterson ; illustrated by Stuart Hedley.</t>
  </si>
  <si>
    <t>Patterson, D. J.</t>
  </si>
  <si>
    <t>Aylesbury, Eng. : Wolfe Publishing, 1992.</t>
  </si>
  <si>
    <t>1992-12-10</t>
  </si>
  <si>
    <t>340137:eng</t>
  </si>
  <si>
    <t>316159636</t>
  </si>
  <si>
    <t>991001961019702656</t>
  </si>
  <si>
    <t>2269533440002656</t>
  </si>
  <si>
    <t>9780723416838</t>
  </si>
  <si>
    <t>32285001401990</t>
  </si>
  <si>
    <t>893891986</t>
  </si>
  <si>
    <t>QL368.A14 O35</t>
  </si>
  <si>
    <t>0                      QL 0368000A  14                 O  35</t>
  </si>
  <si>
    <t>An atlas of freshwater testate amoebae / C. G. Ogden &amp; R. H. Hedley.</t>
  </si>
  <si>
    <t>Ogden, Colin Gerald.</t>
  </si>
  <si>
    <t>Oxford : Oxford University Press [for the] British Museum (Natural History), 1980.</t>
  </si>
  <si>
    <t>Publication (British Museum (Natural History)) ; no. 814</t>
  </si>
  <si>
    <t>1994-09-12</t>
  </si>
  <si>
    <t>20309523:eng</t>
  </si>
  <si>
    <t>6334686</t>
  </si>
  <si>
    <t>991004966279702656</t>
  </si>
  <si>
    <t>2269084640002656</t>
  </si>
  <si>
    <t>9780198585022</t>
  </si>
  <si>
    <t>32285001686608</t>
  </si>
  <si>
    <t>893895683</t>
  </si>
  <si>
    <t>QL368.C5 G49 1973</t>
  </si>
  <si>
    <t>0                      QL 0368000C  5                  G  49          1973</t>
  </si>
  <si>
    <t>Blepharisma : the biology of a light-sensitive protozoan / by Arthur C. Giese. With the collaboration of Shōichirō Suzuki [and others]</t>
  </si>
  <si>
    <t>Giese, Arthur C. (Arthur Charles), 1904-1994.</t>
  </si>
  <si>
    <t>Stanford, Calif. : Stanford University Press, 1973.</t>
  </si>
  <si>
    <t>1993-09-13</t>
  </si>
  <si>
    <t>1993-03-04</t>
  </si>
  <si>
    <t>762686030:eng</t>
  </si>
  <si>
    <t>606108</t>
  </si>
  <si>
    <t>991003045419702656</t>
  </si>
  <si>
    <t>2263972990002656</t>
  </si>
  <si>
    <t>9780804708173</t>
  </si>
  <si>
    <t>32285001497154</t>
  </si>
  <si>
    <t>893710993</t>
  </si>
  <si>
    <t>QL368.C5 J8</t>
  </si>
  <si>
    <t>0                      QL 0368000C  5                  J  8</t>
  </si>
  <si>
    <t>The anatomy of Paramecium aurelia [by] A. Jurand and G. G. Selman.</t>
  </si>
  <si>
    <t>Jurand, A. (Artur)</t>
  </si>
  <si>
    <t>London, Macmillan; New York, St. Martin's P., 1969.</t>
  </si>
  <si>
    <t>2007-05-29</t>
  </si>
  <si>
    <t>1178793:eng</t>
  </si>
  <si>
    <t>30368</t>
  </si>
  <si>
    <t>991000077609702656</t>
  </si>
  <si>
    <t>2262383130002656</t>
  </si>
  <si>
    <t>9780333105689</t>
  </si>
  <si>
    <t>32285002939840</t>
  </si>
  <si>
    <t>893339246</t>
  </si>
  <si>
    <t>QL368.C7 K4813</t>
  </si>
  <si>
    <t>0                      QL 0368000C  7                  K  4813</t>
  </si>
  <si>
    <t>Life cycles of coccidia of domestic animals, by Yevgeniy M. Kheysin. Edited by Kenneth S. Todd, Jr. Translated by Frederick K. Plous, Jr.</t>
  </si>
  <si>
    <t>Kheĭsin, E. M. (Evgeniĭ Mineevich)</t>
  </si>
  <si>
    <t>Baltimore, University Park Press [1972]</t>
  </si>
  <si>
    <t>1361229:eng</t>
  </si>
  <si>
    <t>194760</t>
  </si>
  <si>
    <t>991001778709702656</t>
  </si>
  <si>
    <t>2269420020002656</t>
  </si>
  <si>
    <t>9780839100669</t>
  </si>
  <si>
    <t>32285002939865</t>
  </si>
  <si>
    <t>893334596</t>
  </si>
  <si>
    <t>QL368.C7 L58</t>
  </si>
  <si>
    <t>0                      QL 0368000C  7                  L  58</t>
  </si>
  <si>
    <t>The coccidian parasites (Protozoa, Sporozoa) of rodents [by] Norman D. Levine and Virginia Ivens.</t>
  </si>
  <si>
    <t>Levine, Norman D.</t>
  </si>
  <si>
    <t>Urbana, University of Illinois Press, 1965.</t>
  </si>
  <si>
    <t>Illinois biological monographs ; 33</t>
  </si>
  <si>
    <t>3855515550:eng</t>
  </si>
  <si>
    <t>1457685</t>
  </si>
  <si>
    <t>991003765369702656</t>
  </si>
  <si>
    <t>2256989110002656</t>
  </si>
  <si>
    <t>32285002939873</t>
  </si>
  <si>
    <t>893410658</t>
  </si>
  <si>
    <t>QL368.D6 B56 1987</t>
  </si>
  <si>
    <t>0                      QL 0368000D  6                  B  56          1987</t>
  </si>
  <si>
    <t>The Biology of dinoflagellates / edited by F.J.R. Taylor.</t>
  </si>
  <si>
    <t>Oxford : Blackwell Scientific, 1987.</t>
  </si>
  <si>
    <t>Botanical monographs ; v. 21</t>
  </si>
  <si>
    <t>1995-03-30</t>
  </si>
  <si>
    <t>55438364:eng</t>
  </si>
  <si>
    <t>23256101</t>
  </si>
  <si>
    <t>991000710119702656</t>
  </si>
  <si>
    <t>2271707400002656</t>
  </si>
  <si>
    <t>9780632009152</t>
  </si>
  <si>
    <t>32285001686616</t>
  </si>
  <si>
    <t>893614431</t>
  </si>
  <si>
    <t>QL368.F5 B46 1991</t>
  </si>
  <si>
    <t>0                      QL 0368000F  5                  B  46          1991</t>
  </si>
  <si>
    <t>The Biology of free-living heterotrophic flagellates / edited by David J. Patterson, Jacob Larsen.</t>
  </si>
  <si>
    <t>Oxford [England] : Published for the Systematics Association by Clarendon Press ; New York : Oxford University Press, 1991.</t>
  </si>
  <si>
    <t>The Systematics Association special volume ; no. 45</t>
  </si>
  <si>
    <t>1998-09-30</t>
  </si>
  <si>
    <t>1992-11-12</t>
  </si>
  <si>
    <t>365167351:eng</t>
  </si>
  <si>
    <t>23869305</t>
  </si>
  <si>
    <t>991001891159702656</t>
  </si>
  <si>
    <t>2270676690002656</t>
  </si>
  <si>
    <t>9780198577478</t>
  </si>
  <si>
    <t>32285001361889</t>
  </si>
  <si>
    <t>893596812</t>
  </si>
  <si>
    <t>QL368.F5 B8</t>
  </si>
  <si>
    <t>0                      QL 0368000F  5                  B  8</t>
  </si>
  <si>
    <t>The Biology of Euglena / edited by Dennis E. Buetow.</t>
  </si>
  <si>
    <t>Buetow, Dennis E., 1932-</t>
  </si>
  <si>
    <t>New York : Academic Press, 1968-&lt;1989 &gt;</t>
  </si>
  <si>
    <t>1992-03-20</t>
  </si>
  <si>
    <t>3373576649:eng</t>
  </si>
  <si>
    <t>418718</t>
  </si>
  <si>
    <t>991002734609702656</t>
  </si>
  <si>
    <t>2261179710002656</t>
  </si>
  <si>
    <t>9780121399030</t>
  </si>
  <si>
    <t>32285001025443</t>
  </si>
  <si>
    <t>893517679</t>
  </si>
  <si>
    <t>QL368.H87 E44 1973</t>
  </si>
  <si>
    <t>0                      QL 0368000H  87                 E  44          1973</t>
  </si>
  <si>
    <t>Biology of tetrahymena / edited by Alfred M. Elliott.</t>
  </si>
  <si>
    <t>Elliott, Alfred M. (Alfred Marlyn), 1905-1988.</t>
  </si>
  <si>
    <t>Stroudsburg, Pa. : Dowden, Hutchinson &amp; Ross, [1973]</t>
  </si>
  <si>
    <t>1994-05-09</t>
  </si>
  <si>
    <t>1993-04-21</t>
  </si>
  <si>
    <t>1811909:eng</t>
  </si>
  <si>
    <t>695618</t>
  </si>
  <si>
    <t>991003156449702656</t>
  </si>
  <si>
    <t>2267739030002656</t>
  </si>
  <si>
    <t>9780879330132</t>
  </si>
  <si>
    <t>32285001622421</t>
  </si>
  <si>
    <t>893717376</t>
  </si>
  <si>
    <t>QL368.P3 B4</t>
  </si>
  <si>
    <t>0                      QL 0368000P  3                  B  4</t>
  </si>
  <si>
    <t>The genetics of Paramecium aurelia.</t>
  </si>
  <si>
    <t>Beale, Geoffrey.</t>
  </si>
  <si>
    <t>Cambridge [Eng.] University Press, 1954.</t>
  </si>
  <si>
    <t>1954</t>
  </si>
  <si>
    <t>Cambridge monographs in experimental biology ; no. 2</t>
  </si>
  <si>
    <t>117059718:eng</t>
  </si>
  <si>
    <t>14671283</t>
  </si>
  <si>
    <t>991002987599702656</t>
  </si>
  <si>
    <t>2258249870002656</t>
  </si>
  <si>
    <t>32285002939899</t>
  </si>
  <si>
    <t>893251878</t>
  </si>
  <si>
    <t>QL369 .P56 1963</t>
  </si>
  <si>
    <t>0                      QL 0369000P  56          1963</t>
  </si>
  <si>
    <t>Electron-microscopic structure of protozoa.</t>
  </si>
  <si>
    <t>Pitelka, Dorothy R. (Dorothy Riggs), 1920-</t>
  </si>
  <si>
    <t>Oxford ; New York : Pergamon Press ; [distributed in the Western Hemisphere by Macmillan, New York], 1963.</t>
  </si>
  <si>
    <t>International series of monographs on pure and applied biology. Division, Zoology ; v. 13</t>
  </si>
  <si>
    <t>2004-02-12</t>
  </si>
  <si>
    <t>60644800:eng</t>
  </si>
  <si>
    <t>620210</t>
  </si>
  <si>
    <t>991003063639702656</t>
  </si>
  <si>
    <t>2256494280002656</t>
  </si>
  <si>
    <t>32285000159862</t>
  </si>
  <si>
    <t>893874391</t>
  </si>
  <si>
    <t>QL375 .I53 1979</t>
  </si>
  <si>
    <t>0                      QL 0375000I  53          1979</t>
  </si>
  <si>
    <t>Developmental and cellular biology of coelenterates ; proceedings of the 4th International Coelenterates Conference held in Interlaken, Switzerland, 4-8 September 1979 / editors, P. Tardent and R. Tardent.</t>
  </si>
  <si>
    <t>International Coelenterates Conference.</t>
  </si>
  <si>
    <t>Amsterdam ; New York : Elsevier/North Holland Biomedical Press ; New York : sole distributors for the USA and Canada, Elsevier North Holland, 1980.</t>
  </si>
  <si>
    <t xml:space="preserve">ne </t>
  </si>
  <si>
    <t>890049169:eng</t>
  </si>
  <si>
    <t>6196678</t>
  </si>
  <si>
    <t>991004943769702656</t>
  </si>
  <si>
    <t>2266187140002656</t>
  </si>
  <si>
    <t>9780444802217</t>
  </si>
  <si>
    <t>32285001686681</t>
  </si>
  <si>
    <t>893619250</t>
  </si>
  <si>
    <t>QL377.C7 V47 1995</t>
  </si>
  <si>
    <t>0                      QL 0377000C  7                  V  47          1995</t>
  </si>
  <si>
    <t>Corals in space and time : the biogeography and evolution of the Scleractinia / J.E.N. Veron.</t>
  </si>
  <si>
    <t>Veron, J. E. N. (John Edward Norwood)</t>
  </si>
  <si>
    <t>Ithaca : Comstock/Cornell, 1995.</t>
  </si>
  <si>
    <t>2003-02-22</t>
  </si>
  <si>
    <t>1996-06-13</t>
  </si>
  <si>
    <t>24563344:eng</t>
  </si>
  <si>
    <t>31133377</t>
  </si>
  <si>
    <t>991002396709702656</t>
  </si>
  <si>
    <t>2272585020002656</t>
  </si>
  <si>
    <t>9780801431418</t>
  </si>
  <si>
    <t>32285002192572</t>
  </si>
  <si>
    <t>893421296</t>
  </si>
  <si>
    <t>QL377.H9 L427 1986</t>
  </si>
  <si>
    <t>0                      QL 0377000H  9                  L  427         1986</t>
  </si>
  <si>
    <t>Hydra and the birth of experimental biology, 1744 : Abraham Trembley's Mémoires concerning the polyps / by Sylvia G. Lenhoff and Howard M. Lenhoff.</t>
  </si>
  <si>
    <t>Lenhoff, Sylvia G.</t>
  </si>
  <si>
    <t>Pacific Grove, CA : Boxwood Press, c1986.</t>
  </si>
  <si>
    <t>890361184:eng</t>
  </si>
  <si>
    <t>13423789</t>
  </si>
  <si>
    <t>991000826589702656</t>
  </si>
  <si>
    <t>2265928100002656</t>
  </si>
  <si>
    <t>9780940168015</t>
  </si>
  <si>
    <t>32285001686699</t>
  </si>
  <si>
    <t>893797021</t>
  </si>
  <si>
    <t>QL377.H9 L43 1966</t>
  </si>
  <si>
    <t>0                      QL 0377000H  9                  L  43          1966</t>
  </si>
  <si>
    <t>The cell biology of hydra, by Thomas L. Lentz.</t>
  </si>
  <si>
    <t>Lentz, Thomas L.</t>
  </si>
  <si>
    <t>Amsterdam, North Holland Pub. Co.; New York, Wiley, 1966.</t>
  </si>
  <si>
    <t>10896419:eng</t>
  </si>
  <si>
    <t>3571462</t>
  </si>
  <si>
    <t>991004466089702656</t>
  </si>
  <si>
    <t>2266133550002656</t>
  </si>
  <si>
    <t>32285002939931</t>
  </si>
  <si>
    <t>893331610</t>
  </si>
  <si>
    <t>QL378 .H15 1963</t>
  </si>
  <si>
    <t>0                      QL 0378000H  15          1963</t>
  </si>
  <si>
    <t>The evolution of the metazoa.</t>
  </si>
  <si>
    <t>Hadži, J. (Jovan), 1884-1972.</t>
  </si>
  <si>
    <t>New York, Macmillan, 1963.</t>
  </si>
  <si>
    <t>International series of monographs on pure and applied biology. Division, Zoology ; v. 16</t>
  </si>
  <si>
    <t>1998-01-29</t>
  </si>
  <si>
    <t>1418122:eng</t>
  </si>
  <si>
    <t>327047</t>
  </si>
  <si>
    <t>991002371269702656</t>
  </si>
  <si>
    <t>2272726620002656</t>
  </si>
  <si>
    <t>32285002939956</t>
  </si>
  <si>
    <t>893703991</t>
  </si>
  <si>
    <t>QL383.1.U6 S43 1995</t>
  </si>
  <si>
    <t>0                      QL 0383100U  6                  S  43          1995</t>
  </si>
  <si>
    <t>Sea stars, sea urchins, and allies : echinoderms of Florida and the Caribbean / Gordon Hendler ... [et al.].</t>
  </si>
  <si>
    <t>Washington : Smithsonian Institution Press, c1995.</t>
  </si>
  <si>
    <t>1995-11-20</t>
  </si>
  <si>
    <t>997452245:eng</t>
  </si>
  <si>
    <t>30972625</t>
  </si>
  <si>
    <t>991002382479702656</t>
  </si>
  <si>
    <t>2260454720002656</t>
  </si>
  <si>
    <t>9781560984504</t>
  </si>
  <si>
    <t>32285002104593</t>
  </si>
  <si>
    <t>893773553</t>
  </si>
  <si>
    <t>QL385 .B5</t>
  </si>
  <si>
    <t>0                      QL 0385000B  5</t>
  </si>
  <si>
    <t>Physiology of echinoderms.</t>
  </si>
  <si>
    <t>Binyon, John.</t>
  </si>
  <si>
    <t>Oxford, New York, Pergamon Press [1972]</t>
  </si>
  <si>
    <t>International series of monographs in pure and applied biology. Division: Zoology, v. 49</t>
  </si>
  <si>
    <t>2009-03-24</t>
  </si>
  <si>
    <t>407126:eng</t>
  </si>
  <si>
    <t>600388</t>
  </si>
  <si>
    <t>991003038639702656</t>
  </si>
  <si>
    <t>2261110800002656</t>
  </si>
  <si>
    <t>9780080169910</t>
  </si>
  <si>
    <t>32285002939964</t>
  </si>
  <si>
    <t>893505133</t>
  </si>
  <si>
    <t>QL385 .B6</t>
  </si>
  <si>
    <t>0                      QL 0385000B  6</t>
  </si>
  <si>
    <t>Physiology of echinodermata; a collective effort by a group of experts, edited by Richard A. Boolootián. Authors: Charles B. Alender [and others]</t>
  </si>
  <si>
    <t>Boolootian, Richard A. editor.</t>
  </si>
  <si>
    <t>New York, Interscience Publishers [1966]</t>
  </si>
  <si>
    <t>9593621588:eng</t>
  </si>
  <si>
    <t>556042</t>
  </si>
  <si>
    <t>991002983169702656</t>
  </si>
  <si>
    <t>2259824530002656</t>
  </si>
  <si>
    <t>32285002939972</t>
  </si>
  <si>
    <t>893793188</t>
  </si>
  <si>
    <t>QL386 .Y3</t>
  </si>
  <si>
    <t>0                      QL 0386000Y  3</t>
  </si>
  <si>
    <t>Systema helminthum.</t>
  </si>
  <si>
    <t>Yamaguti, Satyu, 1894-1976.</t>
  </si>
  <si>
    <t>New York, Interscience Publishers, 1958-&lt;1963 &gt;</t>
  </si>
  <si>
    <t>1958</t>
  </si>
  <si>
    <t>2005-02-24</t>
  </si>
  <si>
    <t>1997-07-23</t>
  </si>
  <si>
    <t>4790374248:und</t>
  </si>
  <si>
    <t>761317</t>
  </si>
  <si>
    <t>991003236979702656</t>
  </si>
  <si>
    <t>2267871800002656</t>
  </si>
  <si>
    <t>32285002980042</t>
  </si>
  <si>
    <t>893780755</t>
  </si>
  <si>
    <t>V.3 PT.1</t>
  </si>
  <si>
    <t>32285002980026</t>
  </si>
  <si>
    <t>893799506</t>
  </si>
  <si>
    <t>V.3 PT.2</t>
  </si>
  <si>
    <t>32285002980034</t>
  </si>
  <si>
    <t>893799505</t>
  </si>
  <si>
    <t>32285002980018</t>
  </si>
  <si>
    <t>893793437</t>
  </si>
  <si>
    <t>32285002980059</t>
  </si>
  <si>
    <t>893780754</t>
  </si>
  <si>
    <t>QL391.A2 C7</t>
  </si>
  <si>
    <t>0                      QL 0391000A  2                  C  7</t>
  </si>
  <si>
    <t>An ecological approach to acanthocephalan physiology, by D. W. T. Crompton.</t>
  </si>
  <si>
    <t>Crompton, D. W. T. (David William Thomasson), 1937-</t>
  </si>
  <si>
    <t>Cambridge [Eng.] University Press, 1970.</t>
  </si>
  <si>
    <t>Cambridge monographs in experimental biology ; no. 17</t>
  </si>
  <si>
    <t>1997-11-21</t>
  </si>
  <si>
    <t>1192016:eng</t>
  </si>
  <si>
    <t>107097</t>
  </si>
  <si>
    <t>991000634189702656</t>
  </si>
  <si>
    <t>2262073580002656</t>
  </si>
  <si>
    <t>9780521079396</t>
  </si>
  <si>
    <t>32285002939980</t>
  </si>
  <si>
    <t>893528234</t>
  </si>
  <si>
    <t>QL391.A6 D3 1967</t>
  </si>
  <si>
    <t>0                      QL 0391000A  6                  D  3           1967</t>
  </si>
  <si>
    <t>Annelids [by] R. Phillips Dales.</t>
  </si>
  <si>
    <t>London, Hutchinson, 1967.</t>
  </si>
  <si>
    <t>Hutchinson university library. Biological sciences</t>
  </si>
  <si>
    <t>2008-03-10</t>
  </si>
  <si>
    <t>1904473:eng</t>
  </si>
  <si>
    <t>956573</t>
  </si>
  <si>
    <t>991003416029702656</t>
  </si>
  <si>
    <t>2265248630002656</t>
  </si>
  <si>
    <t>32285002939998</t>
  </si>
  <si>
    <t>893598565</t>
  </si>
  <si>
    <t>QL391.A6 E27 1998</t>
  </si>
  <si>
    <t>0                      QL 0391000A  6                  E  27          1998</t>
  </si>
  <si>
    <t>Earthworm ecology / edited by Clive A. Edwards.</t>
  </si>
  <si>
    <t>Boca Raton : St. Lucie Press, c1998.</t>
  </si>
  <si>
    <t>1998-02-19</t>
  </si>
  <si>
    <t>350148423:eng</t>
  </si>
  <si>
    <t>38243637</t>
  </si>
  <si>
    <t>991002900439702656</t>
  </si>
  <si>
    <t>2267155370002656</t>
  </si>
  <si>
    <t>9781884015748</t>
  </si>
  <si>
    <t>32285003314183</t>
  </si>
  <si>
    <t>893874155</t>
  </si>
  <si>
    <t>QL391.A6 E38 1977</t>
  </si>
  <si>
    <t>0                      QL 0391000A  6                  E  38          1977</t>
  </si>
  <si>
    <t>Biology of earthworms / C. A. Edwards, J. R. Lofty.</t>
  </si>
  <si>
    <t>Edwards, C. A. (Clive Arthur), 1925-</t>
  </si>
  <si>
    <t>London : Chapman and Hall ; New York : Wiley, 1977.</t>
  </si>
  <si>
    <t>4923108112:eng</t>
  </si>
  <si>
    <t>2896206</t>
  </si>
  <si>
    <t>991004277389702656</t>
  </si>
  <si>
    <t>2256320330002656</t>
  </si>
  <si>
    <t>9780470991473</t>
  </si>
  <si>
    <t>32285002940004</t>
  </si>
  <si>
    <t>893532214</t>
  </si>
  <si>
    <t>QL391.A6 G85 1985</t>
  </si>
  <si>
    <t>0                      QL 0391000A  6                  G  85          1985</t>
  </si>
  <si>
    <t>A Guide to the freshwater Annelida (Polychaeta, naidid and tubificid Oligochaeta, and Hirudinea) of North America / edited by Donald J. Klemm.</t>
  </si>
  <si>
    <t>Dubuque, Iowa : Kendall/Hunt Pub. Co., c1985.</t>
  </si>
  <si>
    <t>54771247:eng</t>
  </si>
  <si>
    <t>12837858</t>
  </si>
  <si>
    <t>991000745199702656</t>
  </si>
  <si>
    <t>2272176520002656</t>
  </si>
  <si>
    <t>9780840335777</t>
  </si>
  <si>
    <t>32285001686707</t>
  </si>
  <si>
    <t>893261592</t>
  </si>
  <si>
    <t>QL391.A6 I57 1979</t>
  </si>
  <si>
    <t>0                      QL 0391000A  6                  I  57          1979</t>
  </si>
  <si>
    <t>Aquatic oligochaete biology / edited by Ralph O. Brinkhurst and David G. Cook.</t>
  </si>
  <si>
    <t>International Symposium on Aquatic Oligochaete Biology (1st : 1979 : Sidney, B.C.)</t>
  </si>
  <si>
    <t>New York : Plenum Press, c1980.</t>
  </si>
  <si>
    <t>2002-07-02</t>
  </si>
  <si>
    <t>143769580:eng</t>
  </si>
  <si>
    <t>5831392</t>
  </si>
  <si>
    <t>991004885089702656</t>
  </si>
  <si>
    <t>2263195280002656</t>
  </si>
  <si>
    <t>9780306403385</t>
  </si>
  <si>
    <t>32285001686715</t>
  </si>
  <si>
    <t>893446441</t>
  </si>
  <si>
    <t>QL391.A6 S7 1972</t>
  </si>
  <si>
    <t>0                      QL 0391000A  6                  S  7           1972</t>
  </si>
  <si>
    <t>The Oligochaeta, by J. Stephenson.</t>
  </si>
  <si>
    <t>Stephenson, J. (John), 1871-1933.</t>
  </si>
  <si>
    <t>Lehre, J. Cramer; New York, Stechert-Hafner, 1972.</t>
  </si>
  <si>
    <t>Historiae naturalis classica ; t. 92</t>
  </si>
  <si>
    <t>1998-03-25</t>
  </si>
  <si>
    <t>1857733:eng</t>
  </si>
  <si>
    <t>6677643</t>
  </si>
  <si>
    <t>991005024239702656</t>
  </si>
  <si>
    <t>2257931270002656</t>
  </si>
  <si>
    <t>32285002980067</t>
  </si>
  <si>
    <t>893795509</t>
  </si>
  <si>
    <t>QL391.C4 S37</t>
  </si>
  <si>
    <t>0                      QL 0391000C  4                  S  37</t>
  </si>
  <si>
    <t>How to know the tapeworms [by] Gerald D. Schmidt.</t>
  </si>
  <si>
    <t>Schmidt, Gerald D., 1934-</t>
  </si>
  <si>
    <t>Dubuque, Iowa, W. C. Brown Co. [1970]</t>
  </si>
  <si>
    <t>Pictured key nature series</t>
  </si>
  <si>
    <t>2005-02-11</t>
  </si>
  <si>
    <t>1244925:eng</t>
  </si>
  <si>
    <t>122418</t>
  </si>
  <si>
    <t>991000682839702656</t>
  </si>
  <si>
    <t>2263091710002656</t>
  </si>
  <si>
    <t>9780697048608</t>
  </si>
  <si>
    <t>32285002980083</t>
  </si>
  <si>
    <t>893327494</t>
  </si>
  <si>
    <t>QL391.C4 S5</t>
  </si>
  <si>
    <t>0                      QL 0391000C  4                  S  5</t>
  </si>
  <si>
    <t>The physiology of cestodes [by] J. D. Smyth.</t>
  </si>
  <si>
    <t>Smyth, J. D. (James Desmond), 1917-1999.</t>
  </si>
  <si>
    <t>San Francisco, W. H. Freeman [1969]</t>
  </si>
  <si>
    <t>University reviews in biology</t>
  </si>
  <si>
    <t>2006-03-22</t>
  </si>
  <si>
    <t>3855307647:eng</t>
  </si>
  <si>
    <t>51236</t>
  </si>
  <si>
    <t>991000124089702656</t>
  </si>
  <si>
    <t>2258532820002656</t>
  </si>
  <si>
    <t>9780716706762</t>
  </si>
  <si>
    <t>32285002980091</t>
  </si>
  <si>
    <t>893438029</t>
  </si>
  <si>
    <t>QL391.C4 W28</t>
  </si>
  <si>
    <t>0                      QL 0391000C  4                  W  28</t>
  </si>
  <si>
    <t>The zoology of tapeworms, by Robert A. Wardle and James Archie McLeod.</t>
  </si>
  <si>
    <t>Wardle, Robert A. (Robert Arnold), 1890-1974.</t>
  </si>
  <si>
    <t>Minneapolis, Published for the University of Manitoba by the University of Minnesota Press [1952]</t>
  </si>
  <si>
    <t>1952</t>
  </si>
  <si>
    <t>1413870:eng</t>
  </si>
  <si>
    <t>31725464</t>
  </si>
  <si>
    <t>991002433049702656</t>
  </si>
  <si>
    <t>2263449630002656</t>
  </si>
  <si>
    <t>32285002980109</t>
  </si>
  <si>
    <t>893773620</t>
  </si>
  <si>
    <t>QL391.N4 C74</t>
  </si>
  <si>
    <t>0                      QL 0391000N  4                  C  74</t>
  </si>
  <si>
    <t>Nematodes [by] H.D. Crofton.</t>
  </si>
  <si>
    <t>Crofton, H. D. (Harry Draper)</t>
  </si>
  <si>
    <t>London, Hutchinson, 1966.</t>
  </si>
  <si>
    <t>2152903:eng</t>
  </si>
  <si>
    <t>1245429</t>
  </si>
  <si>
    <t>991003645249702656</t>
  </si>
  <si>
    <t>2260201960002656</t>
  </si>
  <si>
    <t>32285002980133</t>
  </si>
  <si>
    <t>893806029</t>
  </si>
  <si>
    <t>QL391.N4 C745 1971</t>
  </si>
  <si>
    <t>0                      QL 0391000N  4                  C  745         1971</t>
  </si>
  <si>
    <t>The behaviour of nematodes: their activity, senses, and responses [by] Neil A. Croll.</t>
  </si>
  <si>
    <t>Croll, Neil Argo.</t>
  </si>
  <si>
    <t>New York, St. Martin's Press [1971, c1970]</t>
  </si>
  <si>
    <t>441659:eng</t>
  </si>
  <si>
    <t>155922</t>
  </si>
  <si>
    <t>991000895629702656</t>
  </si>
  <si>
    <t>2256682980002656</t>
  </si>
  <si>
    <t>32285002980141</t>
  </si>
  <si>
    <t>893690128</t>
  </si>
  <si>
    <t>QL391.N4 L37</t>
  </si>
  <si>
    <t>0                      QL 0391000N  4                  L  37</t>
  </si>
  <si>
    <t>The physiology of nematodes, by D. L. Lee.</t>
  </si>
  <si>
    <t>Lee, D. L. (Donald Lewis)</t>
  </si>
  <si>
    <t>San Francisco, W. H. Freeman [1965]</t>
  </si>
  <si>
    <t>5219023576:eng</t>
  </si>
  <si>
    <t>833671</t>
  </si>
  <si>
    <t>991003309829702656</t>
  </si>
  <si>
    <t>2271517590002656</t>
  </si>
  <si>
    <t>32285002980182</t>
  </si>
  <si>
    <t>893323967</t>
  </si>
  <si>
    <t>QL391.N4 L48</t>
  </si>
  <si>
    <t>0                      QL 0391000N  4                  L  48</t>
  </si>
  <si>
    <t>Nematode parasites of domestic animals and of man [by] Norman D. Levine.</t>
  </si>
  <si>
    <t>Minneapolis, Minn., Burgess Pub. Co. [1968]</t>
  </si>
  <si>
    <t>2009-02-25</t>
  </si>
  <si>
    <t>1515332:eng</t>
  </si>
  <si>
    <t>387831</t>
  </si>
  <si>
    <t>991002653539702656</t>
  </si>
  <si>
    <t>2257701650002656</t>
  </si>
  <si>
    <t>32285002980190</t>
  </si>
  <si>
    <t>893710517</t>
  </si>
  <si>
    <t>QL391.N4 N375 1988</t>
  </si>
  <si>
    <t>0                      QL 0391000N  4                  N  375         1988</t>
  </si>
  <si>
    <t>The Nematode Caenorhabditis elegans / edited by William B. Wood and the community of C. elegans researchers.</t>
  </si>
  <si>
    <t>Cold Spring Harbor, N.Y. : Cold Spring Harbor Laboratory, 1988.</t>
  </si>
  <si>
    <t>Cold Spring Harbor monograph series ; 17</t>
  </si>
  <si>
    <t>2010-02-05</t>
  </si>
  <si>
    <t>55008712:eng</t>
  </si>
  <si>
    <t>16685062</t>
  </si>
  <si>
    <t>991005408369702656</t>
  </si>
  <si>
    <t>2271324480002656</t>
  </si>
  <si>
    <t>9780879693077</t>
  </si>
  <si>
    <t>32285001686749</t>
  </si>
  <si>
    <t>893261110</t>
  </si>
  <si>
    <t>QL391.N4 N38</t>
  </si>
  <si>
    <t>0                      QL 0391000N  4                  N  38</t>
  </si>
  <si>
    <t>Nematodes as biological models / edited by Bert M. Zuckerman ; contributors, David B. Dusenbery ... [et al.].</t>
  </si>
  <si>
    <t>New York : Academic Press, 1980.</t>
  </si>
  <si>
    <t>2009-02-16</t>
  </si>
  <si>
    <t>2865137000:eng</t>
  </si>
  <si>
    <t>6198952</t>
  </si>
  <si>
    <t>991004944629702656</t>
  </si>
  <si>
    <t>2262361340002656</t>
  </si>
  <si>
    <t>9780127824017</t>
  </si>
  <si>
    <t>32285001686764</t>
  </si>
  <si>
    <t>893536282</t>
  </si>
  <si>
    <t>32285001686756</t>
  </si>
  <si>
    <t>893520200</t>
  </si>
  <si>
    <t>QL391.N4 P23 1991</t>
  </si>
  <si>
    <t>0                      QL 0391000N  4                  P  23          1991</t>
  </si>
  <si>
    <t>Parasitic nematodes : antigens, membranes, and genes / edited by M.W. Kennedy.</t>
  </si>
  <si>
    <t>Kennedy, M. W. (Malcolm W.)</t>
  </si>
  <si>
    <t>London ; New York : Taylor &amp; Francis, 1991.</t>
  </si>
  <si>
    <t>1993-01-19</t>
  </si>
  <si>
    <t>3943608126:eng</t>
  </si>
  <si>
    <t>26318591</t>
  </si>
  <si>
    <t>991002058029702656</t>
  </si>
  <si>
    <t>2263467450002656</t>
  </si>
  <si>
    <t>9780850667721</t>
  </si>
  <si>
    <t>32285001446581</t>
  </si>
  <si>
    <t>893497672</t>
  </si>
  <si>
    <t>QL391.N4 Y6 1962</t>
  </si>
  <si>
    <t>0                      QL 0391000N  4                  Y  6           1962</t>
  </si>
  <si>
    <t>The nematode parasites of vertebrates, by Warrington Yorke and P.A. Maplestone. With a foreword by C.W. Stiles.</t>
  </si>
  <si>
    <t>Yorke, Warrington, 1883-1943.</t>
  </si>
  <si>
    <t>New York Hafner Pub. Co. 1962.</t>
  </si>
  <si>
    <t>1493196:eng</t>
  </si>
  <si>
    <t>1542400</t>
  </si>
  <si>
    <t>991003813179702656</t>
  </si>
  <si>
    <t>2262940760002656</t>
  </si>
  <si>
    <t>32285002980224</t>
  </si>
  <si>
    <t>893535638</t>
  </si>
  <si>
    <t>QL391.O4 D3 1881a</t>
  </si>
  <si>
    <t>0                      QL 0391000O  4                  D  3           1881a</t>
  </si>
  <si>
    <t>The formation of vegetable mould through the action of worms, with observations of their habits. By Charles Darwin. London, Murray, 1881.</t>
  </si>
  <si>
    <t>Darwin, Charles, 1809-1882.</t>
  </si>
  <si>
    <t>Bruxelles, Impression anastaltique Culture et Civilisation, 1969 [1970].</t>
  </si>
  <si>
    <t xml:space="preserve">be </t>
  </si>
  <si>
    <t>10792805107:eng</t>
  </si>
  <si>
    <t>70186</t>
  </si>
  <si>
    <t>991000338569702656</t>
  </si>
  <si>
    <t>2270290830002656</t>
  </si>
  <si>
    <t>32285002980232</t>
  </si>
  <si>
    <t>893589360</t>
  </si>
  <si>
    <t>QL391.O4 E33</t>
  </si>
  <si>
    <t>0                      QL 0391000O  4                  E  33</t>
  </si>
  <si>
    <t>Biology of earthworms [by] C. A. Edwards [and] J. R. Lofty.</t>
  </si>
  <si>
    <t>London, Chapman and Hall, 1972.</t>
  </si>
  <si>
    <t>1992-04-16</t>
  </si>
  <si>
    <t>603537</t>
  </si>
  <si>
    <t>991003042349702656</t>
  </si>
  <si>
    <t>2260263240002656</t>
  </si>
  <si>
    <t>9780412110603</t>
  </si>
  <si>
    <t>32285001053460</t>
  </si>
  <si>
    <t>893530794</t>
  </si>
  <si>
    <t>QL391.O4 G3</t>
  </si>
  <si>
    <t>0                      QL 0391000O  4                  G  3</t>
  </si>
  <si>
    <t>Earthworms for ecology &amp; profit / Ronald E. Gaddie and Donald E. Douglas.</t>
  </si>
  <si>
    <t>Gaddie, Ronald E., 1939-</t>
  </si>
  <si>
    <t>[Ontario, Calif. : North American Bait Farms, 1975- ].</t>
  </si>
  <si>
    <t>1975</t>
  </si>
  <si>
    <t>2005-01-20</t>
  </si>
  <si>
    <t>1910407833:eng</t>
  </si>
  <si>
    <t>1938717</t>
  </si>
  <si>
    <t>991003943359702656</t>
  </si>
  <si>
    <t>2260332000002656</t>
  </si>
  <si>
    <t>32285001686772</t>
  </si>
  <si>
    <t>893417029</t>
  </si>
  <si>
    <t>QL391.O4 L3 1963</t>
  </si>
  <si>
    <t>0                      QL 0391000O  4                  L  3           1963</t>
  </si>
  <si>
    <t>The physiology of earthworms.</t>
  </si>
  <si>
    <t>Laverack, M. S.</t>
  </si>
  <si>
    <t>International series of monographs on pure and applied biology. Division, Zoology ; v. 15</t>
  </si>
  <si>
    <t>1998-03-02</t>
  </si>
  <si>
    <t>1593382:eng</t>
  </si>
  <si>
    <t>558131</t>
  </si>
  <si>
    <t>991002987099702656</t>
  </si>
  <si>
    <t>2258198550002656</t>
  </si>
  <si>
    <t>32285003354163</t>
  </si>
  <si>
    <t>893880688</t>
  </si>
  <si>
    <t>QL391.O4 R463</t>
  </si>
  <si>
    <t>0                      QL 0391000O  4                  R  463</t>
  </si>
  <si>
    <t>The earthworms : (Lumbricidae and Sparganophilidae) of Ontario / John W. Reynolds. Illustrated by Daniel L. Dindal.</t>
  </si>
  <si>
    <t>Reynolds, John W., 1941-</t>
  </si>
  <si>
    <t>[Toronto : The Royal Ontario Museum], 1977.</t>
  </si>
  <si>
    <t>Life sciences miscellaneous publications / Royal Ontario Museum</t>
  </si>
  <si>
    <t>28870224:eng</t>
  </si>
  <si>
    <t>7575050</t>
  </si>
  <si>
    <t>991004372789702656</t>
  </si>
  <si>
    <t>2267495530002656</t>
  </si>
  <si>
    <t>32285001686780</t>
  </si>
  <si>
    <t>893788618</t>
  </si>
  <si>
    <t>QL391.P7 B54</t>
  </si>
  <si>
    <t>0                      QL 0391000P  7                  B  54</t>
  </si>
  <si>
    <t>Biology of the tapeworm Hymenolepis diminuta / edited by Hisao P. Arai.</t>
  </si>
  <si>
    <t>2008-02-26</t>
  </si>
  <si>
    <t>408339:eng</t>
  </si>
  <si>
    <t>6914997</t>
  </si>
  <si>
    <t>991005058309702656</t>
  </si>
  <si>
    <t>2262969260002656</t>
  </si>
  <si>
    <t>9780120589807</t>
  </si>
  <si>
    <t>32285001686798</t>
  </si>
  <si>
    <t>893628494</t>
  </si>
  <si>
    <t>QL391.P7 B55</t>
  </si>
  <si>
    <t>0                      QL 0391000P  7                  B  55</t>
  </si>
  <si>
    <t>Biology of the Turbellaria. Edited by Nathan W. Riser [and] M. Patricia Morse.</t>
  </si>
  <si>
    <t>New York, McGraw-Hill [1974]</t>
  </si>
  <si>
    <t>McGraw-Hill series in the invertebrates</t>
  </si>
  <si>
    <t>2004-02-25</t>
  </si>
  <si>
    <t>53999933:eng</t>
  </si>
  <si>
    <t>698756</t>
  </si>
  <si>
    <t>991003160049702656</t>
  </si>
  <si>
    <t>2265162980002656</t>
  </si>
  <si>
    <t>9780070529472</t>
  </si>
  <si>
    <t>32285002980240</t>
  </si>
  <si>
    <t>893887194</t>
  </si>
  <si>
    <t>QL391.T7 B93</t>
  </si>
  <si>
    <t>0                      QL 0391000T  7                  B  93</t>
  </si>
  <si>
    <t>Monogenetic trematodes : their systematics and phylogeny / by Boris E. Bychowsky ; edited by William J. Hargis, Jr. ; translated by Pierre C. Oustinoff.</t>
  </si>
  <si>
    <t>Bykhovskiĭ, B. E. (Boris Evseevich), 1908-1974.</t>
  </si>
  <si>
    <t>Washington, D.C. : American Institute of Biological Sciences, c1961.</t>
  </si>
  <si>
    <t>[Virginia Institute of Marine Science translation series] ; no. 1</t>
  </si>
  <si>
    <t>52613824:eng</t>
  </si>
  <si>
    <t>170246</t>
  </si>
  <si>
    <t>991000965709702656</t>
  </si>
  <si>
    <t>2269539960002656</t>
  </si>
  <si>
    <t>32285002980265</t>
  </si>
  <si>
    <t>893426211</t>
  </si>
  <si>
    <t>QL391.T7 P22 1965</t>
  </si>
  <si>
    <t>0                      QL 0391000T  7                  P  22          1965</t>
  </si>
  <si>
    <t>The common liver fluke, Fasciola hepatica L., by E.M. Pantelouris.</t>
  </si>
  <si>
    <t>Pantelouris, E. M.</t>
  </si>
  <si>
    <t>Oxford, New York, Pergamon Press [1965]</t>
  </si>
  <si>
    <t>International series of monographs on pure and applied biology. Division, Zoology ; v. 21</t>
  </si>
  <si>
    <t>9988739456:eng</t>
  </si>
  <si>
    <t>12613901</t>
  </si>
  <si>
    <t>991000714479702656</t>
  </si>
  <si>
    <t>2259895590002656</t>
  </si>
  <si>
    <t>32285002980273</t>
  </si>
  <si>
    <t>893419714</t>
  </si>
  <si>
    <t>QL391.T9 C43</t>
  </si>
  <si>
    <t>0                      QL 0391000T  9                  C  43</t>
  </si>
  <si>
    <t>Histogenesis and morphogenesis in planarian regeneration / Rosine Chandebois.</t>
  </si>
  <si>
    <t>Chandebois, Rosine.</t>
  </si>
  <si>
    <t>Basel ; New York : S. Karger, 1976.</t>
  </si>
  <si>
    <t>Monographs in developmental biology ; v. 11</t>
  </si>
  <si>
    <t>1995-02-20</t>
  </si>
  <si>
    <t>393894:eng</t>
  </si>
  <si>
    <t>2227627</t>
  </si>
  <si>
    <t>991004056789702656</t>
  </si>
  <si>
    <t>2270696120002656</t>
  </si>
  <si>
    <t>9783805522816</t>
  </si>
  <si>
    <t>32285001686806</t>
  </si>
  <si>
    <t>893810332</t>
  </si>
  <si>
    <t>QL392 .C76</t>
  </si>
  <si>
    <t>0                      QL 0392000C  76</t>
  </si>
  <si>
    <t>Parasitic worms / D. W. T. Crompton and S. M. Joyner.</t>
  </si>
  <si>
    <t>New York : Crane, Russak, 1980.</t>
  </si>
  <si>
    <t>Wykeham science series ; 57</t>
  </si>
  <si>
    <t>507755:eng</t>
  </si>
  <si>
    <t>5336830</t>
  </si>
  <si>
    <t>991004822509702656</t>
  </si>
  <si>
    <t>2265240330002656</t>
  </si>
  <si>
    <t>9780844813424</t>
  </si>
  <si>
    <t>32285001686814</t>
  </si>
  <si>
    <t>893344301</t>
  </si>
  <si>
    <t>QL403 .J72</t>
  </si>
  <si>
    <t>0                      QL 0403000J  72</t>
  </si>
  <si>
    <t>An introduction to conchology; or, Elements of the natural history of molluscous animals. By George Johnston.</t>
  </si>
  <si>
    <t>Johnston, George, 1797-1855.</t>
  </si>
  <si>
    <t>London, J. Van Voorst, 1850.</t>
  </si>
  <si>
    <t>1850</t>
  </si>
  <si>
    <t>4241261812:eng</t>
  </si>
  <si>
    <t>588055</t>
  </si>
  <si>
    <t>991003023189702656</t>
  </si>
  <si>
    <t>2270083050002656</t>
  </si>
  <si>
    <t>32285002980315</t>
  </si>
  <si>
    <t>893874336</t>
  </si>
  <si>
    <t>QL403 .M67 1967</t>
  </si>
  <si>
    <t>0                      QL 0403000M  67          1967</t>
  </si>
  <si>
    <t>Molluscs, [by] J. E. Morton.</t>
  </si>
  <si>
    <t>Morton, John, 1923-2011.</t>
  </si>
  <si>
    <t>4th (revised) ed.</t>
  </si>
  <si>
    <t>2009-02-24</t>
  </si>
  <si>
    <t>1636652:eng</t>
  </si>
  <si>
    <t>807136</t>
  </si>
  <si>
    <t>991003285269702656</t>
  </si>
  <si>
    <t>2268750770002656</t>
  </si>
  <si>
    <t>32285002980323</t>
  </si>
  <si>
    <t>893240052</t>
  </si>
  <si>
    <t>QL405 .L5313 1978</t>
  </si>
  <si>
    <t>0                      QL 0405000L  5313        1978</t>
  </si>
  <si>
    <t>Field guide to seashells of the world / Gert Lindner ; translated and edited by Gwynne Vevers.</t>
  </si>
  <si>
    <t>Lindner, Gert.</t>
  </si>
  <si>
    <t>New York : Van Nostrand Reinhold, 1978, c1977, 1979 printing.</t>
  </si>
  <si>
    <t>1994-02-16</t>
  </si>
  <si>
    <t>1992-07-30</t>
  </si>
  <si>
    <t>4160588106:eng</t>
  </si>
  <si>
    <t>3397185</t>
  </si>
  <si>
    <t>991004425599702656</t>
  </si>
  <si>
    <t>2267073390002656</t>
  </si>
  <si>
    <t>9780442248147</t>
  </si>
  <si>
    <t>32285001240141</t>
  </si>
  <si>
    <t>893888681</t>
  </si>
  <si>
    <t>QL41 .A724 1978</t>
  </si>
  <si>
    <t>0                      QL 0041000A  724         1978</t>
  </si>
  <si>
    <t>Aristotle's De motu animalium : text with translation, commentary, and interpretive essays / by Martha Craven Nussbaum.</t>
  </si>
  <si>
    <t>Aristotle.</t>
  </si>
  <si>
    <t>Princeton, N.J. : Princeton University Press, 1978.</t>
  </si>
  <si>
    <t>2002-04-09</t>
  </si>
  <si>
    <t>10628485177:eng</t>
  </si>
  <si>
    <t>4005791</t>
  </si>
  <si>
    <t>991005371979702656</t>
  </si>
  <si>
    <t>2264286880002656</t>
  </si>
  <si>
    <t>9780691072241</t>
  </si>
  <si>
    <t>32285001686053</t>
  </si>
  <si>
    <t>893896334</t>
  </si>
  <si>
    <t>QL41 .A727513 2001</t>
  </si>
  <si>
    <t>0                      QL 0041000A  727513      2001</t>
  </si>
  <si>
    <t>On the parts of animals / Aristotle ; translated with a commentary by James G. Lennox.</t>
  </si>
  <si>
    <t>Oxford [England] : Clarendon Press ; New York : Oxford University Press, 2001.</t>
  </si>
  <si>
    <t>Clarendon Aristotle series</t>
  </si>
  <si>
    <t>2003-01-21</t>
  </si>
  <si>
    <t>4915785100:eng</t>
  </si>
  <si>
    <t>48588337</t>
  </si>
  <si>
    <t>991003945769702656</t>
  </si>
  <si>
    <t>2257749940002656</t>
  </si>
  <si>
    <t>9780198751090</t>
  </si>
  <si>
    <t>32285004694609</t>
  </si>
  <si>
    <t>893228713</t>
  </si>
  <si>
    <t>QL41 .A7413 1991</t>
  </si>
  <si>
    <t>0                      QL 0041000A  7413        1991</t>
  </si>
  <si>
    <t>History of animals. Books VII-X / Aristotle ; edited and translated by D.M. Balme.</t>
  </si>
  <si>
    <t>Cambridge, Mass. : Harvard University Press, 1991.</t>
  </si>
  <si>
    <t>Loeb classical library ; 439</t>
  </si>
  <si>
    <t>1994-05-15</t>
  </si>
  <si>
    <t>1992-03-26</t>
  </si>
  <si>
    <t>10627744485:eng</t>
  </si>
  <si>
    <t>24065350</t>
  </si>
  <si>
    <t>991001903649702656</t>
  </si>
  <si>
    <t>2263978620002656</t>
  </si>
  <si>
    <t>9780674994836</t>
  </si>
  <si>
    <t>32285001002970</t>
  </si>
  <si>
    <t>893408452</t>
  </si>
  <si>
    <t>QL41.A717 M67 1982</t>
  </si>
  <si>
    <t>0                      QL 0041000A  717                M  67          1982</t>
  </si>
  <si>
    <t>Aristotle On the generation of animals : a philosophical study / Johannes Morsink.</t>
  </si>
  <si>
    <t>Morsink, Johannes.</t>
  </si>
  <si>
    <t>Washington, D.C. : University Press of America, c1982.</t>
  </si>
  <si>
    <t>1993-09-05</t>
  </si>
  <si>
    <t>431201092:eng</t>
  </si>
  <si>
    <t>8587796</t>
  </si>
  <si>
    <t>991000024269702656</t>
  </si>
  <si>
    <t>2259566280002656</t>
  </si>
  <si>
    <t>9780819126078</t>
  </si>
  <si>
    <t>32285001686046</t>
  </si>
  <si>
    <t>893777609</t>
  </si>
  <si>
    <t>QL430.2 .A5513</t>
  </si>
  <si>
    <t>0                      QL 0430200A  5513</t>
  </si>
  <si>
    <t>Cephalopods of the seas of the U.S.S.R. Golovonogie mollyuski morei SSSR [by] I.I. Akimushkin. Translated from Russian [by A. Mercado].</t>
  </si>
  <si>
    <t>Akimushkin, Igorʹ.</t>
  </si>
  <si>
    <t>Jerusalem, Israel Program for Scientific Translations; [available from U.S. Dept. of Commerce, Clearinghouse for Federal Scientific and Technical Information, Springfield, Va.] 1965.</t>
  </si>
  <si>
    <t xml:space="preserve">is </t>
  </si>
  <si>
    <t>428557508:eng</t>
  </si>
  <si>
    <t>506978</t>
  </si>
  <si>
    <t>991002883389702656</t>
  </si>
  <si>
    <t>2259637310002656</t>
  </si>
  <si>
    <t>32285002010691</t>
  </si>
  <si>
    <t>893793049</t>
  </si>
  <si>
    <t>QL430.2 .H37 1996</t>
  </si>
  <si>
    <t>0                      QL 0430200H  37          1996</t>
  </si>
  <si>
    <t>Cephalopod behaviour / Roger T. Hanlon, John B. Messenger.</t>
  </si>
  <si>
    <t>Hanlon, Roger T.</t>
  </si>
  <si>
    <t>Cambridge ; New York : University of Cambridge, 1996.</t>
  </si>
  <si>
    <t>2009-03-02</t>
  </si>
  <si>
    <t>1996-09-11</t>
  </si>
  <si>
    <t>27510480:eng</t>
  </si>
  <si>
    <t>32166973</t>
  </si>
  <si>
    <t>991002469119702656</t>
  </si>
  <si>
    <t>2266261520002656</t>
  </si>
  <si>
    <t>9780521420839</t>
  </si>
  <si>
    <t>32285002317161</t>
  </si>
  <si>
    <t>893517323</t>
  </si>
  <si>
    <t>QL430.2 .W4</t>
  </si>
  <si>
    <t>0                      QL 0430200W  4</t>
  </si>
  <si>
    <t>Brain and behaviour in cephalopods.</t>
  </si>
  <si>
    <t>Stanford, Calif., Stanford University Press [1962]</t>
  </si>
  <si>
    <t>University biology monographs</t>
  </si>
  <si>
    <t>1647478:eng</t>
  </si>
  <si>
    <t>564338</t>
  </si>
  <si>
    <t>991002995969702656</t>
  </si>
  <si>
    <t>2256782560002656</t>
  </si>
  <si>
    <t>32285002010683</t>
  </si>
  <si>
    <t>893692265</t>
  </si>
  <si>
    <t>QL430.3.A73 E58 1998</t>
  </si>
  <si>
    <t>0                      QL 0430300A  73                 E  58          1998</t>
  </si>
  <si>
    <t>The search for the giant squid / Richard Ellis.</t>
  </si>
  <si>
    <t>New York, N.Y. : Lyons Press, c1998.</t>
  </si>
  <si>
    <t>2008-04-30</t>
  </si>
  <si>
    <t>1999-07-27</t>
  </si>
  <si>
    <t>985179:eng</t>
  </si>
  <si>
    <t>38295200</t>
  </si>
  <si>
    <t>991002903919702656</t>
  </si>
  <si>
    <t>2263065230002656</t>
  </si>
  <si>
    <t>9781558216891</t>
  </si>
  <si>
    <t>32285003579256</t>
  </si>
  <si>
    <t>893692145</t>
  </si>
  <si>
    <t>QL430.4 .R85</t>
  </si>
  <si>
    <t>0                      QL 0430400R  85</t>
  </si>
  <si>
    <t>Terrestrial slugs [by] N. W. Runham &amp; P. J. Hunter.</t>
  </si>
  <si>
    <t>Runham, N. W. (Norman William)</t>
  </si>
  <si>
    <t>London, Hutchinson, 1970.</t>
  </si>
  <si>
    <t>2006-03-31</t>
  </si>
  <si>
    <t>1336403:eng</t>
  </si>
  <si>
    <t>149019</t>
  </si>
  <si>
    <t>991000850479702656</t>
  </si>
  <si>
    <t>2260502160002656</t>
  </si>
  <si>
    <t>9780091056704</t>
  </si>
  <si>
    <t>32285002980364</t>
  </si>
  <si>
    <t>893714953</t>
  </si>
  <si>
    <t>QL431 .R3 1966</t>
  </si>
  <si>
    <t>0                      QL 0431000R  3           1966</t>
  </si>
  <si>
    <t>Morphogenesis; the analysis of molluscan development, by Chr. P. Raven.</t>
  </si>
  <si>
    <t>Raven, Chr. P. (Christiaan Pieter), 1906-2001.</t>
  </si>
  <si>
    <t>Oxford, New York, Pergamon Press [1966]</t>
  </si>
  <si>
    <t>[2d ed.]</t>
  </si>
  <si>
    <t>International series of monographs on pure and applied biology. Division, Zoology ; v. 2</t>
  </si>
  <si>
    <t>2002-02-26</t>
  </si>
  <si>
    <t>5724917:eng</t>
  </si>
  <si>
    <t>185996</t>
  </si>
  <si>
    <t>991001157569702656</t>
  </si>
  <si>
    <t>2268973370002656</t>
  </si>
  <si>
    <t>32285002980380</t>
  </si>
  <si>
    <t>893334110</t>
  </si>
  <si>
    <t>QL431 .W58</t>
  </si>
  <si>
    <t>0                      QL 0431000W  58</t>
  </si>
  <si>
    <t>Physiology of Mollusca. Edited by Karl M. Wilbur [and] C.M. Yonge.</t>
  </si>
  <si>
    <t>Wilbur, Karl M. editor.</t>
  </si>
  <si>
    <t>New York, Academic Press, 1964-66.</t>
  </si>
  <si>
    <t>8907742030:eng</t>
  </si>
  <si>
    <t>225922</t>
  </si>
  <si>
    <t>991001379719702656</t>
  </si>
  <si>
    <t>2263088190002656</t>
  </si>
  <si>
    <t>32285002980398</t>
  </si>
  <si>
    <t>893420277</t>
  </si>
  <si>
    <t>2005-10-04</t>
  </si>
  <si>
    <t>32285002980406</t>
  </si>
  <si>
    <t>893439095</t>
  </si>
  <si>
    <t>QL434 .C34 1965</t>
  </si>
  <si>
    <t>0                      QL 0434000C  34          1965</t>
  </si>
  <si>
    <t>The behaviour of arthropods / by J. D. Carthy.</t>
  </si>
  <si>
    <t>Carthy, J. D. (John Dennis), 1923-1972.</t>
  </si>
  <si>
    <t>San Francisco : W. H. Freeman, [1965]</t>
  </si>
  <si>
    <t>2008-01-31</t>
  </si>
  <si>
    <t>1994-02-24</t>
  </si>
  <si>
    <t>478023371:eng</t>
  </si>
  <si>
    <t>557139</t>
  </si>
  <si>
    <t>991002985059702656</t>
  </si>
  <si>
    <t>2261268230002656</t>
  </si>
  <si>
    <t>32285001850089</t>
  </si>
  <si>
    <t>893592045</t>
  </si>
  <si>
    <t>QL434 .C54 1973b</t>
  </si>
  <si>
    <t>0                      QL 0434000C  54          1973b</t>
  </si>
  <si>
    <t>The biology of the Arthropoda / [by] Kenneth U. Clarke.</t>
  </si>
  <si>
    <t>Clarke, Kenneth U. (Kenneth Upex)</t>
  </si>
  <si>
    <t>New York : American Elsevier Pub. Co., [1973]</t>
  </si>
  <si>
    <t>Contemporary biology</t>
  </si>
  <si>
    <t>1995-02-15</t>
  </si>
  <si>
    <t>1994-06-01</t>
  </si>
  <si>
    <t>1779226:eng</t>
  </si>
  <si>
    <t>798929</t>
  </si>
  <si>
    <t>991003274149702656</t>
  </si>
  <si>
    <t>2261330290002656</t>
  </si>
  <si>
    <t>9780444195593</t>
  </si>
  <si>
    <t>32285001913697</t>
  </si>
  <si>
    <t>893531038</t>
  </si>
  <si>
    <t>QL434 .M36</t>
  </si>
  <si>
    <t>0                      QL 0434000M  36</t>
  </si>
  <si>
    <t>The arthropoda : habits, functional morphology, and evolution / S. M. Manton.</t>
  </si>
  <si>
    <t>Manton, S. M. (Sidnie Milana), 1902-1979.</t>
  </si>
  <si>
    <t>Oxford [Eng.] : Clarendon Press, 1977.</t>
  </si>
  <si>
    <t>1993-05-26</t>
  </si>
  <si>
    <t>899617712:eng</t>
  </si>
  <si>
    <t>2896202</t>
  </si>
  <si>
    <t>991004277359702656</t>
  </si>
  <si>
    <t>2256320090002656</t>
  </si>
  <si>
    <t>9780198573913</t>
  </si>
  <si>
    <t>32285001686830</t>
  </si>
  <si>
    <t>893519455</t>
  </si>
  <si>
    <t>QL434.35 .A77 1979</t>
  </si>
  <si>
    <t>0                      QL 0434350A  77          1979</t>
  </si>
  <si>
    <t>Arthropod phylogeny / edited by A. P. Gupta.</t>
  </si>
  <si>
    <t>New York : Van Nostrand Reinhold, c1979.</t>
  </si>
  <si>
    <t>14272012:eng</t>
  </si>
  <si>
    <t>4036530</t>
  </si>
  <si>
    <t>991004572689702656</t>
  </si>
  <si>
    <t>2269536400002656</t>
  </si>
  <si>
    <t>9780442229733</t>
  </si>
  <si>
    <t>32285001686848</t>
  </si>
  <si>
    <t>893532547</t>
  </si>
  <si>
    <t>QL434.72 .L63</t>
  </si>
  <si>
    <t>0                      QL 0434720L  63</t>
  </si>
  <si>
    <t>Locomotion and energetics in arthropods / edited by Clyde F. Herreid II and Charles R. Fourtner.</t>
  </si>
  <si>
    <t>New York : Plenum Press, c1981.</t>
  </si>
  <si>
    <t>353787857:eng</t>
  </si>
  <si>
    <t>7733216</t>
  </si>
  <si>
    <t>991005151779702656</t>
  </si>
  <si>
    <t>2256956880002656</t>
  </si>
  <si>
    <t>9780306408304</t>
  </si>
  <si>
    <t>32285001686855</t>
  </si>
  <si>
    <t>893263637</t>
  </si>
  <si>
    <t>QL434.8 .H37 1978</t>
  </si>
  <si>
    <t>0                      QL 0434800H  37          1978</t>
  </si>
  <si>
    <t>The dynamics of arthropod predator-prey systems / Michael P. Hassell.</t>
  </si>
  <si>
    <t>Hassell, Michael P. (Michael Patrick)</t>
  </si>
  <si>
    <t>Princeton, N.J. : Princeton University Press, c1978.</t>
  </si>
  <si>
    <t>Monographs in population biology ; 13</t>
  </si>
  <si>
    <t>442405:eng</t>
  </si>
  <si>
    <t>3844383</t>
  </si>
  <si>
    <t>991004528529702656</t>
  </si>
  <si>
    <t>2264684640002656</t>
  </si>
  <si>
    <t>9780691082080</t>
  </si>
  <si>
    <t>32285001686863</t>
  </si>
  <si>
    <t>893712724</t>
  </si>
  <si>
    <t>QL435 .B48 1982, v.7</t>
  </si>
  <si>
    <t>0                      QL 0435000B  48          1982                                        v.7</t>
  </si>
  <si>
    <t>Behavior and ecology / edited by F. John Vernberg, Winona B. Vernberg.</t>
  </si>
  <si>
    <t>New York : Academic Press, 1983.</t>
  </si>
  <si>
    <t>The Biology of crustacea ; v. 7</t>
  </si>
  <si>
    <t>2010-08-16</t>
  </si>
  <si>
    <t>3799015853:eng</t>
  </si>
  <si>
    <t>8865383</t>
  </si>
  <si>
    <t>991000085809702656</t>
  </si>
  <si>
    <t>2263273630002656</t>
  </si>
  <si>
    <t>9780121064075</t>
  </si>
  <si>
    <t>32285003174587</t>
  </si>
  <si>
    <t>893620157</t>
  </si>
  <si>
    <t>QL441.1 .S28</t>
  </si>
  <si>
    <t>0                      QL 0441100S  28</t>
  </si>
  <si>
    <t>An account of the Crustacea of the United States. With an introd. by L. B. Holthuis.</t>
  </si>
  <si>
    <t>Say, Thomas, 1787-1834.</t>
  </si>
  <si>
    <t>Lehre, Cramer; Codicote/Herts., Wheldon &amp; Wesley; New York/N.Y., Stechert-Hafner, 1969.</t>
  </si>
  <si>
    <t>Repr.</t>
  </si>
  <si>
    <t>Historiae naturalis classica ; t. 73</t>
  </si>
  <si>
    <t>10200868906:eng</t>
  </si>
  <si>
    <t>98030</t>
  </si>
  <si>
    <t>991000599189702656</t>
  </si>
  <si>
    <t>2272153000002656</t>
  </si>
  <si>
    <t>32285002980422</t>
  </si>
  <si>
    <t>893528191</t>
  </si>
  <si>
    <t>QL444.B815 N37 1988</t>
  </si>
  <si>
    <t>0                      QL 0444000B  815                N  37          1988</t>
  </si>
  <si>
    <t>Cell and molecular biology of artemia development / edited by Alden H. Warner, Thomas H. MacRae, and Joseph C. Bagshaw.</t>
  </si>
  <si>
    <t>NATO Advanced Research Workshop on Cell and Molecular Biology of Artemia Development (1988 : Montréal, Québec)</t>
  </si>
  <si>
    <t>New York : Plenum Press, c1989.</t>
  </si>
  <si>
    <t>NATO ASI series. Series A, Life sciences ; vol. 174</t>
  </si>
  <si>
    <t>1994-10-07</t>
  </si>
  <si>
    <t>1990-01-14</t>
  </si>
  <si>
    <t>365323309:eng</t>
  </si>
  <si>
    <t>20012655</t>
  </si>
  <si>
    <t>991001525909702656</t>
  </si>
  <si>
    <t>2260859120002656</t>
  </si>
  <si>
    <t>9780306432484</t>
  </si>
  <si>
    <t>32285000027564</t>
  </si>
  <si>
    <t>893772645</t>
  </si>
  <si>
    <t>QL444.I8 B52 1973</t>
  </si>
  <si>
    <t>0                      QL 0444000I  8                  B  52          1973</t>
  </si>
  <si>
    <t>Deep water Isopods (Crustacea. Isopoda) of the north-western part of the Pacific Ocean. Translated from Russian.</t>
  </si>
  <si>
    <t>Birshteĭn, I͡A. A. (I͡Akov Avadʹevich), 1911-1970.</t>
  </si>
  <si>
    <t>New Delhi, Indian National Scientific Documentation Centre. 1973.</t>
  </si>
  <si>
    <t>2010-03-03</t>
  </si>
  <si>
    <t>2194975:eng</t>
  </si>
  <si>
    <t>1318593</t>
  </si>
  <si>
    <t>991003507559702656</t>
  </si>
  <si>
    <t>2258924270002656</t>
  </si>
  <si>
    <t>32285002980455</t>
  </si>
  <si>
    <t>893348751</t>
  </si>
  <si>
    <t>QL444.M33 W54 1984</t>
  </si>
  <si>
    <t>0                      QL 0444000M  33                 W  54          1984</t>
  </si>
  <si>
    <t>Shrimps, lobsters, and crabs of the Atlantic Coast of the Eastern United States, Maine to Florida / Austin B. Williams.</t>
  </si>
  <si>
    <t>Williams, Austin B.</t>
  </si>
  <si>
    <t>Washington, D.C. : Smithsonian Institution Press, 1984.</t>
  </si>
  <si>
    <t>1991-11-19</t>
  </si>
  <si>
    <t>5622877461:eng</t>
  </si>
  <si>
    <t>9489284</t>
  </si>
  <si>
    <t>991000205939702656</t>
  </si>
  <si>
    <t>2256366150002656</t>
  </si>
  <si>
    <t>32285000824556</t>
  </si>
  <si>
    <t>893701927</t>
  </si>
  <si>
    <t>QL445 .C3</t>
  </si>
  <si>
    <t>0                      QL 0445000C  3</t>
  </si>
  <si>
    <t>Endocrine control in crustaceans, by David B. Carlisle and Francis Knowles.</t>
  </si>
  <si>
    <t>Carlisle, David B.</t>
  </si>
  <si>
    <t>Cambridge [Eng.] University Press, 1959.</t>
  </si>
  <si>
    <t>Cambridge monographs in experimental biology ; no. 10</t>
  </si>
  <si>
    <t>1625916:eng</t>
  </si>
  <si>
    <t>558420</t>
  </si>
  <si>
    <t>991002987529702656</t>
  </si>
  <si>
    <t>2258249500002656</t>
  </si>
  <si>
    <t>32285002980463</t>
  </si>
  <si>
    <t>893616860</t>
  </si>
  <si>
    <t>QL445 .L6 1968</t>
  </si>
  <si>
    <t>0                      QL 0445000L  6           1968</t>
  </si>
  <si>
    <t>Aspects of the physiology of Crustacea / [by] A. P. M. Lockwood.</t>
  </si>
  <si>
    <t>Lockwood, A. P. M. (Antony Peter Murray), 1931-</t>
  </si>
  <si>
    <t>Edinburgh ; London : Oliver &amp; Boyd, 1968.</t>
  </si>
  <si>
    <t>University reviews in biology, 8</t>
  </si>
  <si>
    <t>1993-01-23</t>
  </si>
  <si>
    <t>1344104:eng</t>
  </si>
  <si>
    <t>468584</t>
  </si>
  <si>
    <t>991002823099702656</t>
  </si>
  <si>
    <t>2262996560002656</t>
  </si>
  <si>
    <t>32285001476752</t>
  </si>
  <si>
    <t>893780266</t>
  </si>
  <si>
    <t>QL447.5 .K56 1994</t>
  </si>
  <si>
    <t>0                      QL 0447500K  56          1994</t>
  </si>
  <si>
    <t>The biology of tardigrades / by Ian M. Kinchin.</t>
  </si>
  <si>
    <t>Kinchin, Ian M.</t>
  </si>
  <si>
    <t>London : Portland Press, c1994.</t>
  </si>
  <si>
    <t>2003-02-09</t>
  </si>
  <si>
    <t>1995-04-24</t>
  </si>
  <si>
    <t>20644094:eng</t>
  </si>
  <si>
    <t>258889944</t>
  </si>
  <si>
    <t>991002398329702656</t>
  </si>
  <si>
    <t>2272083580002656</t>
  </si>
  <si>
    <t>9781855780439</t>
  </si>
  <si>
    <t>32285002035722</t>
  </si>
  <si>
    <t>893529930</t>
  </si>
  <si>
    <t>QL447.7 .P48</t>
  </si>
  <si>
    <t>0                      QL 0447700P  48</t>
  </si>
  <si>
    <t>Physiology and biology of horseshoe crabs / editors, Joseph Bonaventura, Celia Bonaventura, Shirley Tesh.</t>
  </si>
  <si>
    <t>New York : A.R. Liss, [1982]</t>
  </si>
  <si>
    <t>Progress in clinical and biological research ; v. 81</t>
  </si>
  <si>
    <t>795269203:eng</t>
  </si>
  <si>
    <t>8221841</t>
  </si>
  <si>
    <t>991005220499702656</t>
  </si>
  <si>
    <t>2266709520002656</t>
  </si>
  <si>
    <t>9780845100813</t>
  </si>
  <si>
    <t>32285001686897</t>
  </si>
  <si>
    <t>893801950</t>
  </si>
  <si>
    <t>QL449.5 .L48 1981</t>
  </si>
  <si>
    <t>0                      QL 0449500L  48          1981</t>
  </si>
  <si>
    <t>The biology of centipedes / J.G.E. Lewis.</t>
  </si>
  <si>
    <t>Lewis, J. G. E. (John Gordon Elkan)</t>
  </si>
  <si>
    <t>Cambridge [Eng.] ; New York : Cambridge University Press, 1981.</t>
  </si>
  <si>
    <t>2005-02-23</t>
  </si>
  <si>
    <t>20415149:eng</t>
  </si>
  <si>
    <t>6602857</t>
  </si>
  <si>
    <t>991005011279702656</t>
  </si>
  <si>
    <t>2255667570002656</t>
  </si>
  <si>
    <t>9780521234139</t>
  </si>
  <si>
    <t>32285001686905</t>
  </si>
  <si>
    <t>893418263</t>
  </si>
  <si>
    <t>QL457.1 .C7</t>
  </si>
  <si>
    <t>0                      QL 0457100C  7</t>
  </si>
  <si>
    <t>The spider book; a manual for the study of the spiders and their near relatives, the scorpions, pseudoscorpions, whip-scorpions, harvestmen, and other members of the class Arachnida, found in America north of Mexico, with analytical keys for their classification and popular accounts of their habits; by John Henry Comstock ...</t>
  </si>
  <si>
    <t>Comstock, John Henry, 1849-1931.</t>
  </si>
  <si>
    <t>Garden City, New York, Doubleday, Page &amp; Company, 1912.</t>
  </si>
  <si>
    <t>1912</t>
  </si>
  <si>
    <t>2005-02-18</t>
  </si>
  <si>
    <t>2491961:eng</t>
  </si>
  <si>
    <t>1367211</t>
  </si>
  <si>
    <t>991003722839702656</t>
  </si>
  <si>
    <t>2256819080002656</t>
  </si>
  <si>
    <t>32285002980497</t>
  </si>
  <si>
    <t>893505918</t>
  </si>
  <si>
    <t>QL458.2.I9 P65</t>
  </si>
  <si>
    <t>0                      QL 0458200I  9                  P  65</t>
  </si>
  <si>
    <t>A translation of Fauna of U.S.S.R., Archnida, vol. 4, no. 2 [new series no. 41] Ixodid ticks (Ixodidae) [by] B.I. Pomerantsev. Trans. by Alena Elbl. Ed. by George Anastos.</t>
  </si>
  <si>
    <t>Pomerantsev, B. I.</t>
  </si>
  <si>
    <t>Washington, D.C., American Institute of Biological Sciences [1959]</t>
  </si>
  <si>
    <t>37400559:eng</t>
  </si>
  <si>
    <t>33060996</t>
  </si>
  <si>
    <t>991002544279702656</t>
  </si>
  <si>
    <t>2256367330002656</t>
  </si>
  <si>
    <t>32285002980521</t>
  </si>
  <si>
    <t>893245303</t>
  </si>
  <si>
    <t>QL458.4 .G47 1979</t>
  </si>
  <si>
    <t>0                      QL 0458400G  47          1979</t>
  </si>
  <si>
    <t>American spiders / Willis J. Gertsch.</t>
  </si>
  <si>
    <t>Gertsch, Willis John, 1906-</t>
  </si>
  <si>
    <t>New York : Van Nostrand Reinhold Co., c1979.</t>
  </si>
  <si>
    <t>1990-07-03</t>
  </si>
  <si>
    <t>481656:eng</t>
  </si>
  <si>
    <t>3844201</t>
  </si>
  <si>
    <t>991004527879702656</t>
  </si>
  <si>
    <t>2264778860002656</t>
  </si>
  <si>
    <t>9780442226497</t>
  </si>
  <si>
    <t>32285000225150</t>
  </si>
  <si>
    <t>893624820</t>
  </si>
  <si>
    <t>QL458.4 .M678 2007</t>
  </si>
  <si>
    <t>0                      QL 0458400M  678         2007</t>
  </si>
  <si>
    <t>Predator upon a flower : life history and fitness in a crab spider / Douglass H. Morse.</t>
  </si>
  <si>
    <t>Morse, Douglass H., 1938-</t>
  </si>
  <si>
    <t>Cambridge, Mass. : Harvard University Press, 2007.</t>
  </si>
  <si>
    <t>2009-02-22</t>
  </si>
  <si>
    <t>2008-03-11</t>
  </si>
  <si>
    <t>368437203:eng</t>
  </si>
  <si>
    <t>80181392</t>
  </si>
  <si>
    <t>991005183539702656</t>
  </si>
  <si>
    <t>2257216170002656</t>
  </si>
  <si>
    <t>9780674024809</t>
  </si>
  <si>
    <t>32285005396899</t>
  </si>
  <si>
    <t>893248502</t>
  </si>
  <si>
    <t>QL458.5 .H37 2007</t>
  </si>
  <si>
    <t>0                      QL 0458500H  37          2007</t>
  </si>
  <si>
    <t>Harvestmen : the biology of Opiliones / edited by Ricardo Pinto-da-Rocha, Glauco Machado, Gonzalo Giribet.</t>
  </si>
  <si>
    <t>Cambridge, Mass. : Harvard University Press, c2007.</t>
  </si>
  <si>
    <t>2007-10-30</t>
  </si>
  <si>
    <t>890830761:eng</t>
  </si>
  <si>
    <t>70063057</t>
  </si>
  <si>
    <t>991005131519702656</t>
  </si>
  <si>
    <t>2264363130002656</t>
  </si>
  <si>
    <t>9780674023437</t>
  </si>
  <si>
    <t>32285005362685</t>
  </si>
  <si>
    <t>893520482</t>
  </si>
  <si>
    <t>QL458.A2 H6</t>
  </si>
  <si>
    <t>0                      QL 0458000A  2                  H  6</t>
  </si>
  <si>
    <t>Bibliography of ticks and tickborne diseases from Homer (about 800 B.C.) to 31 December 1969 / by Harry Hoogstraal. With the editorial assistance of Anna L. Gahin and Alice Djigounian, and the NAMRU-3 Medical Zoology Department Bibliographic Staff.</t>
  </si>
  <si>
    <t>Hoogstraal, Harry, 1917-1986.</t>
  </si>
  <si>
    <t>Cairo, Egypt : U.A.R., U.S. Naval Medical Research Unit No. 3, 1970-</t>
  </si>
  <si>
    <t xml:space="preserve">ua </t>
  </si>
  <si>
    <t>United States. Navy. Naval Medical Research Unit No. 3. Special publication</t>
  </si>
  <si>
    <t>1997-02-25</t>
  </si>
  <si>
    <t>3373954700:eng</t>
  </si>
  <si>
    <t>482132</t>
  </si>
  <si>
    <t>991002840569702656</t>
  </si>
  <si>
    <t>2258928690002656</t>
  </si>
  <si>
    <t>32285001686913</t>
  </si>
  <si>
    <t>893504884</t>
  </si>
  <si>
    <t>QL458.S4 B93</t>
  </si>
  <si>
    <t>0                      QL 0458000S  4                  B  93</t>
  </si>
  <si>
    <t>Scorpions.</t>
  </si>
  <si>
    <t>Bi͡alynit͡skiĭ-Biruli͡a, A. A. (Alekseĭ Andreevich), 1864-1938.</t>
  </si>
  <si>
    <t>Petrograd, 1917; Jerusalem, Israel Program for Scientific Translations, 1965.</t>
  </si>
  <si>
    <t xml:space="preserve">ru </t>
  </si>
  <si>
    <t>Fauna of Russia and adjacent countries Arachnoidae ; 1</t>
  </si>
  <si>
    <t>3943572350:eng</t>
  </si>
  <si>
    <t>557318</t>
  </si>
  <si>
    <t>991002985519702656</t>
  </si>
  <si>
    <t>2261403610002656</t>
  </si>
  <si>
    <t>32285002980505</t>
  </si>
  <si>
    <t>893317514</t>
  </si>
  <si>
    <t>QL458.S4 B931</t>
  </si>
  <si>
    <t>0                      QL 0458000S  4                  B  931</t>
  </si>
  <si>
    <t>Scorpions. Translated from Russian [by Jean Salkind]</t>
  </si>
  <si>
    <t>Byalnitskii-Birulya, A. A.</t>
  </si>
  <si>
    <t>Jerusalem, Israel Program for Scientific Translations; [available from the Office of Technical Services, U.S. Dept. of Commerce, Washington] 1964.</t>
  </si>
  <si>
    <t>Arthrogastric arachnids of Caucasia ; pt. 1</t>
  </si>
  <si>
    <t>9490213544:eng</t>
  </si>
  <si>
    <t>9597510</t>
  </si>
  <si>
    <t>991000223899702656</t>
  </si>
  <si>
    <t>2264062780002656</t>
  </si>
  <si>
    <t>32285002980513</t>
  </si>
  <si>
    <t>893333316</t>
  </si>
  <si>
    <t>QL459 .W5413</t>
  </si>
  <si>
    <t>0                      QL 0459000W  5413</t>
  </si>
  <si>
    <t>A spider's web : problems in regulatory biology / [by] Peter N. Witt, Charles F. Reed [and] David B. Peakall.</t>
  </si>
  <si>
    <t>Witt, Peter Nikolaus.</t>
  </si>
  <si>
    <t>Berlin ; Heidelberg ; New York : Springer-Verlag, 1968.</t>
  </si>
  <si>
    <t>1991-10-16</t>
  </si>
  <si>
    <t>365525154:eng</t>
  </si>
  <si>
    <t>752147</t>
  </si>
  <si>
    <t>991003227209702656</t>
  </si>
  <si>
    <t>2268933840002656</t>
  </si>
  <si>
    <t>32285000773662</t>
  </si>
  <si>
    <t>893592307</t>
  </si>
  <si>
    <t>QL46 .A39 2004</t>
  </si>
  <si>
    <t>0                      QL 0046000A  39          2004</t>
  </si>
  <si>
    <t>Zoological physics : quantitative models of body design, actions, and physical limitations of animals / Boye K. Ahlborn.</t>
  </si>
  <si>
    <t>Ahlborn, Boye.</t>
  </si>
  <si>
    <t>Berlin ; New York : Springer, c2004.</t>
  </si>
  <si>
    <t>2004-08-10</t>
  </si>
  <si>
    <t>802456793:eng</t>
  </si>
  <si>
    <t>54029510</t>
  </si>
  <si>
    <t>991004319999702656</t>
  </si>
  <si>
    <t>2271405440002656</t>
  </si>
  <si>
    <t>9783540208464</t>
  </si>
  <si>
    <t>32285004980651</t>
  </si>
  <si>
    <t>893241273</t>
  </si>
  <si>
    <t>QL46 .N377 1996</t>
  </si>
  <si>
    <t>0                      QL 0046000N  377         1996</t>
  </si>
  <si>
    <t>El reino animal / los mejores reportajes fotogrʹaficos de National Geographic Society.</t>
  </si>
  <si>
    <t>National Geographic Society (U.S.).</t>
  </si>
  <si>
    <t>[S.l.] : RBA Publications, c1996.</t>
  </si>
  <si>
    <t>Ed. especial para El Pais.</t>
  </si>
  <si>
    <t>spa</t>
  </si>
  <si>
    <t>2003-10-01</t>
  </si>
  <si>
    <t>1997-05-20</t>
  </si>
  <si>
    <t>365868465:spa</t>
  </si>
  <si>
    <t>36506151</t>
  </si>
  <si>
    <t>991002780859702656</t>
  </si>
  <si>
    <t>2264518880002656</t>
  </si>
  <si>
    <t>32285002610177</t>
  </si>
  <si>
    <t>893799014</t>
  </si>
  <si>
    <t>QL461 .I72 1976</t>
  </si>
  <si>
    <t>0                      QL 0461000I  72          1976</t>
  </si>
  <si>
    <t>The role of arthropods in forest ecosystems / edited by W. J. Mattson, with contributions by G. D. Amman ... [et al.].</t>
  </si>
  <si>
    <t>International Congress of Entomology (15th : 1976 : Washington, D.C.)</t>
  </si>
  <si>
    <t>New York : Springer-Verlag, c1977.</t>
  </si>
  <si>
    <t>Proceedings in life sciences</t>
  </si>
  <si>
    <t>1998-04-27</t>
  </si>
  <si>
    <t>190121679:eng</t>
  </si>
  <si>
    <t>3016741</t>
  </si>
  <si>
    <t>991004319509702656</t>
  </si>
  <si>
    <t>2271451550002656</t>
  </si>
  <si>
    <t>9780387082967</t>
  </si>
  <si>
    <t>32285002980547</t>
  </si>
  <si>
    <t>893423655</t>
  </si>
  <si>
    <t>QL461 .S88 1969z</t>
  </si>
  <si>
    <t>0                      QL 0461000S  88          1969z</t>
  </si>
  <si>
    <t>Chemicals controlling insect behavior / edited by Morton Beroza. Foreword by F. F. Knipling.</t>
  </si>
  <si>
    <t>New York : Academic Press, 1970.</t>
  </si>
  <si>
    <t>2007-02-22</t>
  </si>
  <si>
    <t>1992-11-05</t>
  </si>
  <si>
    <t>510102453:eng</t>
  </si>
  <si>
    <t>101894</t>
  </si>
  <si>
    <t>991000616719702656</t>
  </si>
  <si>
    <t>2261445460002656</t>
  </si>
  <si>
    <t>9780120930500</t>
  </si>
  <si>
    <t>32285001381101</t>
  </si>
  <si>
    <t>893407365</t>
  </si>
  <si>
    <t>QL463 .B46 1995</t>
  </si>
  <si>
    <t>0                      QL 0463000B  46          1995</t>
  </si>
  <si>
    <t>Bugs in the system : insects and their impact on human affairs / May R. Berenbaum.</t>
  </si>
  <si>
    <t>Berenbaum, M. (May)</t>
  </si>
  <si>
    <t>Reading, Mass. : Addison-Wesley, c1995.</t>
  </si>
  <si>
    <t>1995-03-01</t>
  </si>
  <si>
    <t>837027403:eng</t>
  </si>
  <si>
    <t>30157272</t>
  </si>
  <si>
    <t>991002325659702656</t>
  </si>
  <si>
    <t>2264376850002656</t>
  </si>
  <si>
    <t>9780201624991</t>
  </si>
  <si>
    <t>32285002001088</t>
  </si>
  <si>
    <t>893347374</t>
  </si>
  <si>
    <t>QL463 .C71 1940</t>
  </si>
  <si>
    <t>0                      QL 0463000C  71          1940</t>
  </si>
  <si>
    <t>An introduction to entomology, by John Henry Comstock ...</t>
  </si>
  <si>
    <t>Ithaca, N.Y., Comstock Publishing Company, inc., 1940.</t>
  </si>
  <si>
    <t>9th ed. rev.</t>
  </si>
  <si>
    <t>3887954939:eng</t>
  </si>
  <si>
    <t>555521</t>
  </si>
  <si>
    <t>991002982309702656</t>
  </si>
  <si>
    <t>2260484610002656</t>
  </si>
  <si>
    <t>32285002980562</t>
  </si>
  <si>
    <t>893598133</t>
  </si>
  <si>
    <t>QL463 .D34 1998</t>
  </si>
  <si>
    <t>0                      QL 0463000D  34          1998</t>
  </si>
  <si>
    <t>Introduction to insect biology and diversity / Howell V. Daly, John T. Doyen, Alexander H. Purcell III ; illustrations by Barbara Boole Daly ; featuring photographs by Edward S. Ross.</t>
  </si>
  <si>
    <t>Daly, Howell V.</t>
  </si>
  <si>
    <t>Oxford ; New York : Oxford University Press, c1998.</t>
  </si>
  <si>
    <t>2009-02-26</t>
  </si>
  <si>
    <t>1999-04-27</t>
  </si>
  <si>
    <t>4714528387:eng</t>
  </si>
  <si>
    <t>37211384</t>
  </si>
  <si>
    <t>991002826359702656</t>
  </si>
  <si>
    <t>2258900900002656</t>
  </si>
  <si>
    <t>9780195100334</t>
  </si>
  <si>
    <t>32285003556254</t>
  </si>
  <si>
    <t>893347974</t>
  </si>
  <si>
    <t>QL463 .E18 1984</t>
  </si>
  <si>
    <t>0                      QL 0463000E  18          1984</t>
  </si>
  <si>
    <t>Ecological entomology / edited by Carl B. Huffaker, Robert L. Rabb ; sponsored by the International Center for Integrated and Biological Control, the University of California and North Carolina State University, Raleigh.</t>
  </si>
  <si>
    <t>New York : Wiley, c1984.</t>
  </si>
  <si>
    <t>2006-01-24</t>
  </si>
  <si>
    <t>1992-11-03</t>
  </si>
  <si>
    <t>365520974:eng</t>
  </si>
  <si>
    <t>10323758</t>
  </si>
  <si>
    <t>991000354379702656</t>
  </si>
  <si>
    <t>2268646250002656</t>
  </si>
  <si>
    <t>9780471064930</t>
  </si>
  <si>
    <t>32285001381093</t>
  </si>
  <si>
    <t>893607838</t>
  </si>
  <si>
    <t>QL463 .E48 1987</t>
  </si>
  <si>
    <t>0                      QL 0463000E  48          1987</t>
  </si>
  <si>
    <t>Fundamentals of entomology / Richard J. Elzinga.</t>
  </si>
  <si>
    <t>Elzinga, Richard J., 1931-</t>
  </si>
  <si>
    <t>Englewood Cliffs, N.J. : Prentice-Hall, c1987.</t>
  </si>
  <si>
    <t>2000-03-26</t>
  </si>
  <si>
    <t>1992-04-14</t>
  </si>
  <si>
    <t>984011:eng</t>
  </si>
  <si>
    <t>13903102</t>
  </si>
  <si>
    <t>991000889039702656</t>
  </si>
  <si>
    <t>2270024270002656</t>
  </si>
  <si>
    <t>9780133382037</t>
  </si>
  <si>
    <t>32285001068484</t>
  </si>
  <si>
    <t>893346064</t>
  </si>
  <si>
    <t>QL463 .E7</t>
  </si>
  <si>
    <t>0                      QL 0463000E  7</t>
  </si>
  <si>
    <t>College entomology, by E.O. Essig ...</t>
  </si>
  <si>
    <t>Essig, E. O. (Edward Oliver), 1884-1964.</t>
  </si>
  <si>
    <t>New York, The Macmillan company, 1942.</t>
  </si>
  <si>
    <t>1942</t>
  </si>
  <si>
    <t>1643931:eng</t>
  </si>
  <si>
    <t>809878</t>
  </si>
  <si>
    <t>991003287599702656</t>
  </si>
  <si>
    <t>2262978130002656</t>
  </si>
  <si>
    <t>32285002980570</t>
  </si>
  <si>
    <t>893234007</t>
  </si>
  <si>
    <t>QL463 .H85 1923</t>
  </si>
  <si>
    <t>0                      QL 0463000H  85          1923</t>
  </si>
  <si>
    <t>The insect book; a popular account of the bees, wasps, ants, grasshoppers, flies and other North American insects exclusive of the butterflies, moths and beetles, with full life histories, tables and bibliographies, by Leland O. Howard.</t>
  </si>
  <si>
    <t>Howard, L. O. (Leland Ossian), 1857-1950.</t>
  </si>
  <si>
    <t>Garden City, N. Y., Doubleday, Doran &amp; company, 1923.</t>
  </si>
  <si>
    <t>The new nature library, vol.IV</t>
  </si>
  <si>
    <t>1678299:eng</t>
  </si>
  <si>
    <t>2722262</t>
  </si>
  <si>
    <t>991004223949702656</t>
  </si>
  <si>
    <t>2259047910002656</t>
  </si>
  <si>
    <t>32285002980596</t>
  </si>
  <si>
    <t>893446095</t>
  </si>
  <si>
    <t>QL463 .H89 1993</t>
  </si>
  <si>
    <t>0                      QL 0463000H  89          1993</t>
  </si>
  <si>
    <t>Broadsides from the other orders : a book of bugs / Sue Hubbell ; illustrated by Dimitry Schidlovsky.</t>
  </si>
  <si>
    <t>Hubbell, Sue.</t>
  </si>
  <si>
    <t>New York : Random House, c1993.</t>
  </si>
  <si>
    <t>1993-08-17</t>
  </si>
  <si>
    <t>1993-08-09</t>
  </si>
  <si>
    <t>346574:eng</t>
  </si>
  <si>
    <t>26672425</t>
  </si>
  <si>
    <t>991002079409702656</t>
  </si>
  <si>
    <t>2268602750002656</t>
  </si>
  <si>
    <t>9780679400622</t>
  </si>
  <si>
    <t>32285001704906</t>
  </si>
  <si>
    <t>893773188</t>
  </si>
  <si>
    <t>QL463 .I65 2009</t>
  </si>
  <si>
    <t>0                      QL 0463000I  65          2009</t>
  </si>
  <si>
    <t>Insect biodiversity : science and society / edited by Robert G. Foottit and Peter H. Adler.</t>
  </si>
  <si>
    <t>Chichester, UK ; Hoboken, NJ : Wiley-Blackwell, 2009.</t>
  </si>
  <si>
    <t>2010-09-28</t>
  </si>
  <si>
    <t>797356606:eng</t>
  </si>
  <si>
    <t>156816238</t>
  </si>
  <si>
    <t>991000151369702656</t>
  </si>
  <si>
    <t>2266730520002656</t>
  </si>
  <si>
    <t>9781405151429</t>
  </si>
  <si>
    <t>32285005596886</t>
  </si>
  <si>
    <t>893708168</t>
  </si>
  <si>
    <t>QL463 .I7</t>
  </si>
  <si>
    <t>0                      QL 0463000I  7</t>
  </si>
  <si>
    <t>Insect life history patterns : habitat and geographic variation / Robert F. Denno, Hugh Dingle.</t>
  </si>
  <si>
    <t>New York : Springer-Verlag, c1981.</t>
  </si>
  <si>
    <t>1994-11-05</t>
  </si>
  <si>
    <t>795770059:eng</t>
  </si>
  <si>
    <t>7272899</t>
  </si>
  <si>
    <t>991005095649702656</t>
  </si>
  <si>
    <t>2261266750002656</t>
  </si>
  <si>
    <t>32285001686954</t>
  </si>
  <si>
    <t>893320005</t>
  </si>
  <si>
    <t>QL463 .L43 1995</t>
  </si>
  <si>
    <t>0                      QL 0463000L  43          1995</t>
  </si>
  <si>
    <t>The ecology of insect overwintering / S.R. Leather, K.F.A. Walters, and J.S. Bale.</t>
  </si>
  <si>
    <t>Leather, S. R. (Simon R.)</t>
  </si>
  <si>
    <t>Cambridge [England] ; New York, NY, USA : Cambridge University Press, 1995, c1993.</t>
  </si>
  <si>
    <t>1st pbk. ed.</t>
  </si>
  <si>
    <t>1996-11-25</t>
  </si>
  <si>
    <t>908251:eng</t>
  </si>
  <si>
    <t>35997865</t>
  </si>
  <si>
    <t>991002741039702656</t>
  </si>
  <si>
    <t>2267929130002656</t>
  </si>
  <si>
    <t>9780521556705</t>
  </si>
  <si>
    <t>32285002395282</t>
  </si>
  <si>
    <t>893698202</t>
  </si>
  <si>
    <t>QL463 .M255</t>
  </si>
  <si>
    <t>0                      QL 0463000M  255</t>
  </si>
  <si>
    <t>The ecology of ectoparasitic insects / Adrian G. Marshall.</t>
  </si>
  <si>
    <t>Marshall, Adrian G.</t>
  </si>
  <si>
    <t>London ; New York : Academic Press, 1981.</t>
  </si>
  <si>
    <t>2006-02-25</t>
  </si>
  <si>
    <t>409408:eng</t>
  </si>
  <si>
    <t>8166601</t>
  </si>
  <si>
    <t>991005210559702656</t>
  </si>
  <si>
    <t>2269312810002656</t>
  </si>
  <si>
    <t>9780124740808</t>
  </si>
  <si>
    <t>32285001686962</t>
  </si>
  <si>
    <t>893514239</t>
  </si>
  <si>
    <t>QL463 .P72 2000</t>
  </si>
  <si>
    <t>0                      QL 0463000P  72          2000</t>
  </si>
  <si>
    <t>The natural world of bugs &amp; insects / Ken &amp; Rod Preston-Mafham.</t>
  </si>
  <si>
    <t>Preston-Mafham, Ken.</t>
  </si>
  <si>
    <t>San Diego, CA : Thunder Bay, c2000.</t>
  </si>
  <si>
    <t>2001-12-18</t>
  </si>
  <si>
    <t>3944241572:eng</t>
  </si>
  <si>
    <t>46785409</t>
  </si>
  <si>
    <t>991003574119702656</t>
  </si>
  <si>
    <t>2263082600002656</t>
  </si>
  <si>
    <t>9781571452887</t>
  </si>
  <si>
    <t>32285004429147</t>
  </si>
  <si>
    <t>893623638</t>
  </si>
  <si>
    <t>QL463 .R65 1994</t>
  </si>
  <si>
    <t>0                      QL 0463000R  65          1994</t>
  </si>
  <si>
    <t>The science of entomology / William S. Romoser, John G. Stoffolano, Jr.</t>
  </si>
  <si>
    <t>Romoser, William S.</t>
  </si>
  <si>
    <t>Dubuque, Iowa : Wm. C. Brown, c1994.</t>
  </si>
  <si>
    <t>2005-10-14</t>
  </si>
  <si>
    <t>1996-03-29</t>
  </si>
  <si>
    <t>398744:eng</t>
  </si>
  <si>
    <t>29798517</t>
  </si>
  <si>
    <t>991002297599702656</t>
  </si>
  <si>
    <t>2257189090002656</t>
  </si>
  <si>
    <t>9780697033499</t>
  </si>
  <si>
    <t>32285002148244</t>
  </si>
  <si>
    <t>893591185</t>
  </si>
  <si>
    <t>QL463 .R65 1998</t>
  </si>
  <si>
    <t>0                      QL 0463000R  65          1998</t>
  </si>
  <si>
    <t>Boston, Mass. : WCB McGraw-Hill, c1998.</t>
  </si>
  <si>
    <t>2010-10-14</t>
  </si>
  <si>
    <t>2004-08-23</t>
  </si>
  <si>
    <t>37359617</t>
  </si>
  <si>
    <t>991004354289702656</t>
  </si>
  <si>
    <t>2263572820002656</t>
  </si>
  <si>
    <t>9780697228482</t>
  </si>
  <si>
    <t>32285004983077</t>
  </si>
  <si>
    <t>893229259</t>
  </si>
  <si>
    <t>QL463 .T87 2006</t>
  </si>
  <si>
    <t>0                      QL 0463000T  87          2006</t>
  </si>
  <si>
    <t>Flies in the face of fashion, mites make right, and other bugdacious tales / by Tom Turpin.</t>
  </si>
  <si>
    <t>Turpin, Tom, 1943-</t>
  </si>
  <si>
    <t>West Lafayette, Ind. : Purdue University Press, 2006.</t>
  </si>
  <si>
    <t>inu</t>
  </si>
  <si>
    <t>2008-09-23</t>
  </si>
  <si>
    <t>2006-07-13</t>
  </si>
  <si>
    <t>5116975587:eng</t>
  </si>
  <si>
    <t>63122759</t>
  </si>
  <si>
    <t>991004839879702656</t>
  </si>
  <si>
    <t>2272618120002656</t>
  </si>
  <si>
    <t>9781557534170</t>
  </si>
  <si>
    <t>32285005194526</t>
  </si>
  <si>
    <t>893807527</t>
  </si>
  <si>
    <t>QL463 .W4</t>
  </si>
  <si>
    <t>0                      QL 0463000W  4</t>
  </si>
  <si>
    <t>How insects live; an elementary entomology, by Walter Housley Wellhouse ...</t>
  </si>
  <si>
    <t>Wellhouse, Walter Housley, 1890-</t>
  </si>
  <si>
    <t>New York, The Macmillan company 1926.</t>
  </si>
  <si>
    <t>1926</t>
  </si>
  <si>
    <t>909682358:eng</t>
  </si>
  <si>
    <t>1559495</t>
  </si>
  <si>
    <t>991003821389702656</t>
  </si>
  <si>
    <t>2267045920002656</t>
  </si>
  <si>
    <t>32285002980638</t>
  </si>
  <si>
    <t>893349189</t>
  </si>
  <si>
    <t>QL463 .W7 1964a</t>
  </si>
  <si>
    <t>0                      QL 0463000W  7           1964a</t>
  </si>
  <si>
    <t>The life of insects / [by] V. B. Wigglesworth.</t>
  </si>
  <si>
    <t>Wigglesworth, Vincent B. (Vincent Brian), Sir, 1899-1994.</t>
  </si>
  <si>
    <t>London : Weidenfeld and Nicolson, [1964]</t>
  </si>
  <si>
    <t>The Weidenfeld and Nicolson natural history</t>
  </si>
  <si>
    <t>2009-02-27</t>
  </si>
  <si>
    <t>1991-01-11</t>
  </si>
  <si>
    <t>4820878603:eng</t>
  </si>
  <si>
    <t>807276</t>
  </si>
  <si>
    <t>991003285379702656</t>
  </si>
  <si>
    <t>2268703690002656</t>
  </si>
  <si>
    <t>32285000427988</t>
  </si>
  <si>
    <t>893410127</t>
  </si>
  <si>
    <t>QL463 .W876 1984</t>
  </si>
  <si>
    <t>0                      QL 0463000W  876         1984</t>
  </si>
  <si>
    <t>Insects of the world / Anthony Wootton.</t>
  </si>
  <si>
    <t>Wootton, Anthony.</t>
  </si>
  <si>
    <t>New York, N.Y. : Facts on File, c1984.</t>
  </si>
  <si>
    <t>1993-12-10</t>
  </si>
  <si>
    <t>3943302014:eng</t>
  </si>
  <si>
    <t>10275382</t>
  </si>
  <si>
    <t>991000342789702656</t>
  </si>
  <si>
    <t>2268953320002656</t>
  </si>
  <si>
    <t>9780871969910</t>
  </si>
  <si>
    <t>32285001816106</t>
  </si>
  <si>
    <t>893884297</t>
  </si>
  <si>
    <t>QL464 .A76 1985</t>
  </si>
  <si>
    <t>0                      QL 0464000A  76          1985</t>
  </si>
  <si>
    <t>Insect life : a field entomology manual for the amateur naturalist / Ross H. Arnett, Jr., Richard L. Jacques, Jr. ; illustrated by Adelaide Murphy.</t>
  </si>
  <si>
    <t>Arnett, Ross H.</t>
  </si>
  <si>
    <t>Englewood Cliffs, N.J. : Prentice-Hall, c1985.</t>
  </si>
  <si>
    <t>1993-05-20</t>
  </si>
  <si>
    <t>4756145:eng</t>
  </si>
  <si>
    <t>11649584</t>
  </si>
  <si>
    <t>991000570719702656</t>
  </si>
  <si>
    <t>2261458430002656</t>
  </si>
  <si>
    <t>9780134672427</t>
  </si>
  <si>
    <t>32285001690469</t>
  </si>
  <si>
    <t>893261521</t>
  </si>
  <si>
    <t>QL464 .C8</t>
  </si>
  <si>
    <t>0                      QL 0464000C  8</t>
  </si>
  <si>
    <t>Experimental entomology.</t>
  </si>
  <si>
    <t>Cummins, Kenneth W.</t>
  </si>
  <si>
    <t>New York : Reinhold Pub. Corp., [1964, c1965]</t>
  </si>
  <si>
    <t>1998-01-14</t>
  </si>
  <si>
    <t>1625348:eng</t>
  </si>
  <si>
    <t>558284</t>
  </si>
  <si>
    <t>991002987289702656</t>
  </si>
  <si>
    <t>2258281180002656</t>
  </si>
  <si>
    <t>32285001056893</t>
  </si>
  <si>
    <t>893434529</t>
  </si>
  <si>
    <t>QL464 .K29</t>
  </si>
  <si>
    <t>0                      QL 0464000K  29</t>
  </si>
  <si>
    <t>101 simple experiments with insects.</t>
  </si>
  <si>
    <t>Kalmus, H. (Hans), 1906-1988.</t>
  </si>
  <si>
    <t>Garden City, N.Y., Doubleday, 1960.</t>
  </si>
  <si>
    <t>1999-03-24</t>
  </si>
  <si>
    <t>422885459:eng</t>
  </si>
  <si>
    <t>784697</t>
  </si>
  <si>
    <t>991003259049702656</t>
  </si>
  <si>
    <t>2261962630002656</t>
  </si>
  <si>
    <t>32285002980653</t>
  </si>
  <si>
    <t>893721861</t>
  </si>
  <si>
    <t>QL464 .L8 1948</t>
  </si>
  <si>
    <t>0                      QL 0464000L  8           1948</t>
  </si>
  <si>
    <t>Field book of insects of the United States and Canada, aiming to answer common questions / by Frank E. Lutz.</t>
  </si>
  <si>
    <t>Lutz, Frank Eugene, 1879-1943.</t>
  </si>
  <si>
    <t>New York : Putnam, 1948.</t>
  </si>
  <si>
    <t>1948</t>
  </si>
  <si>
    <t>3rd ed., rev.</t>
  </si>
  <si>
    <t>2008-02-25</t>
  </si>
  <si>
    <t>472662:eng</t>
  </si>
  <si>
    <t>16672681</t>
  </si>
  <si>
    <t>991001128519702656</t>
  </si>
  <si>
    <t>2271171340002656</t>
  </si>
  <si>
    <t>32285002980661</t>
  </si>
  <si>
    <t>893891333</t>
  </si>
  <si>
    <t>QL466 .E5</t>
  </si>
  <si>
    <t>0                      QL 0466000E  5</t>
  </si>
  <si>
    <t>Butterflies, their world, their life cycle, their behavior / text, Thomas C. Emmel ; consulting editor, Edward S. Ross ; photos. by Edward S. Ross ... [et al.] ; drawings by Walter Hortens.</t>
  </si>
  <si>
    <t>Emmel, Thomas C.</t>
  </si>
  <si>
    <t>New York : Knopf, 1975.</t>
  </si>
  <si>
    <t>1991-10-07</t>
  </si>
  <si>
    <t>26044243:eng</t>
  </si>
  <si>
    <t>1945236</t>
  </si>
  <si>
    <t>991003945459702656</t>
  </si>
  <si>
    <t>2265032570002656</t>
  </si>
  <si>
    <t>9780394499581</t>
  </si>
  <si>
    <t>32285000772334</t>
  </si>
  <si>
    <t>893687162</t>
  </si>
  <si>
    <t>QL467 .B75</t>
  </si>
  <si>
    <t>0                      QL 0467000B  75</t>
  </si>
  <si>
    <t>Insects and their world.</t>
  </si>
  <si>
    <t>Oldroyd, Harold.</t>
  </si>
  <si>
    <t>[Chicago] University of Chicago Press [1962, c1960]</t>
  </si>
  <si>
    <t>Phoenix science series ; PSS516</t>
  </si>
  <si>
    <t>2008-02-19</t>
  </si>
  <si>
    <t>418990:eng</t>
  </si>
  <si>
    <t>2394669</t>
  </si>
  <si>
    <t>991004110149702656</t>
  </si>
  <si>
    <t>2271773050002656</t>
  </si>
  <si>
    <t>32285002980695</t>
  </si>
  <si>
    <t>893506417</t>
  </si>
  <si>
    <t>QL467 .F359</t>
  </si>
  <si>
    <t>0                      QL 0467000F  359</t>
  </si>
  <si>
    <t>The insects / by Peter Farb and the editors of Life.</t>
  </si>
  <si>
    <t>Farb, Peter.</t>
  </si>
  <si>
    <t>New York : Time, inc., [c1962]</t>
  </si>
  <si>
    <t>Life nature library</t>
  </si>
  <si>
    <t>3943301886:eng</t>
  </si>
  <si>
    <t>1004942</t>
  </si>
  <si>
    <t>991003463119702656</t>
  </si>
  <si>
    <t>2255262910002656</t>
  </si>
  <si>
    <t>32285000772326</t>
  </si>
  <si>
    <t>893617352</t>
  </si>
  <si>
    <t>QL467 .H45 1926</t>
  </si>
  <si>
    <t>0                      QL 0467000H  45          1926</t>
  </si>
  <si>
    <t>Insects injurious to the household and annoying to man, by Glenn W. Herrick ...</t>
  </si>
  <si>
    <t>Herrick, Glenn W. (Glenn Washington), 1870-1965.</t>
  </si>
  <si>
    <t>New York, The Macmillan Company, 1926.</t>
  </si>
  <si>
    <t>Rev. ed.</t>
  </si>
  <si>
    <t>The rural science series</t>
  </si>
  <si>
    <t>2005-02-20</t>
  </si>
  <si>
    <t>5407894:eng</t>
  </si>
  <si>
    <t>2495698</t>
  </si>
  <si>
    <t>991004140429702656</t>
  </si>
  <si>
    <t>2262102730002656</t>
  </si>
  <si>
    <t>32285002980729</t>
  </si>
  <si>
    <t>893593314</t>
  </si>
  <si>
    <t>QL467 .H95</t>
  </si>
  <si>
    <t>0                      QL 0467000H  95</t>
  </si>
  <si>
    <t>Insects, by Ross E. Hutchins. Illus. by Stanley Wyatt.</t>
  </si>
  <si>
    <t>Hutchins, Ross E.</t>
  </si>
  <si>
    <t>Englewood Cliffs, N.J., Prentice-Hall [1966]</t>
  </si>
  <si>
    <t>[The Prentice-Hall series in nature and natural history</t>
  </si>
  <si>
    <t>3943272092:eng</t>
  </si>
  <si>
    <t>1004936</t>
  </si>
  <si>
    <t>991003463089702656</t>
  </si>
  <si>
    <t>2255253030002656</t>
  </si>
  <si>
    <t>32285002980737</t>
  </si>
  <si>
    <t>893524829</t>
  </si>
  <si>
    <t>QL467 .J35 1947</t>
  </si>
  <si>
    <t>0                      QL 0467000J  35          1947</t>
  </si>
  <si>
    <t>How to know the insects : an illustrated key to the more common families of insects, with suggestions for collecting, mounting and studying them / by H.E. Jaques.</t>
  </si>
  <si>
    <t>Jaques, H. E. (Harry Edwin), 1880-1963.</t>
  </si>
  <si>
    <t>Dubuque, Iowa : W. C. Brown Co., [1947]</t>
  </si>
  <si>
    <t>1947</t>
  </si>
  <si>
    <t>2d [rev.] ed.</t>
  </si>
  <si>
    <t>2000-02-07</t>
  </si>
  <si>
    <t>4159932434:eng</t>
  </si>
  <si>
    <t>193446</t>
  </si>
  <si>
    <t>991001214059702656</t>
  </si>
  <si>
    <t>2268915590002656</t>
  </si>
  <si>
    <t>32285003660106</t>
  </si>
  <si>
    <t>893696570</t>
  </si>
  <si>
    <t>QL467 .L33</t>
  </si>
  <si>
    <t>0                      QL 0467000L  33</t>
  </si>
  <si>
    <t>The insects / [by] Url Lanham.</t>
  </si>
  <si>
    <t>Lanham, Url, 1918-1999.</t>
  </si>
  <si>
    <t>New York : Columbia University Press, 1964.</t>
  </si>
  <si>
    <t>1991-03-11</t>
  </si>
  <si>
    <t>1591710:eng</t>
  </si>
  <si>
    <t>497602</t>
  </si>
  <si>
    <t>991002868469702656</t>
  </si>
  <si>
    <t>2271912710002656</t>
  </si>
  <si>
    <t>32285000545946</t>
  </si>
  <si>
    <t>893530576</t>
  </si>
  <si>
    <t>QL467 .L75 1964</t>
  </si>
  <si>
    <t>0                      QL 0467000L  75          1964</t>
  </si>
  <si>
    <t>The insect world / written and illustrated by Walter Linsenmaier.</t>
  </si>
  <si>
    <t>Linsenmaier, Walter.</t>
  </si>
  <si>
    <t>New York : Odyssey Press, [1964]</t>
  </si>
  <si>
    <t>The Odyssey library ; 14</t>
  </si>
  <si>
    <t>1996-04-08</t>
  </si>
  <si>
    <t>1993-07-02</t>
  </si>
  <si>
    <t>3856324566:eng</t>
  </si>
  <si>
    <t>2135725</t>
  </si>
  <si>
    <t>991004025239702656</t>
  </si>
  <si>
    <t>2270984530002656</t>
  </si>
  <si>
    <t>32285001735173</t>
  </si>
  <si>
    <t>893512701</t>
  </si>
  <si>
    <t>QL467 .T87 1992</t>
  </si>
  <si>
    <t>0                      QL 0467000T  87          1992</t>
  </si>
  <si>
    <t>The insect appreciation digest : everything you ought to know about insects (that your parents didn't teach you) / F. Tom Turpin.</t>
  </si>
  <si>
    <t>Turpin, F. Tom.</t>
  </si>
  <si>
    <t>Lanham, MD : Entomological Foundation, c1992.</t>
  </si>
  <si>
    <t>2000-12-19</t>
  </si>
  <si>
    <t>920437987:eng</t>
  </si>
  <si>
    <t>28447968</t>
  </si>
  <si>
    <t>991003260449702656</t>
  </si>
  <si>
    <t>2263872580002656</t>
  </si>
  <si>
    <t>9780938522447</t>
  </si>
  <si>
    <t>32285004277348</t>
  </si>
  <si>
    <t>893505404</t>
  </si>
  <si>
    <t>QL467 .U7 1949a</t>
  </si>
  <si>
    <t>0                      QL 0467000U  7           1949a</t>
  </si>
  <si>
    <t>Introducing the insect. With drawings by E.B.S. Logier.</t>
  </si>
  <si>
    <t>Urquhart, Fred A.</t>
  </si>
  <si>
    <t>New York, Holt [c1949]</t>
  </si>
  <si>
    <t>1949</t>
  </si>
  <si>
    <t>1102473084:eng</t>
  </si>
  <si>
    <t>1618205</t>
  </si>
  <si>
    <t>991003841349702656</t>
  </si>
  <si>
    <t>2261891260002656</t>
  </si>
  <si>
    <t>32285002980745</t>
  </si>
  <si>
    <t>893499773</t>
  </si>
  <si>
    <t>QL467.8 .E26 1995</t>
  </si>
  <si>
    <t>0                      QL 0467800E  26          1995</t>
  </si>
  <si>
    <t>Ecology and conservation of butterflies / edited by Andrew S. Pullin ; in association with the British Butterfly Conservation Society.</t>
  </si>
  <si>
    <t>London ; New York : Chapman &amp; Hall, 1995.</t>
  </si>
  <si>
    <t>2003-02-26</t>
  </si>
  <si>
    <t>1996-12-30</t>
  </si>
  <si>
    <t>350613936:eng</t>
  </si>
  <si>
    <t>31648820</t>
  </si>
  <si>
    <t>991002428299702656</t>
  </si>
  <si>
    <t>2271586140002656</t>
  </si>
  <si>
    <t>9780412569708</t>
  </si>
  <si>
    <t>32285002403854</t>
  </si>
  <si>
    <t>893262281</t>
  </si>
  <si>
    <t>QL468 .B56</t>
  </si>
  <si>
    <t>0                      QL 0468000B  56</t>
  </si>
  <si>
    <t>Biosystematics of social insects / edited by P.E. Howse, J.-L. Clement.</t>
  </si>
  <si>
    <t>London ; New York : Published for the Systematics Association by Academic Press, 1981.</t>
  </si>
  <si>
    <t>Systematics Association special volume ; no. 19</t>
  </si>
  <si>
    <t>409206:eng</t>
  </si>
  <si>
    <t>8431240</t>
  </si>
  <si>
    <t>991005242689702656</t>
  </si>
  <si>
    <t>2260228170002656</t>
  </si>
  <si>
    <t>9780123571809</t>
  </si>
  <si>
    <t>32285001687002</t>
  </si>
  <si>
    <t>893332650</t>
  </si>
  <si>
    <t>QL468.7 .E96</t>
  </si>
  <si>
    <t>0                      QL 0468700E  96</t>
  </si>
  <si>
    <t>Evolution of insect migration and diapause / edited by Hugh Dingle ; with contributions by H. Dingle ... [et al.].</t>
  </si>
  <si>
    <t>New York : Springer-Verlag, c1978.</t>
  </si>
  <si>
    <t>368028264:eng</t>
  </si>
  <si>
    <t>3447405</t>
  </si>
  <si>
    <t>991004438259702656</t>
  </si>
  <si>
    <t>2268763310002656</t>
  </si>
  <si>
    <t>9780387902944</t>
  </si>
  <si>
    <t>32285001687010</t>
  </si>
  <si>
    <t>893343835</t>
  </si>
  <si>
    <t>QL468.7 .H4513</t>
  </si>
  <si>
    <t>0                      QL 0468700H  4513</t>
  </si>
  <si>
    <t>Insect phylogeny / by Willi Hennig ; translated and edited by Adrian C. Pont ; revisionary notes by Dieter Schlee, with the collaboration of Michael Achtelig ... [et al.].</t>
  </si>
  <si>
    <t>Hennig, Willi, 1913-1976.</t>
  </si>
  <si>
    <t>Chichester [Eng.] ; New York : J. Wiley, c1981.</t>
  </si>
  <si>
    <t>836883902:eng</t>
  </si>
  <si>
    <t>6734613</t>
  </si>
  <si>
    <t>991005032459702656</t>
  </si>
  <si>
    <t>2268479100002656</t>
  </si>
  <si>
    <t>9780471278481</t>
  </si>
  <si>
    <t>32285001687028</t>
  </si>
  <si>
    <t>893319918</t>
  </si>
  <si>
    <t>QL468.7 .J6513 1992</t>
  </si>
  <si>
    <t>0                      QL 0468700J  6513        1992</t>
  </si>
  <si>
    <t>Insects and plants : parallel evolution and adaptations / by Pierre Jolivet.</t>
  </si>
  <si>
    <t>Jolivet, Pierre, 1922-</t>
  </si>
  <si>
    <t>Gainesville, Fla., U.S.A. : Sandhill Crane Press, 1992.</t>
  </si>
  <si>
    <t>Flora &amp; Fauna handbook ; no. 2</t>
  </si>
  <si>
    <t>2006-10-18</t>
  </si>
  <si>
    <t>1995-07-14</t>
  </si>
  <si>
    <t>3205759:eng</t>
  </si>
  <si>
    <t>26054512</t>
  </si>
  <si>
    <t>991002041739702656</t>
  </si>
  <si>
    <t>2256422840002656</t>
  </si>
  <si>
    <t>9781877743108</t>
  </si>
  <si>
    <t>32285002054228</t>
  </si>
  <si>
    <t>893444925</t>
  </si>
  <si>
    <t>QL468.7 .S56 2001</t>
  </si>
  <si>
    <t>0                      QL 0468700S  56          2001</t>
  </si>
  <si>
    <t>Sperm competition and its evolutionary consequences in the insects / Leigh W. Simmons.</t>
  </si>
  <si>
    <t>Simmons, Leigh W., 1960-</t>
  </si>
  <si>
    <t>Princeton, N.J. : Princeton University Press, c2001.</t>
  </si>
  <si>
    <t>Monographs in behavior and ecology</t>
  </si>
  <si>
    <t>2004-02-15</t>
  </si>
  <si>
    <t>2001-12-20</t>
  </si>
  <si>
    <t>892483:eng</t>
  </si>
  <si>
    <t>45804827</t>
  </si>
  <si>
    <t>991003671169702656</t>
  </si>
  <si>
    <t>2269347360002656</t>
  </si>
  <si>
    <t>9780691059877</t>
  </si>
  <si>
    <t>32285004429824</t>
  </si>
  <si>
    <t>893693010</t>
  </si>
  <si>
    <t>QL47 .C8 1938</t>
  </si>
  <si>
    <t>0                      QL 0047000C  8           1938</t>
  </si>
  <si>
    <t>Textbook of general zoölogy, by Winterton C. Curtis ... and Mary J. Guthrie ...</t>
  </si>
  <si>
    <t>Curtis, Winterton C. (Winterton Conway), 1875-1965.</t>
  </si>
  <si>
    <t>New York, J. Wiley &amp; sons, inc.; London, Chapman &amp; Hall, limited, 1938.</t>
  </si>
  <si>
    <t>1938</t>
  </si>
  <si>
    <t>3d ed., rewritten and reset.</t>
  </si>
  <si>
    <t>1998-01-30</t>
  </si>
  <si>
    <t>1897955:eng</t>
  </si>
  <si>
    <t>14729640</t>
  </si>
  <si>
    <t>991000958159702656</t>
  </si>
  <si>
    <t>2272255210002656</t>
  </si>
  <si>
    <t>32285002938610</t>
  </si>
  <si>
    <t>893419923</t>
  </si>
  <si>
    <t>QL47 .H52 1942</t>
  </si>
  <si>
    <t>0                      QL 0047000H  52          1942</t>
  </si>
  <si>
    <t>College zoology / by Robert W. Hegner.</t>
  </si>
  <si>
    <t>Hegner, Robert W. (Robert William), 1880-1942.</t>
  </si>
  <si>
    <t>New York : Macmillan, [1942]</t>
  </si>
  <si>
    <t>1994-05-10</t>
  </si>
  <si>
    <t>1624550:eng</t>
  </si>
  <si>
    <t>879719</t>
  </si>
  <si>
    <t>991003347629702656</t>
  </si>
  <si>
    <t>2271662780002656</t>
  </si>
  <si>
    <t>32285001909505</t>
  </si>
  <si>
    <t>893422490</t>
  </si>
  <si>
    <t>QL47 .M66 1967</t>
  </si>
  <si>
    <t>0                      QL 0047000M  66          1967</t>
  </si>
  <si>
    <t>General zoology / [by] Gairdner B. Moment. --</t>
  </si>
  <si>
    <t>Moment, Gairdner Bostwick, 1905-1990.</t>
  </si>
  <si>
    <t>2d ed. --</t>
  </si>
  <si>
    <t>321758533:eng</t>
  </si>
  <si>
    <t>1435647</t>
  </si>
  <si>
    <t>991003755459702656</t>
  </si>
  <si>
    <t>2267208260002656</t>
  </si>
  <si>
    <t>32285000736552</t>
  </si>
  <si>
    <t>893228420</t>
  </si>
  <si>
    <t>QL47 .M68</t>
  </si>
  <si>
    <t>0                      QL 0047000M  68</t>
  </si>
  <si>
    <t>Kinships of animals and man : a textbook of animal biology.</t>
  </si>
  <si>
    <t>Morgan, Ann Haven, 1882-1966.</t>
  </si>
  <si>
    <t>New York : McGraw-Hill, 1955.</t>
  </si>
  <si>
    <t>1955</t>
  </si>
  <si>
    <t>1994-11-02</t>
  </si>
  <si>
    <t>291703073:eng</t>
  </si>
  <si>
    <t>558080</t>
  </si>
  <si>
    <t>991002986999702656</t>
  </si>
  <si>
    <t>2258321850002656</t>
  </si>
  <si>
    <t>32285001963866</t>
  </si>
  <si>
    <t>893227546</t>
  </si>
  <si>
    <t>QL47 .P23 1940</t>
  </si>
  <si>
    <t>0                      QL 0047000P  23          1940</t>
  </si>
  <si>
    <t>A text-book of zoology, by the late T. Jeffery Parker ... and the late William A. Haswell ...</t>
  </si>
  <si>
    <t>Parker, T. Jeffery (Thomas Jeffery), 1850-1897.</t>
  </si>
  <si>
    <t>London, Macmillan and Co., limited, 1940.</t>
  </si>
  <si>
    <t>6th ed. ...</t>
  </si>
  <si>
    <t>1624519:eng</t>
  </si>
  <si>
    <t>1078792</t>
  </si>
  <si>
    <t>991003519399702656</t>
  </si>
  <si>
    <t>2258676580002656</t>
  </si>
  <si>
    <t>32285002938685</t>
  </si>
  <si>
    <t>893900069</t>
  </si>
  <si>
    <t>32285002938693</t>
  </si>
  <si>
    <t>893900068</t>
  </si>
  <si>
    <t>QL47 .P59</t>
  </si>
  <si>
    <t>0                      QL 0047000P  59</t>
  </si>
  <si>
    <t>Essentials of zoology : emphasizing principles of animal biology.</t>
  </si>
  <si>
    <t>Potter, George Edwin, 1898-1962.</t>
  </si>
  <si>
    <t>St. Louis : Mosby, 1940.</t>
  </si>
  <si>
    <t>mou</t>
  </si>
  <si>
    <t>1996-02-23</t>
  </si>
  <si>
    <t>1992-02-26</t>
  </si>
  <si>
    <t>4503188:eng</t>
  </si>
  <si>
    <t>2354547</t>
  </si>
  <si>
    <t>991004094409702656</t>
  </si>
  <si>
    <t>2267676750002656</t>
  </si>
  <si>
    <t>32285000975556</t>
  </si>
  <si>
    <t>893687359</t>
  </si>
  <si>
    <t>QL47 .P6</t>
  </si>
  <si>
    <t>0                      QL 0047000P  6</t>
  </si>
  <si>
    <t>Textbook of zoology, by George Edwin Potter ... with 440 text illustrations and 15 color plates.</t>
  </si>
  <si>
    <t>St. Louis, The C.V. Mosby company, 1938.</t>
  </si>
  <si>
    <t>3856343946:eng</t>
  </si>
  <si>
    <t>991294</t>
  </si>
  <si>
    <t>991003452429702656</t>
  </si>
  <si>
    <t>2256502570002656</t>
  </si>
  <si>
    <t>32285002938701</t>
  </si>
  <si>
    <t>893352830</t>
  </si>
  <si>
    <t>QL47 .S88</t>
  </si>
  <si>
    <t>0                      QL 0047000S  88</t>
  </si>
  <si>
    <t>General zoology / by Tracy I. Storer ; 551 figures, 5 colored plates.</t>
  </si>
  <si>
    <t>Storer, Tracy I. (Tracy Irwin), 1889-1973.</t>
  </si>
  <si>
    <t>New York ; London : McGraw-Hill Book Company, Inc., [c1943]</t>
  </si>
  <si>
    <t>1943</t>
  </si>
  <si>
    <t>McGraw-Hill publications in the zoological sciences</t>
  </si>
  <si>
    <t>1744970967:eng</t>
  </si>
  <si>
    <t>1488685</t>
  </si>
  <si>
    <t>991003778339702656</t>
  </si>
  <si>
    <t>2257449920002656</t>
  </si>
  <si>
    <t>32285000975549</t>
  </si>
  <si>
    <t>893429211</t>
  </si>
  <si>
    <t>QL473 .E8</t>
  </si>
  <si>
    <t>0                      QL 0473000E  8</t>
  </si>
  <si>
    <t>Insects of western North America : a manual and textbook for students in colleges and universities and a handbook for county, state and federal entomologists and agriculturists as well as for foresters, farmers, gardeners, travelers, and lovers of nature / by E. O. Essig.</t>
  </si>
  <si>
    <t>New York : The Macmillan company, 1926.</t>
  </si>
  <si>
    <t>1993-05-05</t>
  </si>
  <si>
    <t>1741018:eng</t>
  </si>
  <si>
    <t>830856</t>
  </si>
  <si>
    <t>991003307379702656</t>
  </si>
  <si>
    <t>2269811860002656</t>
  </si>
  <si>
    <t>32285001634186</t>
  </si>
  <si>
    <t>893893596</t>
  </si>
  <si>
    <t>QL473 .H67 1996</t>
  </si>
  <si>
    <t>0                      QL 0473000H  67          1996</t>
  </si>
  <si>
    <t>That gunk on your car : a unique guide to insects of the United States / written by Mark Hostetler ; illustrated by Rebekah McClean ; book design by Meryl Klein.</t>
  </si>
  <si>
    <t>Hostetler, Mark.</t>
  </si>
  <si>
    <t>Gainesville, Fl. : Brazen Cockroaches, Inc., c1996.</t>
  </si>
  <si>
    <t>1997-06-05</t>
  </si>
  <si>
    <t>3858030600:eng</t>
  </si>
  <si>
    <t>36525809</t>
  </si>
  <si>
    <t>991002782219702656</t>
  </si>
  <si>
    <t>2271916990002656</t>
  </si>
  <si>
    <t>9780965378802</t>
  </si>
  <si>
    <t>32285002614575</t>
  </si>
  <si>
    <t>893323371</t>
  </si>
  <si>
    <t>QL473 .M34 2006</t>
  </si>
  <si>
    <t>0                      QL 0473000M  34          2006</t>
  </si>
  <si>
    <t>Insects : their natural history and diversity : with a photographic guide to insects of eastern North America / Stephen A. Marshall.</t>
  </si>
  <si>
    <t>Marshall, S. A. (Stephen A.)</t>
  </si>
  <si>
    <t>Buffalo, N.Y. : Firefly Books, 2006.</t>
  </si>
  <si>
    <t>2010-09-29</t>
  </si>
  <si>
    <t>2007-03-26</t>
  </si>
  <si>
    <t>837762923:eng</t>
  </si>
  <si>
    <t>58454955</t>
  </si>
  <si>
    <t>991005038229702656</t>
  </si>
  <si>
    <t>2266305740002656</t>
  </si>
  <si>
    <t>9781552979006</t>
  </si>
  <si>
    <t>32285005283006</t>
  </si>
  <si>
    <t>893437051</t>
  </si>
  <si>
    <t>QL474 .A76 2000</t>
  </si>
  <si>
    <t>0                      QL 0474000A  76          2000</t>
  </si>
  <si>
    <t>American insects : a handbook of the insects of America north of Mexico / Ross H. Arnett, Jr.</t>
  </si>
  <si>
    <t>Boca Raton, Fla. : CRC Press, c2000.</t>
  </si>
  <si>
    <t>2009-02-19</t>
  </si>
  <si>
    <t>2002-01-07</t>
  </si>
  <si>
    <t>799451631:eng</t>
  </si>
  <si>
    <t>43311873</t>
  </si>
  <si>
    <t>991003661839702656</t>
  </si>
  <si>
    <t>2270288530002656</t>
  </si>
  <si>
    <t>9780849302121</t>
  </si>
  <si>
    <t>32285004445135</t>
  </si>
  <si>
    <t>893252600</t>
  </si>
  <si>
    <t>QL475.C3 P68</t>
  </si>
  <si>
    <t>0                      QL 0475000C  3                  P  68</t>
  </si>
  <si>
    <t>California insects / by Jerry A. Powell and Charles L. Hogue ; drawings by Charles L. Hogue.</t>
  </si>
  <si>
    <t>Powell, Jerry A.</t>
  </si>
  <si>
    <t>Berkeley : University of California Press, c1979.</t>
  </si>
  <si>
    <t>California natural history guides ; 44</t>
  </si>
  <si>
    <t>503055909:eng</t>
  </si>
  <si>
    <t>6539734</t>
  </si>
  <si>
    <t>991005000459702656</t>
  </si>
  <si>
    <t>2261650930002656</t>
  </si>
  <si>
    <t>9780520038066</t>
  </si>
  <si>
    <t>32285001687044</t>
  </si>
  <si>
    <t>893719640</t>
  </si>
  <si>
    <t>QL482.G8 G52 1995</t>
  </si>
  <si>
    <t>0                      QL 0482000G  8                  G  52          1995</t>
  </si>
  <si>
    <t>Field guide to the insects of Britain &amp; northern Europe / Bob Gibbons.</t>
  </si>
  <si>
    <t>Gibbons, Bob, 1949-</t>
  </si>
  <si>
    <t>Marlborough, Wiltshire [England] : Crowood Press, 1995.</t>
  </si>
  <si>
    <t>2000-04-29</t>
  </si>
  <si>
    <t>1997-04-22</t>
  </si>
  <si>
    <t>355495621:eng</t>
  </si>
  <si>
    <t>34596384</t>
  </si>
  <si>
    <t>991002596019702656</t>
  </si>
  <si>
    <t>2255165190002656</t>
  </si>
  <si>
    <t>9781852238957</t>
  </si>
  <si>
    <t>32285002499373</t>
  </si>
  <si>
    <t>893898964</t>
  </si>
  <si>
    <t>QL482.G9 B42 1988</t>
  </si>
  <si>
    <t>0                      QL 0482000G  9                  B  42          1988</t>
  </si>
  <si>
    <t>Insects and other invertebrates in classical antiquity / by Ian C. Beavis.</t>
  </si>
  <si>
    <t>Beavis, Ian C.</t>
  </si>
  <si>
    <t>Exeter, Devonshire : University of Exeter, 1988.</t>
  </si>
  <si>
    <t>1994-05-05</t>
  </si>
  <si>
    <t>636944:eng</t>
  </si>
  <si>
    <t>18307018</t>
  </si>
  <si>
    <t>991001329309702656</t>
  </si>
  <si>
    <t>2264014390002656</t>
  </si>
  <si>
    <t>9780859892841</t>
  </si>
  <si>
    <t>32285001687069</t>
  </si>
  <si>
    <t>893238046</t>
  </si>
  <si>
    <t>QL487 .I5 1991</t>
  </si>
  <si>
    <t>0                      QL 0487000I  5           1991</t>
  </si>
  <si>
    <t>The Insects of Australia : a textbook for students and research workers / Division of Entomology, Commonwealth Scientific and Industrial Research Organisation.</t>
  </si>
  <si>
    <t>Ithaca, N.Y. : Cornell University Press, 1991.</t>
  </si>
  <si>
    <t>1992-09-23</t>
  </si>
  <si>
    <t>824140382:eng</t>
  </si>
  <si>
    <t>23178975</t>
  </si>
  <si>
    <t>991001846289702656</t>
  </si>
  <si>
    <t>2262497840002656</t>
  </si>
  <si>
    <t>9780801426704</t>
  </si>
  <si>
    <t>32285001289098</t>
  </si>
  <si>
    <t>893316109</t>
  </si>
  <si>
    <t>32285001289106</t>
  </si>
  <si>
    <t>893316108</t>
  </si>
  <si>
    <t>QL487 .N48 1984</t>
  </si>
  <si>
    <t>0                      QL 0487000N  48          1984</t>
  </si>
  <si>
    <t>Insect conservation : an Australian perspective / by T.R. New.</t>
  </si>
  <si>
    <t>Dordrecht [Netherlands] ; Boston : W. Junk ; Hingham, MA, USA : Distributors for the U.S. and Canada, 1984.</t>
  </si>
  <si>
    <t>Series entomologica ; vol. 32</t>
  </si>
  <si>
    <t>1999-12-05</t>
  </si>
  <si>
    <t>1996-11-01</t>
  </si>
  <si>
    <t>2260835925:eng</t>
  </si>
  <si>
    <t>11029579</t>
  </si>
  <si>
    <t>991000475509702656</t>
  </si>
  <si>
    <t>2266026860002656</t>
  </si>
  <si>
    <t>9789061935070</t>
  </si>
  <si>
    <t>32285002370889</t>
  </si>
  <si>
    <t>893339575</t>
  </si>
  <si>
    <t>QL487 .N49 1996</t>
  </si>
  <si>
    <t>0                      QL 0487000N  49          1996</t>
  </si>
  <si>
    <t>Name that insect : a guide to the insects of Southeastern Australia / T.R. New.</t>
  </si>
  <si>
    <t>Melbourne ; New York : Oxford University Press, 1996.</t>
  </si>
  <si>
    <t>1997-05-06</t>
  </si>
  <si>
    <t>923584823:eng</t>
  </si>
  <si>
    <t>36332716</t>
  </si>
  <si>
    <t>991002768709702656</t>
  </si>
  <si>
    <t>2269831100002656</t>
  </si>
  <si>
    <t>9780195537826</t>
  </si>
  <si>
    <t>32285002544897</t>
  </si>
  <si>
    <t>893892979</t>
  </si>
  <si>
    <t>QL489.H3 Z5</t>
  </si>
  <si>
    <t>0                      QL 0489000H  3                  Z  5</t>
  </si>
  <si>
    <t>Insects of Hawaii; a manual of the insects of the Hawaiian Islands, including an enumeration of the species and notes on their origin, distribution, hosts, parasites, etc.</t>
  </si>
  <si>
    <t>Honolulu, University of Hawaii Press, 1948-&lt;c2003&gt;</t>
  </si>
  <si>
    <t>hiu</t>
  </si>
  <si>
    <t>2010-04-11</t>
  </si>
  <si>
    <t>2010-04-06</t>
  </si>
  <si>
    <t>910812081:eng</t>
  </si>
  <si>
    <t>1059198</t>
  </si>
  <si>
    <t>991003506949702656</t>
  </si>
  <si>
    <t>2262728440002656</t>
  </si>
  <si>
    <t>9780824823566</t>
  </si>
  <si>
    <t>32285005562185</t>
  </si>
  <si>
    <t>893904391</t>
  </si>
  <si>
    <t>2007-02-05</t>
  </si>
  <si>
    <t>1993-05-27</t>
  </si>
  <si>
    <t>32285001687093</t>
  </si>
  <si>
    <t>893900041</t>
  </si>
  <si>
    <t>QL491.6 .Y68 1982</t>
  </si>
  <si>
    <t>0                      QL 0491600Y  68          1982</t>
  </si>
  <si>
    <t>Population biology of tropical insects / Allen M. Young.</t>
  </si>
  <si>
    <t>Young, Allen M.</t>
  </si>
  <si>
    <t>New York : Plenum Press, c1982.</t>
  </si>
  <si>
    <t>1995-02-19</t>
  </si>
  <si>
    <t>438121:eng</t>
  </si>
  <si>
    <t>8411125</t>
  </si>
  <si>
    <t>991005240869702656</t>
  </si>
  <si>
    <t>2257258800002656</t>
  </si>
  <si>
    <t>9780306408434</t>
  </si>
  <si>
    <t>32285001687101</t>
  </si>
  <si>
    <t>893810953</t>
  </si>
  <si>
    <t>QL493 .E96 1986</t>
  </si>
  <si>
    <t>0                      QL 0493000E  96          1986</t>
  </si>
  <si>
    <t>Evolutionary genetics of invertebrate behavior : progress and prospects / edited by Milton Davis Huettel.</t>
  </si>
  <si>
    <t>New York : Plenum Press, c1986.</t>
  </si>
  <si>
    <t>836625988:eng</t>
  </si>
  <si>
    <t>15695977</t>
  </si>
  <si>
    <t>991001055629702656</t>
  </si>
  <si>
    <t>2263932950002656</t>
  </si>
  <si>
    <t>9780306424885</t>
  </si>
  <si>
    <t>32285001687119</t>
  </si>
  <si>
    <t>893413917</t>
  </si>
  <si>
    <t>QL493 .G46 1989</t>
  </si>
  <si>
    <t>0                      QL 0493000G  46          1989</t>
  </si>
  <si>
    <t>The Genetics of social evolution / edited by Michael D. Breed and Robert E. Page, Jr.</t>
  </si>
  <si>
    <t>Boulder : Westview Press, 1989.</t>
  </si>
  <si>
    <t>cou</t>
  </si>
  <si>
    <t>Westview studies in insect biology</t>
  </si>
  <si>
    <t>1989-10-23</t>
  </si>
  <si>
    <t>355896462:eng</t>
  </si>
  <si>
    <t>17841351</t>
  </si>
  <si>
    <t>991001271159702656</t>
  </si>
  <si>
    <t>2269031990002656</t>
  </si>
  <si>
    <t>9780813376189</t>
  </si>
  <si>
    <t>32285000001825</t>
  </si>
  <si>
    <t>893414119</t>
  </si>
  <si>
    <t>QL494 .J26 1999</t>
  </si>
  <si>
    <t>0                      QL 0494000J  26          1999</t>
  </si>
  <si>
    <t>Insects : their spermatozoa and phylogeny / Barrie G.M. Jamieson, Romano Dallai, Bj*rn A. Afzelius.</t>
  </si>
  <si>
    <t>Jamieson, Barrie G. M. (Barrie Gillean Molyneux)</t>
  </si>
  <si>
    <t>Enfield, N.H. : Science Publishers, c1999.</t>
  </si>
  <si>
    <t>2001-05-03</t>
  </si>
  <si>
    <t>27690249:eng</t>
  </si>
  <si>
    <t>40588023</t>
  </si>
  <si>
    <t>991003511239702656</t>
  </si>
  <si>
    <t>2260592620002656</t>
  </si>
  <si>
    <t>9781578080403</t>
  </si>
  <si>
    <t>32285004315999</t>
  </si>
  <si>
    <t>893505655</t>
  </si>
  <si>
    <t>QL494.5 .S94 1971</t>
  </si>
  <si>
    <t>0                      QL 0494500S  94          1971</t>
  </si>
  <si>
    <t>Insect juvenile hormones : chemistry and action / edited by Julius J. Menn [and] Morton Beroza.</t>
  </si>
  <si>
    <t>Symposium on the Chemistry and Action of Insect Juvenile Hormones (1971 : Washington, D.C.)</t>
  </si>
  <si>
    <t>New York : Academic Press, 1972.</t>
  </si>
  <si>
    <t>999621849:eng</t>
  </si>
  <si>
    <t>393481</t>
  </si>
  <si>
    <t>991002666799702656</t>
  </si>
  <si>
    <t>2259843640002656</t>
  </si>
  <si>
    <t>9780124909502</t>
  </si>
  <si>
    <t>32285001634178</t>
  </si>
  <si>
    <t>893691855</t>
  </si>
  <si>
    <t>QL495 .B4</t>
  </si>
  <si>
    <t>0                      QL 0495000B  4</t>
  </si>
  <si>
    <t>Insect photoperiodism [by] Stanley D. Beck.</t>
  </si>
  <si>
    <t>Beck, Stanley D.</t>
  </si>
  <si>
    <t>New York, Academic Press, 1968.</t>
  </si>
  <si>
    <t>2000-03-25</t>
  </si>
  <si>
    <t>1563806:eng</t>
  </si>
  <si>
    <t>439470</t>
  </si>
  <si>
    <t>991002778509702656</t>
  </si>
  <si>
    <t>2266618440002656</t>
  </si>
  <si>
    <t>32285002980810</t>
  </si>
  <si>
    <t>893347917</t>
  </si>
  <si>
    <t>QL495 .C47 1984</t>
  </si>
  <si>
    <t>0                      QL 0495000C  47          1984</t>
  </si>
  <si>
    <t>Chemical ecology of insects / edited by William J. Bell and Ring T. Cardé.</t>
  </si>
  <si>
    <t>Sunderland, Mass. : Sinauer Associates, Inc., 1984-1995.</t>
  </si>
  <si>
    <t>2004-12-04</t>
  </si>
  <si>
    <t>1997-03-19</t>
  </si>
  <si>
    <t>353785246:eng</t>
  </si>
  <si>
    <t>10122235</t>
  </si>
  <si>
    <t>991000316359702656</t>
  </si>
  <si>
    <t>2267316810002656</t>
  </si>
  <si>
    <t>9780878930708</t>
  </si>
  <si>
    <t>32285001687218</t>
  </si>
  <si>
    <t>893620375</t>
  </si>
  <si>
    <t>32285002444619</t>
  </si>
  <si>
    <t>893614090</t>
  </si>
  <si>
    <t>QL495 .C65 1970</t>
  </si>
  <si>
    <t>0                      QL 0495000C  65          1970</t>
  </si>
  <si>
    <t>Control of insect behavior by natural products / edited by David L. Wood, Robert M. Silverstein [and] Minoru Nakajima.</t>
  </si>
  <si>
    <t>2007-02-17</t>
  </si>
  <si>
    <t>509835240:eng</t>
  </si>
  <si>
    <t>93008</t>
  </si>
  <si>
    <t>991000554009702656</t>
  </si>
  <si>
    <t>2265589780002656</t>
  </si>
  <si>
    <t>9780127626505</t>
  </si>
  <si>
    <t>32285001634160</t>
  </si>
  <si>
    <t>893601854</t>
  </si>
  <si>
    <t>QL495 .E47 1983</t>
  </si>
  <si>
    <t>0                      QL 0495000E  47          1983</t>
  </si>
  <si>
    <t>Endocrinology of insects / edited by Roger G.H. Downer, Hans Laufer.</t>
  </si>
  <si>
    <t>New York : A.R. Liss, c1983, 1984 printing.</t>
  </si>
  <si>
    <t>Invertebrate endocrinology ; v. 1</t>
  </si>
  <si>
    <t>1998-04-16</t>
  </si>
  <si>
    <t>349962165:eng</t>
  </si>
  <si>
    <t>9154516</t>
  </si>
  <si>
    <t>991000140459702656</t>
  </si>
  <si>
    <t>2264617500002656</t>
  </si>
  <si>
    <t>9780845129005</t>
  </si>
  <si>
    <t>32285001634152</t>
  </si>
  <si>
    <t>893695629</t>
  </si>
  <si>
    <t>QL495 .E49</t>
  </si>
  <si>
    <t>0                      QL 0495000E  49</t>
  </si>
  <si>
    <t>Energy metabolism in insects / edited by Roger G.H. Downer.</t>
  </si>
  <si>
    <t>New York : Plenum, c1981.</t>
  </si>
  <si>
    <t>1995-03-21</t>
  </si>
  <si>
    <t>427303173:eng</t>
  </si>
  <si>
    <t>7615493</t>
  </si>
  <si>
    <t>991005141789702656</t>
  </si>
  <si>
    <t>2255357080002656</t>
  </si>
  <si>
    <t>9780306406973</t>
  </si>
  <si>
    <t>32285001687234</t>
  </si>
  <si>
    <t>893783085</t>
  </si>
  <si>
    <t>QL495 .E5 1970</t>
  </si>
  <si>
    <t>0                      QL 0495000E  5           1970</t>
  </si>
  <si>
    <t>The physiology of insect reproduction.</t>
  </si>
  <si>
    <t>Engelmann, Franz, 1928-</t>
  </si>
  <si>
    <t>Oxford ; New York : Pergamon Press, [1970]</t>
  </si>
  <si>
    <t>International series of monographs in pure and applied biology. Division: Zoology, v. 44</t>
  </si>
  <si>
    <t>1990-11-30</t>
  </si>
  <si>
    <t>1260971:eng</t>
  </si>
  <si>
    <t>80414</t>
  </si>
  <si>
    <t>991000490519702656</t>
  </si>
  <si>
    <t>2269913820002656</t>
  </si>
  <si>
    <t>9780080155593</t>
  </si>
  <si>
    <t>32285000411289</t>
  </si>
  <si>
    <t>893431998</t>
  </si>
  <si>
    <t>QL495 .H38 1993</t>
  </si>
  <si>
    <t>0                      QL 0495000H  38          1993</t>
  </si>
  <si>
    <t>The hot-blooded insects : strategies and mechanisms of thermoregulation / Bernd Heinrich.</t>
  </si>
  <si>
    <t>Cambridge, Mass. : Harvard University Press, 1993.</t>
  </si>
  <si>
    <t>1996-03-21</t>
  </si>
  <si>
    <t>898015412:eng</t>
  </si>
  <si>
    <t>25675305</t>
  </si>
  <si>
    <t>991002018199702656</t>
  </si>
  <si>
    <t>2267136120002656</t>
  </si>
  <si>
    <t>9780674408388</t>
  </si>
  <si>
    <t>32285002145497</t>
  </si>
  <si>
    <t>893328594</t>
  </si>
  <si>
    <t>QL495 .I58 1992</t>
  </si>
  <si>
    <t>0                      QL 0495000I  58          1992</t>
  </si>
  <si>
    <t>Insect chemical ecology : an evolutionary approach / edited by Bernard D. Roitberg &amp; Murray B. Isman.</t>
  </si>
  <si>
    <t>New York : Chapman &amp; Hall, 1992.</t>
  </si>
  <si>
    <t>1992-11-30</t>
  </si>
  <si>
    <t>806718600:eng</t>
  </si>
  <si>
    <t>25631821</t>
  </si>
  <si>
    <t>991002016059702656</t>
  </si>
  <si>
    <t>2268603530002656</t>
  </si>
  <si>
    <t>9780412018718</t>
  </si>
  <si>
    <t>32285001400372</t>
  </si>
  <si>
    <t>893352116</t>
  </si>
  <si>
    <t>QL495 .M65 1987</t>
  </si>
  <si>
    <t>0                      QL 0495000M  65          1987</t>
  </si>
  <si>
    <t>Molecular entomology : proceedings of a Monsanto-UCLA symposium held in Steamboat Springs, Colorado, April 6-13, 1986 / editor, John H. Law.</t>
  </si>
  <si>
    <t>New York : Liss, c1987.</t>
  </si>
  <si>
    <t>UCLA symposia on molecular and cellular biology ; new ser., v. 49</t>
  </si>
  <si>
    <t>1996-04-13</t>
  </si>
  <si>
    <t>807869281:eng</t>
  </si>
  <si>
    <t>15222206</t>
  </si>
  <si>
    <t>991001003569702656</t>
  </si>
  <si>
    <t>2266801190002656</t>
  </si>
  <si>
    <t>9780845126486</t>
  </si>
  <si>
    <t>32285001687291</t>
  </si>
  <si>
    <t>893683934</t>
  </si>
  <si>
    <t>QL495 .N48</t>
  </si>
  <si>
    <t>0                      QL 0495000N  48</t>
  </si>
  <si>
    <t>Neurohormonal techniques in insects / edited by Thomas A. Miller ; with a foreword by Gottfried S. Fraenkel ; with contributions by R. J. Aston ... [et al.]</t>
  </si>
  <si>
    <t>New York : Springer-Verlag, c1980.</t>
  </si>
  <si>
    <t>Springer series in experimental entomology</t>
  </si>
  <si>
    <t>2007-02-24</t>
  </si>
  <si>
    <t>458209:eng</t>
  </si>
  <si>
    <t>5893616</t>
  </si>
  <si>
    <t>991004895689702656</t>
  </si>
  <si>
    <t>2265119930002656</t>
  </si>
  <si>
    <t>9780387904511</t>
  </si>
  <si>
    <t>32285001687267</t>
  </si>
  <si>
    <t>893520152</t>
  </si>
  <si>
    <t>QL495 .N54 1994</t>
  </si>
  <si>
    <t>0                      QL 0495000N  54          1994</t>
  </si>
  <si>
    <t>Insect hormones / H. Frederik Nijhout.</t>
  </si>
  <si>
    <t>Nijhout, H. Frederik.</t>
  </si>
  <si>
    <t>Princeton, N.J. : Princeton University Press, c1994.</t>
  </si>
  <si>
    <t>31248004:eng</t>
  </si>
  <si>
    <t>29359500</t>
  </si>
  <si>
    <t>991005417969702656</t>
  </si>
  <si>
    <t>2266711160002656</t>
  </si>
  <si>
    <t>9780691034669</t>
  </si>
  <si>
    <t>32285002108180</t>
  </si>
  <si>
    <t>893418916</t>
  </si>
  <si>
    <t>QL495 .N55 1989</t>
  </si>
  <si>
    <t>0                      QL 0495000N  55          1989</t>
  </si>
  <si>
    <t>Insect spiracular systems / T.B. Nikam and V.V. Khole.</t>
  </si>
  <si>
    <t>Nikam, T. B. (Tukaram Bandu), 1949-</t>
  </si>
  <si>
    <t>Chichester, West Sussex, England : E. Horwood ; New York : Wiley, 1989.</t>
  </si>
  <si>
    <t>Ellis Horwood series in entomology and acarology</t>
  </si>
  <si>
    <t>1995-02-11</t>
  </si>
  <si>
    <t>17380741:eng</t>
  </si>
  <si>
    <t>18557880</t>
  </si>
  <si>
    <t>991001365199702656</t>
  </si>
  <si>
    <t>2264140320002656</t>
  </si>
  <si>
    <t>9780745802930</t>
  </si>
  <si>
    <t>32285000001866</t>
  </si>
  <si>
    <t>893516146</t>
  </si>
  <si>
    <t>QL495 .P28</t>
  </si>
  <si>
    <t>0                      QL 0495000P  28</t>
  </si>
  <si>
    <t>Introductory insect physiology.</t>
  </si>
  <si>
    <t>Patton, Robert Lee, 1913-</t>
  </si>
  <si>
    <t>2006-02-22</t>
  </si>
  <si>
    <t>1995-03-10</t>
  </si>
  <si>
    <t>35679779:eng</t>
  </si>
  <si>
    <t>710953</t>
  </si>
  <si>
    <t>991003176989702656</t>
  </si>
  <si>
    <t>2262450890002656</t>
  </si>
  <si>
    <t>32285002011798</t>
  </si>
  <si>
    <t>893617069</t>
  </si>
  <si>
    <t>QL495 .R2813 1982</t>
  </si>
  <si>
    <t>0                      QL 0495000R  2813        1982</t>
  </si>
  <si>
    <t>Insect neurohormones / Marie Raabe ; translated from French by Nissim Marshall ; illustrated by Daisy Chervin.</t>
  </si>
  <si>
    <t>Raabe, Marie, 1921-</t>
  </si>
  <si>
    <t>437973:eng</t>
  </si>
  <si>
    <t>8411078</t>
  </si>
  <si>
    <t>991005240759702656</t>
  </si>
  <si>
    <t>2257271430002656</t>
  </si>
  <si>
    <t>9780306407826</t>
  </si>
  <si>
    <t>32285001687275</t>
  </si>
  <si>
    <t>893248593</t>
  </si>
  <si>
    <t>QL495 .R6</t>
  </si>
  <si>
    <t>0                      QL 0495000R  6</t>
  </si>
  <si>
    <t>Insect physiology / [by] Raimon L. Beard [and others]</t>
  </si>
  <si>
    <t>Roeder, Kenneth D. (Kenneth David), 1908-1979 editor.</t>
  </si>
  <si>
    <t>New York : Wiley, [1953]</t>
  </si>
  <si>
    <t>1953</t>
  </si>
  <si>
    <t>2006-02-18</t>
  </si>
  <si>
    <t>1617479:eng</t>
  </si>
  <si>
    <t>556218</t>
  </si>
  <si>
    <t>991002983509702656</t>
  </si>
  <si>
    <t>2259770280002656</t>
  </si>
  <si>
    <t>32285001056877</t>
  </si>
  <si>
    <t>893899491</t>
  </si>
  <si>
    <t>QL495 .S28 1976</t>
  </si>
  <si>
    <t>0                      QL 0495000S  28          1976</t>
  </si>
  <si>
    <t>Insect clocks / by D. S. Saunders.</t>
  </si>
  <si>
    <t>Saunders, D. S. (David Stanley), 1935-</t>
  </si>
  <si>
    <t>Oxford ; New York : Pergamon Press, 1976.</t>
  </si>
  <si>
    <t>International series of monographs in pure and applied biology : Division, Zoology ; v. 54</t>
  </si>
  <si>
    <t>76455:eng</t>
  </si>
  <si>
    <t>1500301</t>
  </si>
  <si>
    <t>991003784999702656</t>
  </si>
  <si>
    <t>2260387320002656</t>
  </si>
  <si>
    <t>9780080182117</t>
  </si>
  <si>
    <t>32285002980844</t>
  </si>
  <si>
    <t>893775192</t>
  </si>
  <si>
    <t>QL495 .T37 1986</t>
  </si>
  <si>
    <t>0                      QL 0495000T  37          1986</t>
  </si>
  <si>
    <t>Seasonal adaptations of insects / Maurice J. Tauber, Catherine A. Tauber, and Sinzo Masaki.</t>
  </si>
  <si>
    <t>Tauber, Maurice J.</t>
  </si>
  <si>
    <t>New York : Oxford University Press, 1986.</t>
  </si>
  <si>
    <t>4407269:eng</t>
  </si>
  <si>
    <t>11814392</t>
  </si>
  <si>
    <t>991000597579702656</t>
  </si>
  <si>
    <t>2261209840002656</t>
  </si>
  <si>
    <t>9780195036350</t>
  </si>
  <si>
    <t>32285001687283</t>
  </si>
  <si>
    <t>893521828</t>
  </si>
  <si>
    <t>QL495 .W5 1984</t>
  </si>
  <si>
    <t>0                      QL 0495000W  5           1984</t>
  </si>
  <si>
    <t>Insect physiology / V.B. Wigglesworth.</t>
  </si>
  <si>
    <t>London ; New York : Chapman and Hall, 1984.</t>
  </si>
  <si>
    <t>8th ed.</t>
  </si>
  <si>
    <t>1996-11-09</t>
  </si>
  <si>
    <t>4917077863:eng</t>
  </si>
  <si>
    <t>10724844</t>
  </si>
  <si>
    <t>991000416559702656</t>
  </si>
  <si>
    <t>2263384600002656</t>
  </si>
  <si>
    <t>9780412259005</t>
  </si>
  <si>
    <t>32285001687309</t>
  </si>
  <si>
    <t>893425675</t>
  </si>
  <si>
    <t>QL495.5 .S39 1988</t>
  </si>
  <si>
    <t>0                      QL 0495500S  39          1988</t>
  </si>
  <si>
    <t>Insect morphogenesis / Fritz E. Schwalm.</t>
  </si>
  <si>
    <t>Schwalm, Fritz E. (Fritz Ekkehardt), 1936-</t>
  </si>
  <si>
    <t>Basel ; New York : Karger, c1988.</t>
  </si>
  <si>
    <t>Monographs in developmental biology ; vol. 20</t>
  </si>
  <si>
    <t>1994-02-02</t>
  </si>
  <si>
    <t>9093771324:eng</t>
  </si>
  <si>
    <t>16684159</t>
  </si>
  <si>
    <t>991001132489702656</t>
  </si>
  <si>
    <t>2272666440002656</t>
  </si>
  <si>
    <t>9783805545990</t>
  </si>
  <si>
    <t>32285001687325</t>
  </si>
  <si>
    <t>893696491</t>
  </si>
  <si>
    <t>QL496 .B35 1991</t>
  </si>
  <si>
    <t>0                      QL 0496000B  35          1991</t>
  </si>
  <si>
    <t>Acoustic behaviour of insects : an evolutionary perspective / Winston J. Bailey ; with a foreword by John Alcock.</t>
  </si>
  <si>
    <t>Bailey, Winston J.</t>
  </si>
  <si>
    <t>London ; New York : Chapman and Hall, 1991.</t>
  </si>
  <si>
    <t>1991-05-01</t>
  </si>
  <si>
    <t>251343827:eng</t>
  </si>
  <si>
    <t>21333822</t>
  </si>
  <si>
    <t>991001677479702656</t>
  </si>
  <si>
    <t>2262381840002656</t>
  </si>
  <si>
    <t>9780412319907</t>
  </si>
  <si>
    <t>32285000570720</t>
  </si>
  <si>
    <t>893516391</t>
  </si>
  <si>
    <t>QL496 .B3613 1991</t>
  </si>
  <si>
    <t>0                      QL 0496000B  3613        1991</t>
  </si>
  <si>
    <t>Insects and flowers : the biology of a partnership / Friedrich G. Barth ; translated by M.A. Biederman-Thorson.</t>
  </si>
  <si>
    <t>Barth, Friedrich G., 1940-</t>
  </si>
  <si>
    <t>Princeton, N.J. : Princeton University Press, c1991.</t>
  </si>
  <si>
    <t>Princeton science library</t>
  </si>
  <si>
    <t>1997-01-30</t>
  </si>
  <si>
    <t>2915074:eng</t>
  </si>
  <si>
    <t>23015891</t>
  </si>
  <si>
    <t>991001831909702656</t>
  </si>
  <si>
    <t>2262950640002656</t>
  </si>
  <si>
    <t>9780691025230</t>
  </si>
  <si>
    <t>32285002412756</t>
  </si>
  <si>
    <t>893703368</t>
  </si>
  <si>
    <t>QL496 .B46 1994</t>
  </si>
  <si>
    <t>0                      QL 0496000B  46          1994</t>
  </si>
  <si>
    <t>Host-plant selection by phytophagous insects / E.A. Bernays and R.F. Chapman.</t>
  </si>
  <si>
    <t>Bernays, E. A. (Elizabeth A.)</t>
  </si>
  <si>
    <t>New York : Chapman &amp; Hall, 1994.</t>
  </si>
  <si>
    <t>Contemporary topics in entomology ; 2</t>
  </si>
  <si>
    <t>1999-11-20</t>
  </si>
  <si>
    <t>1994-05-26</t>
  </si>
  <si>
    <t>14375760:eng</t>
  </si>
  <si>
    <t>28254733</t>
  </si>
  <si>
    <t>991002196849702656</t>
  </si>
  <si>
    <t>2264132760002656</t>
  </si>
  <si>
    <t>9780412031113</t>
  </si>
  <si>
    <t>32285001899664</t>
  </si>
  <si>
    <t>893885961</t>
  </si>
  <si>
    <t>QL496 .B83 1983</t>
  </si>
  <si>
    <t>0                      QL 0496000B  83          1983</t>
  </si>
  <si>
    <t>Social insects : ecology and behavioural biology / M.V. Brian.</t>
  </si>
  <si>
    <t>Brian, M. V. (Michael Vaughan), 1919-</t>
  </si>
  <si>
    <t>London ; New York : Chapman and Hall, 1983.</t>
  </si>
  <si>
    <t>836721270:eng</t>
  </si>
  <si>
    <t>9413543</t>
  </si>
  <si>
    <t>991000192719702656</t>
  </si>
  <si>
    <t>2264057990002656</t>
  </si>
  <si>
    <t>9780412229305</t>
  </si>
  <si>
    <t>32285001687333</t>
  </si>
  <si>
    <t>893224819</t>
  </si>
  <si>
    <t>QL496 .C2</t>
  </si>
  <si>
    <t>0                      QL 0496000C  2</t>
  </si>
  <si>
    <t>The biology of insects, by George H. Carpenter ...</t>
  </si>
  <si>
    <t>Carpenter, George H. (George Herbert), 1865-1939.</t>
  </si>
  <si>
    <t>New York, The Macmillan Company, 1928.</t>
  </si>
  <si>
    <t>1928</t>
  </si>
  <si>
    <t>A series of biological handbooks</t>
  </si>
  <si>
    <t>2191339:eng</t>
  </si>
  <si>
    <t>1265625</t>
  </si>
  <si>
    <t>991003659099702656</t>
  </si>
  <si>
    <t>2261699780002656</t>
  </si>
  <si>
    <t>32285002980919</t>
  </si>
  <si>
    <t>893900223</t>
  </si>
  <si>
    <t>QL496 .C648 1997</t>
  </si>
  <si>
    <t>0                      QL 0496000C  648         1997</t>
  </si>
  <si>
    <t>Comparative psychology of invertebrates : the field and laboratory study of insect behavior / edited by Gary Greenberg, Ethel Tobach.</t>
  </si>
  <si>
    <t>New York : Garland Pub., 1997.</t>
  </si>
  <si>
    <t>Garland reference library of social science ; v. 1082</t>
  </si>
  <si>
    <t>2010-12-16</t>
  </si>
  <si>
    <t>1997-03-04</t>
  </si>
  <si>
    <t>836918095:eng</t>
  </si>
  <si>
    <t>34355660</t>
  </si>
  <si>
    <t>991002621999702656</t>
  </si>
  <si>
    <t>2266562210002656</t>
  </si>
  <si>
    <t>9780815321965</t>
  </si>
  <si>
    <t>32285002434156</t>
  </si>
  <si>
    <t>893691801</t>
  </si>
  <si>
    <t>QL496 .C76 1996</t>
  </si>
  <si>
    <t>0                      QL 0496000C  76          1996</t>
  </si>
  <si>
    <t>Evolution of social insect colonies : sex allocation and kin selection / Ross H. Crozier and Pekka Pamilo.</t>
  </si>
  <si>
    <t>Crozier, R. H. (Rossiter Henry), 1943-</t>
  </si>
  <si>
    <t>Oxford ; New York : Oxford University Press, 1996.</t>
  </si>
  <si>
    <t>Oxford series in ecology and evolution</t>
  </si>
  <si>
    <t>2006-03-27</t>
  </si>
  <si>
    <t>144054556:eng</t>
  </si>
  <si>
    <t>32739971</t>
  </si>
  <si>
    <t>991002517459702656</t>
  </si>
  <si>
    <t>2272021050002656</t>
  </si>
  <si>
    <t>9780198549420</t>
  </si>
  <si>
    <t>32285002432267</t>
  </si>
  <si>
    <t>893591436</t>
  </si>
  <si>
    <t>QL496 .F18</t>
  </si>
  <si>
    <t>0                      QL 0496000F  18</t>
  </si>
  <si>
    <t>The life and love of the insect, by J. Henri Fabre, tr. by Alexander Teixeira de Mattos.</t>
  </si>
  <si>
    <t>Fabre, Jean-Henri, 1823-1915.</t>
  </si>
  <si>
    <t>London, A. and C. Black, 1911.</t>
  </si>
  <si>
    <t>1911</t>
  </si>
  <si>
    <t>2004-02-26</t>
  </si>
  <si>
    <t>4159924749:eng</t>
  </si>
  <si>
    <t>1548980</t>
  </si>
  <si>
    <t>991003816039702656</t>
  </si>
  <si>
    <t>2272231600002656</t>
  </si>
  <si>
    <t>32285002980943</t>
  </si>
  <si>
    <t>893627787</t>
  </si>
  <si>
    <t>QL496 .G35 2002</t>
  </si>
  <si>
    <t>0                      QL 0496000G  35          2002</t>
  </si>
  <si>
    <t>Acoustic communication in insects and anurans : common problems and diverse solutions / H. Carl Gerhardt and Franz Huber.</t>
  </si>
  <si>
    <t>Gerhardt, H. Carl.</t>
  </si>
  <si>
    <t>Chicago : University of Chicago Press, c2002.</t>
  </si>
  <si>
    <t>2007-02-25</t>
  </si>
  <si>
    <t>2003-04-09</t>
  </si>
  <si>
    <t>198978387:eng</t>
  </si>
  <si>
    <t>48675611</t>
  </si>
  <si>
    <t>991004020819702656</t>
  </si>
  <si>
    <t>2261259450002656</t>
  </si>
  <si>
    <t>9780226288321</t>
  </si>
  <si>
    <t>32285004741194</t>
  </si>
  <si>
    <t>893429560</t>
  </si>
  <si>
    <t>QL496 .G59 1994</t>
  </si>
  <si>
    <t>0                      QL 0496000G  59          1994</t>
  </si>
  <si>
    <t>Parasitoids : behavioral and evolutionary ecology / H.C.J. Godfray.</t>
  </si>
  <si>
    <t>Godfray, H. C. J., 1958-</t>
  </si>
  <si>
    <t>2009-04-06</t>
  </si>
  <si>
    <t>347743:eng</t>
  </si>
  <si>
    <t>27937314</t>
  </si>
  <si>
    <t>991002171359702656</t>
  </si>
  <si>
    <t>2255474120002656</t>
  </si>
  <si>
    <t>9780691000473</t>
  </si>
  <si>
    <t>32285002433273</t>
  </si>
  <si>
    <t>893408773</t>
  </si>
  <si>
    <t>QL496 .I385 1982</t>
  </si>
  <si>
    <t>0                      QL 0496000I  385         1982</t>
  </si>
  <si>
    <t>Insect behavior, a sourcebook of laboratory and field exercises / edited by Janice R. Matthews and Robert W. Matthews.</t>
  </si>
  <si>
    <t>Boulder, Colo. : Westview Press, 1982.</t>
  </si>
  <si>
    <t>1992-08-19</t>
  </si>
  <si>
    <t>10500672256:eng</t>
  </si>
  <si>
    <t>9217567</t>
  </si>
  <si>
    <t>991000152439702656</t>
  </si>
  <si>
    <t>2267778960002656</t>
  </si>
  <si>
    <t>9780865314122</t>
  </si>
  <si>
    <t>32285001246312</t>
  </si>
  <si>
    <t>893521446</t>
  </si>
  <si>
    <t>QL496 .I386 1984</t>
  </si>
  <si>
    <t>0                      QL 0496000I  386         1984</t>
  </si>
  <si>
    <t>Insect communication / edited by Trevor Lewis.</t>
  </si>
  <si>
    <t>Orlando : Academic Press, 1984.</t>
  </si>
  <si>
    <t>Symposia of the Royal Entomological Society of London ; no. 12</t>
  </si>
  <si>
    <t>2008-11-20</t>
  </si>
  <si>
    <t>428742649:eng</t>
  </si>
  <si>
    <t>10777356</t>
  </si>
  <si>
    <t>991000429119702656</t>
  </si>
  <si>
    <t>2265291160002656</t>
  </si>
  <si>
    <t>32285001687358</t>
  </si>
  <si>
    <t>893243236</t>
  </si>
  <si>
    <t>QL496 .I387 1993</t>
  </si>
  <si>
    <t>0                      QL 0496000I  387         1993</t>
  </si>
  <si>
    <t>Insect learning : ecological and evolutionary perspectives / edited by Daniel R. Papaj and Alcinda C. Lewis.</t>
  </si>
  <si>
    <t>New York : Chapman &amp; Hall, 1993.</t>
  </si>
  <si>
    <t>1994-01-24</t>
  </si>
  <si>
    <t>1993-02-24</t>
  </si>
  <si>
    <t>509193697:eng</t>
  </si>
  <si>
    <t>26400387</t>
  </si>
  <si>
    <t>991002064369702656</t>
  </si>
  <si>
    <t>2267972910002656</t>
  </si>
  <si>
    <t>9780412025617</t>
  </si>
  <si>
    <t>32285001496289</t>
  </si>
  <si>
    <t>893523144</t>
  </si>
  <si>
    <t>QL496 .I424 1984</t>
  </si>
  <si>
    <t>0                      QL 0496000I  424         1984</t>
  </si>
  <si>
    <t>Acoustic and vibrational communication in insects : proceedings from the XVII. International Congress of Entomology held at the University of Hamburg, August 1984 / Klaus Kalmring and Norbert Elsner (eds.)</t>
  </si>
  <si>
    <t>International Congress of Entomology (17th : 1984 : Hamburg, Germany)</t>
  </si>
  <si>
    <t>Berlin : P. Parey, 1985.</t>
  </si>
  <si>
    <t>2007-03-02</t>
  </si>
  <si>
    <t>811129696:eng</t>
  </si>
  <si>
    <t>12545776</t>
  </si>
  <si>
    <t>991000700179702656</t>
  </si>
  <si>
    <t>2255228540002656</t>
  </si>
  <si>
    <t>9783489659365</t>
  </si>
  <si>
    <t>32285001633287</t>
  </si>
  <si>
    <t>893720760</t>
  </si>
  <si>
    <t>QL496 .I43 1982</t>
  </si>
  <si>
    <t>0                      QL 0496000I  43          1982</t>
  </si>
  <si>
    <t>The biology of social insects : proceedings of the Ninth Congress of the International Union for the Study of Social Insects, Boulder, Colorado, August 1982 / edited by Michael D. Breed, Charles D. Michener, and Howard E. Evans.</t>
  </si>
  <si>
    <t>International Union for the Study of Social Insects. Congress (9th : 1982 : Boulder, Colo.)</t>
  </si>
  <si>
    <t>836705267:eng</t>
  </si>
  <si>
    <t>8920717</t>
  </si>
  <si>
    <t>991000093359702656</t>
  </si>
  <si>
    <t>2263435260002656</t>
  </si>
  <si>
    <t>9780865312913</t>
  </si>
  <si>
    <t>32285001687366</t>
  </si>
  <si>
    <t>893444195</t>
  </si>
  <si>
    <t>QL496 .J6</t>
  </si>
  <si>
    <t>0                      QL 0496000J  6</t>
  </si>
  <si>
    <t>Migration and dispersal of insects by flight / [by] C. G. Johnson.</t>
  </si>
  <si>
    <t>Johnson, C. G. (Cecil George)</t>
  </si>
  <si>
    <t>London : Methuen, 1969.</t>
  </si>
  <si>
    <t>2000-02-23</t>
  </si>
  <si>
    <t>1994-11-16</t>
  </si>
  <si>
    <t>1164753:eng</t>
  </si>
  <si>
    <t>25197</t>
  </si>
  <si>
    <t>991000062249702656</t>
  </si>
  <si>
    <t>2268498590002656</t>
  </si>
  <si>
    <t>32285001966646</t>
  </si>
  <si>
    <t>893714254</t>
  </si>
  <si>
    <t>QL496 .M8</t>
  </si>
  <si>
    <t>0                      QL 0496000M  8</t>
  </si>
  <si>
    <t>Ecology of insect vector populations [by] R. C. Muirhead-Thomson.</t>
  </si>
  <si>
    <t>Muirhead-Thomson, R. C.</t>
  </si>
  <si>
    <t>London, New York, Academic Press, 1968.</t>
  </si>
  <si>
    <t>2000-11-19</t>
  </si>
  <si>
    <t>1333661:eng</t>
  </si>
  <si>
    <t>224341</t>
  </si>
  <si>
    <t>991001373839702656</t>
  </si>
  <si>
    <t>2264230610002656</t>
  </si>
  <si>
    <t>32285002980976</t>
  </si>
  <si>
    <t>893803576</t>
  </si>
  <si>
    <t>QL496 .O74 2009</t>
  </si>
  <si>
    <t>0                      QL 0496000O  74          2009</t>
  </si>
  <si>
    <t>Organization of insect societies : from genome to sociocomplexity / edited by Jürgen Gadau and Jennifer Fewell ; with a foreword by Edward O. Wilson.</t>
  </si>
  <si>
    <t>Cambridge, Mass. : Harvard University Press, 2009.</t>
  </si>
  <si>
    <t>2009-11-29</t>
  </si>
  <si>
    <t>2009-10-05</t>
  </si>
  <si>
    <t>1020787678:eng</t>
  </si>
  <si>
    <t>228497969</t>
  </si>
  <si>
    <t>991005337449702656</t>
  </si>
  <si>
    <t>2267548260002656</t>
  </si>
  <si>
    <t>9780674031258</t>
  </si>
  <si>
    <t>32285005546477</t>
  </si>
  <si>
    <t>893783417</t>
  </si>
  <si>
    <t>QL496 .O86 1985</t>
  </si>
  <si>
    <t>0                      QL 0496000O  86          1985</t>
  </si>
  <si>
    <t>Insects in camera : a photographic essay on behaviour / text, Christopher O'Toole ; photography, Ken Preston-Mafham.</t>
  </si>
  <si>
    <t>O'Toole, Christopher.</t>
  </si>
  <si>
    <t>Oxford ; New York : Oxford University Press, 1985.</t>
  </si>
  <si>
    <t>1993-02-17</t>
  </si>
  <si>
    <t>796072235:eng</t>
  </si>
  <si>
    <t>10557690</t>
  </si>
  <si>
    <t>991000391599702656</t>
  </si>
  <si>
    <t>2271516700002656</t>
  </si>
  <si>
    <t>9780192176943</t>
  </si>
  <si>
    <t>32285001502516</t>
  </si>
  <si>
    <t>893589398</t>
  </si>
  <si>
    <t>QL496 .R38 1991</t>
  </si>
  <si>
    <t>0                      QL 0496000R  38          1991</t>
  </si>
  <si>
    <t>Reproductive behaviour of insects : individuals and populations / edited by W.J. Bailey and J. Ridsdill-Smith.</t>
  </si>
  <si>
    <t>2008-11-12</t>
  </si>
  <si>
    <t>1991-06-05</t>
  </si>
  <si>
    <t>889884290:eng</t>
  </si>
  <si>
    <t>22381348</t>
  </si>
  <si>
    <t>991001772299702656</t>
  </si>
  <si>
    <t>2270681650002656</t>
  </si>
  <si>
    <t>9780412312809</t>
  </si>
  <si>
    <t>32285000592765</t>
  </si>
  <si>
    <t>893420613</t>
  </si>
  <si>
    <t>QL496 .R585 1967</t>
  </si>
  <si>
    <t>0                      QL 0496000R  585         1967</t>
  </si>
  <si>
    <t>Nerve cells and insect behavior [by] Kenneth D. Roeder.</t>
  </si>
  <si>
    <t>Roeder, Kenneth D. (Kenneth David), 1908-1979.</t>
  </si>
  <si>
    <t>Cambridge, Mass., Harvard University Press, 1967.</t>
  </si>
  <si>
    <t>Harvard books in biology ; no. 4</t>
  </si>
  <si>
    <t>1360103:eng</t>
  </si>
  <si>
    <t>656647</t>
  </si>
  <si>
    <t>991003110809702656</t>
  </si>
  <si>
    <t>2263427110002656</t>
  </si>
  <si>
    <t>32285002980992</t>
  </si>
  <si>
    <t>893627463</t>
  </si>
  <si>
    <t>QL496 .S36 1998</t>
  </si>
  <si>
    <t>0                      QL 0496000S  36          1998</t>
  </si>
  <si>
    <t>Parasites in social insects / Paul Schmid-Hempel.</t>
  </si>
  <si>
    <t>Schmid-Hempel, Paul.</t>
  </si>
  <si>
    <t>Princeton, N.J. : Princeton University Press, c1998.</t>
  </si>
  <si>
    <t>2001-01-10</t>
  </si>
  <si>
    <t>892443:eng</t>
  </si>
  <si>
    <t>38286573</t>
  </si>
  <si>
    <t>991003355149702656</t>
  </si>
  <si>
    <t>2256035080002656</t>
  </si>
  <si>
    <t>9780691059235</t>
  </si>
  <si>
    <t>32285004282272</t>
  </si>
  <si>
    <t>893342489</t>
  </si>
  <si>
    <t>QL496 .S44</t>
  </si>
  <si>
    <t>0                      QL 0496000S  44</t>
  </si>
  <si>
    <t>Sexual selection and reproductive competition in insects / edited by Murray S. Blun, Nancy A. Blum.</t>
  </si>
  <si>
    <t>New York : Academic Press, 1979.</t>
  </si>
  <si>
    <t>14762215:eng</t>
  </si>
  <si>
    <t>4492684</t>
  </si>
  <si>
    <t>991004647729702656</t>
  </si>
  <si>
    <t>2263576210002656</t>
  </si>
  <si>
    <t>9780121087500</t>
  </si>
  <si>
    <t>32285001687382</t>
  </si>
  <si>
    <t>893606287</t>
  </si>
  <si>
    <t>QL496 .S87 1984</t>
  </si>
  <si>
    <t>0                      QL 0496000S  87          1984</t>
  </si>
  <si>
    <t>Insects on plants : community patterns and mechanisms / D.R. Strong, J.H. Lawton, Sir Richard Southwood.</t>
  </si>
  <si>
    <t>Strong, Donald R., 1944-</t>
  </si>
  <si>
    <t>1992-09-30</t>
  </si>
  <si>
    <t>836659949:eng</t>
  </si>
  <si>
    <t>10162578</t>
  </si>
  <si>
    <t>991000323679702656</t>
  </si>
  <si>
    <t>2267973010002656</t>
  </si>
  <si>
    <t>9780674455139</t>
  </si>
  <si>
    <t>32285001323509</t>
  </si>
  <si>
    <t>893784131</t>
  </si>
  <si>
    <t>QL496 .W34 1996</t>
  </si>
  <si>
    <t>0                      QL 0496000W  34          1996</t>
  </si>
  <si>
    <t>Insects through the seasons / Gilbert Waldbauer.</t>
  </si>
  <si>
    <t>Waldbauer, Gilbert.</t>
  </si>
  <si>
    <t>Cambridge, Mass. : Harvard University Press, 1996.</t>
  </si>
  <si>
    <t>17737444:eng</t>
  </si>
  <si>
    <t>32893542</t>
  </si>
  <si>
    <t>991002531369702656</t>
  </si>
  <si>
    <t>2257626060002656</t>
  </si>
  <si>
    <t>9780674454880</t>
  </si>
  <si>
    <t>32285002212255</t>
  </si>
  <si>
    <t>893597571</t>
  </si>
  <si>
    <t>QL496 .W36 2000</t>
  </si>
  <si>
    <t>0                      QL 0496000W  36          2000</t>
  </si>
  <si>
    <t>Millions of monarchs, bunches of beetles : how bugs find strength in numbers / Gilbert Waldbauer.</t>
  </si>
  <si>
    <t>Cambridge, Mass. : Harvard University Press, 2000.</t>
  </si>
  <si>
    <t>2000-09-18</t>
  </si>
  <si>
    <t>27401887:eng</t>
  </si>
  <si>
    <t>42021523</t>
  </si>
  <si>
    <t>991003240649702656</t>
  </si>
  <si>
    <t>2264622370002656</t>
  </si>
  <si>
    <t>9780674000902</t>
  </si>
  <si>
    <t>32285003762589</t>
  </si>
  <si>
    <t>893809886</t>
  </si>
  <si>
    <t>QL496 .W62</t>
  </si>
  <si>
    <t>0                      QL 0496000W  62</t>
  </si>
  <si>
    <t>The physiology of insect metamorphosis.</t>
  </si>
  <si>
    <t>Cambridge monographs in experimental biology ; no. 1</t>
  </si>
  <si>
    <t>141641303:eng</t>
  </si>
  <si>
    <t>558423</t>
  </si>
  <si>
    <t>991002987569702656</t>
  </si>
  <si>
    <t>2258230670002656</t>
  </si>
  <si>
    <t>32285002981008</t>
  </si>
  <si>
    <t>893880691</t>
  </si>
  <si>
    <t>QL496 .W66</t>
  </si>
  <si>
    <t>0                      QL 0496000W  66</t>
  </si>
  <si>
    <t>The insect societies / [by] Edward O. Wilson.</t>
  </si>
  <si>
    <t>Wilson, Edward O.</t>
  </si>
  <si>
    <t>Cambridge, Mass. : Belknap Press of Harvard University Press, 1971.</t>
  </si>
  <si>
    <t>2008-05-27</t>
  </si>
  <si>
    <t>1992-10-16</t>
  </si>
  <si>
    <t>1380282:eng</t>
  </si>
  <si>
    <t>199513</t>
  </si>
  <si>
    <t>991001224919702656</t>
  </si>
  <si>
    <t>2269741480002656</t>
  </si>
  <si>
    <t>9780674454903</t>
  </si>
  <si>
    <t>32285001350247</t>
  </si>
  <si>
    <t>893522398</t>
  </si>
  <si>
    <t>QL496.2 .I47 1995</t>
  </si>
  <si>
    <t>0                      QL 0496200I  47          1995</t>
  </si>
  <si>
    <t>Insect migration : tracking resources through space and time / edited by V.A. Drake and A.G. Gatehouse.</t>
  </si>
  <si>
    <t>Cambridge ; New York, NY, USA : Cambridge University Press, 1995.</t>
  </si>
  <si>
    <t>1996-10-15</t>
  </si>
  <si>
    <t>837012906:eng</t>
  </si>
  <si>
    <t>31865204</t>
  </si>
  <si>
    <t>991002442319702656</t>
  </si>
  <si>
    <t>2259270530002656</t>
  </si>
  <si>
    <t>9780521440004</t>
  </si>
  <si>
    <t>32285002192978</t>
  </si>
  <si>
    <t>893716456</t>
  </si>
  <si>
    <t>QL496.4 .S36 1994</t>
  </si>
  <si>
    <t>0                      QL 0496400S  36          1994</t>
  </si>
  <si>
    <t>Insect conservation biology / Michael J. Samways.</t>
  </si>
  <si>
    <t>Samways, Michael J.</t>
  </si>
  <si>
    <t>Conservation biology series</t>
  </si>
  <si>
    <t>2000-11-09</t>
  </si>
  <si>
    <t>1995-05-31</t>
  </si>
  <si>
    <t>24137925:eng</t>
  </si>
  <si>
    <t>30920601</t>
  </si>
  <si>
    <t>991002380829702656</t>
  </si>
  <si>
    <t>2257398590002656</t>
  </si>
  <si>
    <t>9780412454400</t>
  </si>
  <si>
    <t>32285002047602</t>
  </si>
  <si>
    <t>893529908</t>
  </si>
  <si>
    <t>QL496.5 .E96 1989</t>
  </si>
  <si>
    <t>0                      QL 0496500E  96          1989</t>
  </si>
  <si>
    <t>Arthropod bioacoustics : neurobiology and behaviour / Arthur W. Ewing.</t>
  </si>
  <si>
    <t>Ewing, Arthur W.</t>
  </si>
  <si>
    <t>Edinburgh : Edinburgh University Press, 1989.</t>
  </si>
  <si>
    <t>1991-06-13</t>
  </si>
  <si>
    <t>22335097:eng</t>
  </si>
  <si>
    <t>20521968</t>
  </si>
  <si>
    <t>991001583939702656</t>
  </si>
  <si>
    <t>2269641490002656</t>
  </si>
  <si>
    <t>9780748601486</t>
  </si>
  <si>
    <t>32285000656339</t>
  </si>
  <si>
    <t>893715528</t>
  </si>
  <si>
    <t>QL496.5 .I57 2006</t>
  </si>
  <si>
    <t>0                      QL 0496500I  57          2006</t>
  </si>
  <si>
    <t>Insect sounds and communication : physiology, behaviour, ecology, and evolution / edited by Sakis Drosopoulos and Michael F. Claridge.</t>
  </si>
  <si>
    <t>Boca Raton : Taylor &amp; Francis, 2006.</t>
  </si>
  <si>
    <t>Contemporary topics in entomology series</t>
  </si>
  <si>
    <t>2006-01-18</t>
  </si>
  <si>
    <t>802202015:eng</t>
  </si>
  <si>
    <t>61463800</t>
  </si>
  <si>
    <t>991004698969702656</t>
  </si>
  <si>
    <t>2270695000002656</t>
  </si>
  <si>
    <t>9780849320606</t>
  </si>
  <si>
    <t>32285005106579</t>
  </si>
  <si>
    <t>893263388</t>
  </si>
  <si>
    <t>QL496.7 .D83 2000</t>
  </si>
  <si>
    <t>0                      QL 0496700D  83          2000</t>
  </si>
  <si>
    <t>The biomechanics of insect flight : form, function, evolution / Robert Dudley.</t>
  </si>
  <si>
    <t>Dudley, Robert, 1961-</t>
  </si>
  <si>
    <t>Princeton, N.J. : Princeton University Press, c2000.</t>
  </si>
  <si>
    <t>2008-02-08</t>
  </si>
  <si>
    <t>795208108:eng</t>
  </si>
  <si>
    <t>41211612</t>
  </si>
  <si>
    <t>991003261849702656</t>
  </si>
  <si>
    <t>2259945820002656</t>
  </si>
  <si>
    <t>9780691044309</t>
  </si>
  <si>
    <t>32285004282330</t>
  </si>
  <si>
    <t>893441098</t>
  </si>
  <si>
    <t>QL496.7 .I58 1986</t>
  </si>
  <si>
    <t>0                      QL 0496700I  58          1986</t>
  </si>
  <si>
    <t>Insect flight : dispersal and migration / edited by W. Danthanarayana.</t>
  </si>
  <si>
    <t>Berlin ; New York : Springer-Verlag, c1986.</t>
  </si>
  <si>
    <t>2001-11-15</t>
  </si>
  <si>
    <t>897962092:eng</t>
  </si>
  <si>
    <t>13333955</t>
  </si>
  <si>
    <t>991000813719702656</t>
  </si>
  <si>
    <t>2262141080002656</t>
  </si>
  <si>
    <t>9780387165028</t>
  </si>
  <si>
    <t>32285001687408</t>
  </si>
  <si>
    <t>893683777</t>
  </si>
  <si>
    <t>QL496.C48 H6</t>
  </si>
  <si>
    <t>0                      QL 0496000C  48                 H  6</t>
  </si>
  <si>
    <t>How to know the immature insects; an illustrated key for identifying the orders and families of many of the immature insects with suggestions for collecting, rearing and studying them, by H. F. Chu.</t>
  </si>
  <si>
    <t>Zhu, Hongfu, 1913-</t>
  </si>
  <si>
    <t>Dubuque, Iowa, W. C. Brown Co. [1949]</t>
  </si>
  <si>
    <t>1999-12-06</t>
  </si>
  <si>
    <t>9566342340:eng</t>
  </si>
  <si>
    <t>203882</t>
  </si>
  <si>
    <t>991001232109702656</t>
  </si>
  <si>
    <t>2255939700002656</t>
  </si>
  <si>
    <t>32285002980927</t>
  </si>
  <si>
    <t>893778658</t>
  </si>
  <si>
    <t>QL50 .B3</t>
  </si>
  <si>
    <t>0                      QL 0050000B  3</t>
  </si>
  <si>
    <t>Animal worlds / photos. by Emil Schulthess [and others] Drawings by Kenneth Gosner.</t>
  </si>
  <si>
    <t>Bates, Marston, 1906-1974.</t>
  </si>
  <si>
    <t>New York : Random House, [1963]</t>
  </si>
  <si>
    <t>1993-02-04</t>
  </si>
  <si>
    <t>1484797:eng</t>
  </si>
  <si>
    <t>293571</t>
  </si>
  <si>
    <t>991002229819702656</t>
  </si>
  <si>
    <t>2266726140002656</t>
  </si>
  <si>
    <t>32285001482743</t>
  </si>
  <si>
    <t>893609610</t>
  </si>
  <si>
    <t>QL50 .O9 1975</t>
  </si>
  <si>
    <t>0                      QL 0050000O  9           1975</t>
  </si>
  <si>
    <t>Our magnificent wildlife : how to enjoy and preserve it.</t>
  </si>
  <si>
    <t>Pleasantville, N.Y. : Reader's Digest Association, c1975.</t>
  </si>
  <si>
    <t>1997-04-01</t>
  </si>
  <si>
    <t>8907469284:eng</t>
  </si>
  <si>
    <t>1733198</t>
  </si>
  <si>
    <t>991003883289702656</t>
  </si>
  <si>
    <t>2256943500002656</t>
  </si>
  <si>
    <t>32285001686087</t>
  </si>
  <si>
    <t>893722143</t>
  </si>
  <si>
    <t>QL50 .R28</t>
  </si>
  <si>
    <t>0                      QL 0050000R  28</t>
  </si>
  <si>
    <t>Marvels &amp; mysteries of our animal world / with introductions and a special supplement, "Animals from A to Z," by Jean George.</t>
  </si>
  <si>
    <t>Reader's digest.</t>
  </si>
  <si>
    <t>Pleasantville, N.Y. : Reader's Digest Association, [1964]</t>
  </si>
  <si>
    <t>2001-04-20</t>
  </si>
  <si>
    <t>1994-01-14</t>
  </si>
  <si>
    <t>1059982315:eng</t>
  </si>
  <si>
    <t>711196</t>
  </si>
  <si>
    <t>991003178239702656</t>
  </si>
  <si>
    <t>2263980950002656</t>
  </si>
  <si>
    <t>32285001832954</t>
  </si>
  <si>
    <t>893698725</t>
  </si>
  <si>
    <t>QL505.5 .S38 1999</t>
  </si>
  <si>
    <t>0                      QL 0505500S  38          1999</t>
  </si>
  <si>
    <t>The cockroach papers : a compendium of history and lore / Richard Schweid.</t>
  </si>
  <si>
    <t>Schweid, Richard, 1946-</t>
  </si>
  <si>
    <t>New York : Four Walls Eight Windows ; [Emeryville, CA] : Distributed to the trade by Publishers Group West, c1999.</t>
  </si>
  <si>
    <t>2007-02-18</t>
  </si>
  <si>
    <t>2000-11-21</t>
  </si>
  <si>
    <t>863894062:eng</t>
  </si>
  <si>
    <t>42290996</t>
  </si>
  <si>
    <t>991003352299702656</t>
  </si>
  <si>
    <t>2259663980002656</t>
  </si>
  <si>
    <t>9781568581378</t>
  </si>
  <si>
    <t>32285004267141</t>
  </si>
  <si>
    <t>893874690</t>
  </si>
  <si>
    <t>QL505.6 .A437</t>
  </si>
  <si>
    <t>0                      QL 0505600A  437</t>
  </si>
  <si>
    <t>The American cockroach / edited by William J. Bell and K. G. Adiyodi.</t>
  </si>
  <si>
    <t>London ; New York : Chapman and Hall, 1982, c1981.</t>
  </si>
  <si>
    <t>1992-08-05</t>
  </si>
  <si>
    <t>355677598:eng</t>
  </si>
  <si>
    <t>8268337</t>
  </si>
  <si>
    <t>991005224069702656</t>
  </si>
  <si>
    <t>2267642950002656</t>
  </si>
  <si>
    <t>9780412161407</t>
  </si>
  <si>
    <t>32285001241776</t>
  </si>
  <si>
    <t>893527131</t>
  </si>
  <si>
    <t>QL506 .B56 1997</t>
  </si>
  <si>
    <t>0                      QL 0506000B  56          1997</t>
  </si>
  <si>
    <t>The bionomics of grasshoppers, katydids, and their kin / edited by S.K. Gangwere, M.C. Muralirangan, and Meera Muralirangan.</t>
  </si>
  <si>
    <t>Oxon, OX, UK ; New York : CAB International, c1997.</t>
  </si>
  <si>
    <t>350571221:eng</t>
  </si>
  <si>
    <t>35886135</t>
  </si>
  <si>
    <t>991002734909702656</t>
  </si>
  <si>
    <t>2264598770002656</t>
  </si>
  <si>
    <t>9780851991412</t>
  </si>
  <si>
    <t>32285003556403</t>
  </si>
  <si>
    <t>893421733</t>
  </si>
  <si>
    <t>QL506 .E96 1987</t>
  </si>
  <si>
    <t>0                      QL 0506000E  96          1987</t>
  </si>
  <si>
    <t>Evolutionary biology of orthopteroid insects / editor, Baccio M. Baccetti.</t>
  </si>
  <si>
    <t>Chichester, West Sussex, England : E. Horwood ; New York : Halsted Press, 1987.</t>
  </si>
  <si>
    <t>54942085:eng</t>
  </si>
  <si>
    <t>15550532</t>
  </si>
  <si>
    <t>991001037989702656</t>
  </si>
  <si>
    <t>2256314300002656</t>
  </si>
  <si>
    <t>9780745802084</t>
  </si>
  <si>
    <t>32285001687457</t>
  </si>
  <si>
    <t>893327819</t>
  </si>
  <si>
    <t>QL506 .O78 1983</t>
  </si>
  <si>
    <t>0                      QL 0506000O  78          1983</t>
  </si>
  <si>
    <t>Orthopteran mating systems : sexual competition in a diverse group of insects / edited by Darryl T. Gwynne and Glenn K. Morris.</t>
  </si>
  <si>
    <t>Boulder, Colo. : Westview Press, 1983.</t>
  </si>
  <si>
    <t>A Westview science study</t>
  </si>
  <si>
    <t>2007-02-26</t>
  </si>
  <si>
    <t>796066173:eng</t>
  </si>
  <si>
    <t>9274647</t>
  </si>
  <si>
    <t>991000161219702656</t>
  </si>
  <si>
    <t>2265117230002656</t>
  </si>
  <si>
    <t>9780865313910</t>
  </si>
  <si>
    <t>32285001687465</t>
  </si>
  <si>
    <t>893790301</t>
  </si>
  <si>
    <t>QL507.4.G7 M37 1988</t>
  </si>
  <si>
    <t>0                      QL 0507400G  7                  M  37          1988</t>
  </si>
  <si>
    <t>Grasshoppers and allied insects of Great Britain and Ireland / Judith A. Marshall &amp; E.C.M. Haes ; with colour plates and text figures by Denys Ovenden.</t>
  </si>
  <si>
    <t>Marshall, Judith A.</t>
  </si>
  <si>
    <t>Essex : Harley, 1988.</t>
  </si>
  <si>
    <t>1994-10-04</t>
  </si>
  <si>
    <t>1990-01-09</t>
  </si>
  <si>
    <t>17619500:eng</t>
  </si>
  <si>
    <t>24430718</t>
  </si>
  <si>
    <t>991001361319702656</t>
  </si>
  <si>
    <t>2268180540002656</t>
  </si>
  <si>
    <t>9780946589135</t>
  </si>
  <si>
    <t>32285000026681</t>
  </si>
  <si>
    <t>893778742</t>
  </si>
  <si>
    <t>QL507.4.S34 H6 1986</t>
  </si>
  <si>
    <t>0                      QL 0507400S  34                 H  6           1986</t>
  </si>
  <si>
    <t>The Saltatoria (bush-crickets, crickets and grasshoppers) of northern Europe / by Knud Th. Holst.</t>
  </si>
  <si>
    <t>Holst, Knud Th.</t>
  </si>
  <si>
    <t>Leiden : E.J. Brill ; Copenhagen : Scandinavian Science Press, c1986.</t>
  </si>
  <si>
    <t>Fauna entomologica Scandinavica, 0106-8377 ; v. 16</t>
  </si>
  <si>
    <t>7686362:eng</t>
  </si>
  <si>
    <t>13786732</t>
  </si>
  <si>
    <t>991000869819702656</t>
  </si>
  <si>
    <t>2267818090002656</t>
  </si>
  <si>
    <t>9789004078604</t>
  </si>
  <si>
    <t>32285001687473</t>
  </si>
  <si>
    <t>893720828</t>
  </si>
  <si>
    <t>QL507.7 .R46 1996</t>
  </si>
  <si>
    <t>0                      QL 0507700R  46          1996</t>
  </si>
  <si>
    <t>Grasshopper country : the abundant orthopteroid insects of Australia / D.C.F. Rentz.</t>
  </si>
  <si>
    <t>Rentz, David C.</t>
  </si>
  <si>
    <t>Sydney, Australia : UNSW Press, 1996.</t>
  </si>
  <si>
    <t>51677040:eng</t>
  </si>
  <si>
    <t>35636469</t>
  </si>
  <si>
    <t>991002716789702656</t>
  </si>
  <si>
    <t>2267178880002656</t>
  </si>
  <si>
    <t>9780868400631</t>
  </si>
  <si>
    <t>32285002433299</t>
  </si>
  <si>
    <t>893227195</t>
  </si>
  <si>
    <t>QL508.A2 B43</t>
  </si>
  <si>
    <t>0                      QL 0508000A  2                  B  43</t>
  </si>
  <si>
    <t>Locusts and grasshoppers of the U.S.S.R. and adjacent countries. (Saranchevye fauny SSSR i sopredelʹnykh stran) [by] G.Ya. Bei-Bienko and L.L. Mishchenko. Translated from Russian [and edited by IPST staff].</t>
  </si>
  <si>
    <t>Beĭ-Bienko, G. I︠A︡. (Grigoriĭ I︠A︡kovlevich), 1903-1971.</t>
  </si>
  <si>
    <t>Jerusalem, Israel Program for Scientific Translations; [available from the Office of Technical Services, U.S. Dept. of Commerce, Washington] 1963-64.</t>
  </si>
  <si>
    <t>3372157948:eng</t>
  </si>
  <si>
    <t>12723704</t>
  </si>
  <si>
    <t>991000730589702656</t>
  </si>
  <si>
    <t>2268758750002656</t>
  </si>
  <si>
    <t>32285002980950</t>
  </si>
  <si>
    <t>893255681</t>
  </si>
  <si>
    <t>32285002980968</t>
  </si>
  <si>
    <t>893237563</t>
  </si>
  <si>
    <t>QL508.A2 B55 1990</t>
  </si>
  <si>
    <t>0                      QL 0508000A  2                  B  55          1990</t>
  </si>
  <si>
    <t>Biology of grasshoppers / edited by R.F. Chapman, A. Joern.</t>
  </si>
  <si>
    <t>New York : Wiley, c1990.</t>
  </si>
  <si>
    <t>1990-11-05</t>
  </si>
  <si>
    <t>349960533:eng</t>
  </si>
  <si>
    <t>20294837</t>
  </si>
  <si>
    <t>991001557939702656</t>
  </si>
  <si>
    <t>2260068030002656</t>
  </si>
  <si>
    <t>9780471609018</t>
  </si>
  <si>
    <t>32285000313311</t>
  </si>
  <si>
    <t>893602676</t>
  </si>
  <si>
    <t>QL508.A2 C25 2004</t>
  </si>
  <si>
    <t>0                      QL 0508000A  2                  C  25          2004</t>
  </si>
  <si>
    <t>Field guide to grasshoppers, katydids, and crickets of the United States / John L. Capinera, Ralph D. Scott, and Thomas J. Walker.</t>
  </si>
  <si>
    <t>Capinera, John L.</t>
  </si>
  <si>
    <t>Ithaca, N.Y. : Comstock Pub. Associates/Cornell University Press, 2004.</t>
  </si>
  <si>
    <t>2005-05-19</t>
  </si>
  <si>
    <t>885906:eng</t>
  </si>
  <si>
    <t>55138832</t>
  </si>
  <si>
    <t>991004531559702656</t>
  </si>
  <si>
    <t>2264497340002656</t>
  </si>
  <si>
    <t>9780801442605</t>
  </si>
  <si>
    <t>32285005038350</t>
  </si>
  <si>
    <t>893325476</t>
  </si>
  <si>
    <t>QL508.A2 O88 1981, v...</t>
  </si>
  <si>
    <t>0                      QL 0508000A  2                  O  88          1981                  v...</t>
  </si>
  <si>
    <t>The North American grasshoppers / Daniel Otte.</t>
  </si>
  <si>
    <t>Otte, Daniel.</t>
  </si>
  <si>
    <t>Cambridge, Mass. : Harvard University Press, 1981-</t>
  </si>
  <si>
    <t>1998-06-02</t>
  </si>
  <si>
    <t>430139:eng</t>
  </si>
  <si>
    <t>7671542</t>
  </si>
  <si>
    <t>991005146249702656</t>
  </si>
  <si>
    <t>2272612140002656</t>
  </si>
  <si>
    <t>9780674626607</t>
  </si>
  <si>
    <t>32285000225200</t>
  </si>
  <si>
    <t>893507684</t>
  </si>
  <si>
    <t>QL508.B6 G88 1968</t>
  </si>
  <si>
    <t>0                      QL 0508000B  6                  G  88          1968</t>
  </si>
  <si>
    <t>The biology of the cockroach / [by] D. M. Guthrie [and] A. R. Tindall.</t>
  </si>
  <si>
    <t>Guthrie, D. M. (David Maltby)</t>
  </si>
  <si>
    <t>New York : St. Martin's Press, 1968.</t>
  </si>
  <si>
    <t>1992-11-02</t>
  </si>
  <si>
    <t>1287110:eng</t>
  </si>
  <si>
    <t>448240</t>
  </si>
  <si>
    <t>991002802599702656</t>
  </si>
  <si>
    <t>2266642740002656</t>
  </si>
  <si>
    <t>32285001379758</t>
  </si>
  <si>
    <t>893716928</t>
  </si>
  <si>
    <t>QL508.M4 P7 1999</t>
  </si>
  <si>
    <t>0                      QL 0508000M  4                  P  7           1999</t>
  </si>
  <si>
    <t>The praying mantids / edited by Frederick R. Prete ... [et al.].</t>
  </si>
  <si>
    <t>Baltimore : Johns Hopkins University Press, 1999.</t>
  </si>
  <si>
    <t>2000-07-31</t>
  </si>
  <si>
    <t>56459176:eng</t>
  </si>
  <si>
    <t>42275011</t>
  </si>
  <si>
    <t>991003225079702656</t>
  </si>
  <si>
    <t>2270963630002656</t>
  </si>
  <si>
    <t>9780801861741</t>
  </si>
  <si>
    <t>32285003743803</t>
  </si>
  <si>
    <t>893416174</t>
  </si>
  <si>
    <t>QL508.T4 G89 2001</t>
  </si>
  <si>
    <t>0                      QL 0508000T  4                  G  89          2001</t>
  </si>
  <si>
    <t>Katydids and bush-crickets : reproductive behavior and evolution of the Tettigoniidae / Darryl T. Gwynne.</t>
  </si>
  <si>
    <t>Gwynne, Darryl T.</t>
  </si>
  <si>
    <t>Ithaca : Comstock Pub. Associates, 2001.</t>
  </si>
  <si>
    <t>Cornell series in arthropod biology</t>
  </si>
  <si>
    <t>2002-09-10</t>
  </si>
  <si>
    <t>6188787:eng</t>
  </si>
  <si>
    <t>45230349</t>
  </si>
  <si>
    <t>991003860149702656</t>
  </si>
  <si>
    <t>2268802760002656</t>
  </si>
  <si>
    <t>9780801436550</t>
  </si>
  <si>
    <t>32285004646567</t>
  </si>
  <si>
    <t>893868966</t>
  </si>
  <si>
    <t>QL508.T4 R45 1985</t>
  </si>
  <si>
    <t>0                      QL 0508000T  4                  R  45          1985</t>
  </si>
  <si>
    <t>The Tettigoniinae / D.C.F. Rentz ; with an appendix by D.H. Colless.</t>
  </si>
  <si>
    <t>[Victoria] Australia : Commonwealth Scientific and Industrial Research Organization, 1985.</t>
  </si>
  <si>
    <t xml:space="preserve">au </t>
  </si>
  <si>
    <t>A Monograph of the Tettigoniidae of Australia ; v. 1</t>
  </si>
  <si>
    <t>2001-10-02</t>
  </si>
  <si>
    <t>1992-04-02</t>
  </si>
  <si>
    <t>10303897:eng</t>
  </si>
  <si>
    <t>15276126</t>
  </si>
  <si>
    <t>991001009429702656</t>
  </si>
  <si>
    <t>2261107940002656</t>
  </si>
  <si>
    <t>9780643038394</t>
  </si>
  <si>
    <t>32285001008555</t>
  </si>
  <si>
    <t>893626537</t>
  </si>
  <si>
    <t>QL513.T3 B5</t>
  </si>
  <si>
    <t>0                      QL 0513000T  3                  B  5</t>
  </si>
  <si>
    <t>Biology of termites / edited by Kumar Krishna and Frances M. Weesner.</t>
  </si>
  <si>
    <t>New York : Academic Press, 1969-70.</t>
  </si>
  <si>
    <t>2000-02-24</t>
  </si>
  <si>
    <t>1992-10-29</t>
  </si>
  <si>
    <t>364361011:eng</t>
  </si>
  <si>
    <t>1620</t>
  </si>
  <si>
    <t>991005433099702656</t>
  </si>
  <si>
    <t>2271301350002656</t>
  </si>
  <si>
    <t>32285000955889</t>
  </si>
  <si>
    <t>893613703</t>
  </si>
  <si>
    <t>32285001387777</t>
  </si>
  <si>
    <t>893595058</t>
  </si>
  <si>
    <t>QL520 .B76 2003</t>
  </si>
  <si>
    <t>0                      QL 0520000B  76          2003</t>
  </si>
  <si>
    <t>Dragonflies / Steve Brooks.</t>
  </si>
  <si>
    <t>Brooks, S. J.</t>
  </si>
  <si>
    <t>Washington, D.C. : Smithsonian Books, in association with the Natural History Museum, London, c2003.</t>
  </si>
  <si>
    <t>Natural world series</t>
  </si>
  <si>
    <t>2003-09-30</t>
  </si>
  <si>
    <t>3943445906:eng</t>
  </si>
  <si>
    <t>50693204</t>
  </si>
  <si>
    <t>991004141779702656</t>
  </si>
  <si>
    <t>2255961970002656</t>
  </si>
  <si>
    <t>9781588340641</t>
  </si>
  <si>
    <t>32285004796545</t>
  </si>
  <si>
    <t>893442252</t>
  </si>
  <si>
    <t>QL520.2.U6 A23 2005</t>
  </si>
  <si>
    <t>0                      QL 0520200U  6                  A  23          2005</t>
  </si>
  <si>
    <t>Dragonflies and damselflies of Texas and the South-Central United States : Texas, Louisiana, Arkansas, Oklahoma, and New Mexico / John C. Abbott.</t>
  </si>
  <si>
    <t>Abbott, John C., 1972-</t>
  </si>
  <si>
    <t>Princeton, N.J. : Princeton University Press, c2005.</t>
  </si>
  <si>
    <t>2010-03-02</t>
  </si>
  <si>
    <t>2005-08-17</t>
  </si>
  <si>
    <t>257434138:eng</t>
  </si>
  <si>
    <t>54685968</t>
  </si>
  <si>
    <t>991004629949702656</t>
  </si>
  <si>
    <t>2265817740002656</t>
  </si>
  <si>
    <t>9780691113630</t>
  </si>
  <si>
    <t>32285005081475</t>
  </si>
  <si>
    <t>893788933</t>
  </si>
  <si>
    <t>QL520.2.U6 D87 2000</t>
  </si>
  <si>
    <t>0                      QL 0520200U  6                  D  87          2000</t>
  </si>
  <si>
    <t>Dragonflies through binoculars : a field guide to dragonflies of North America / by Sidney W. Dunkle.</t>
  </si>
  <si>
    <t>Dunkle, Sidney W., 1940-</t>
  </si>
  <si>
    <t>New York : Oxford University, c2000.</t>
  </si>
  <si>
    <t>Butterflies [and others] through binoculars field guide series</t>
  </si>
  <si>
    <t>6235145:eng</t>
  </si>
  <si>
    <t>41488813</t>
  </si>
  <si>
    <t>991003671579702656</t>
  </si>
  <si>
    <t>2257673260002656</t>
  </si>
  <si>
    <t>9780195112689</t>
  </si>
  <si>
    <t>32285004429774</t>
  </si>
  <si>
    <t>893342841</t>
  </si>
  <si>
    <t>QL520.24.G7 M55 1987</t>
  </si>
  <si>
    <t>0                      QL 0520240G  7                  M  55          1987</t>
  </si>
  <si>
    <t>Dragonflies / P.L. Miller ; plates by Rupert Lee ; figures by Sophie Allington ; figures for the key to adults by David Chelmick ; key to larvae by Graham Vick ; key to adults by David Chelmick.</t>
  </si>
  <si>
    <t>Miller, P. L.</t>
  </si>
  <si>
    <t>Cambridge [Cambridgeshire] ; New York : Cambridge University Press, 1987.</t>
  </si>
  <si>
    <t>Naturalists' handbooks ; 7</t>
  </si>
  <si>
    <t>8558024:eng</t>
  </si>
  <si>
    <t>14967163</t>
  </si>
  <si>
    <t>991000973219702656</t>
  </si>
  <si>
    <t>2262338390002656</t>
  </si>
  <si>
    <t>9780521317658</t>
  </si>
  <si>
    <t>32285001687481</t>
  </si>
  <si>
    <t>893340051</t>
  </si>
  <si>
    <t>QL521 .S38 1995</t>
  </si>
  <si>
    <t>0                      QL 0521000S  38          1995</t>
  </si>
  <si>
    <t>True bugs of the world (Hemiptera:Heteroptera) : classification and natural history / Randall T. Schuh, James A. Slater.</t>
  </si>
  <si>
    <t>Schuh, Randall T.</t>
  </si>
  <si>
    <t>Ithaca : Comstock Pub. Associates, 1995.</t>
  </si>
  <si>
    <t>1996-06-17</t>
  </si>
  <si>
    <t>959344:eng</t>
  </si>
  <si>
    <t>31132787</t>
  </si>
  <si>
    <t>991002396439702656</t>
  </si>
  <si>
    <t>2271286550002656</t>
  </si>
  <si>
    <t>9780801420665</t>
  </si>
  <si>
    <t>32285002193638</t>
  </si>
  <si>
    <t>893627110</t>
  </si>
  <si>
    <t>QL531 .M84 1982</t>
  </si>
  <si>
    <t>0                      QL 0531000M  84          1982</t>
  </si>
  <si>
    <t>Behaviour patterns of blood-sucking flies / E.C. Muirhead-Thomson.</t>
  </si>
  <si>
    <t>Oxford ; New York : Pergamon Press, 1982.</t>
  </si>
  <si>
    <t>407672:eng</t>
  </si>
  <si>
    <t>7999445</t>
  </si>
  <si>
    <t>991005191379702656</t>
  </si>
  <si>
    <t>2258063110002656</t>
  </si>
  <si>
    <t>9780080254975</t>
  </si>
  <si>
    <t>32285001687499</t>
  </si>
  <si>
    <t>893606985</t>
  </si>
  <si>
    <t>QL533 .D4</t>
  </si>
  <si>
    <t>0                      QL 0533000D  4</t>
  </si>
  <si>
    <t>To know a fly / illustrated by Bill Clark and Vincent Dethier.</t>
  </si>
  <si>
    <t>Dethier, V. G. (Vincent Gaston), 1915-1993.</t>
  </si>
  <si>
    <t>San Francisco : Holden-Day, 1962.</t>
  </si>
  <si>
    <t>2005-01-21</t>
  </si>
  <si>
    <t>1303386:eng</t>
  </si>
  <si>
    <t>173465</t>
  </si>
  <si>
    <t>991001012489702656</t>
  </si>
  <si>
    <t>2268440940002656</t>
  </si>
  <si>
    <t>32285001056869</t>
  </si>
  <si>
    <t>893884963</t>
  </si>
  <si>
    <t>QL533 .F2</t>
  </si>
  <si>
    <t>0                      QL 0533000F  2</t>
  </si>
  <si>
    <t>The life of the fly : with which are interspersed some chapters of autobiography / by J. Henry Fabre ; tr. by Alexander Teixeira de Mattos.</t>
  </si>
  <si>
    <t>New York : Dodd, Mead, and Company, 1913.</t>
  </si>
  <si>
    <t>1913</t>
  </si>
  <si>
    <t>1994-02-07</t>
  </si>
  <si>
    <t>2863417300:eng</t>
  </si>
  <si>
    <t>1004912</t>
  </si>
  <si>
    <t>991003463009702656</t>
  </si>
  <si>
    <t>2255279110002656</t>
  </si>
  <si>
    <t>32285001056851</t>
  </si>
  <si>
    <t>893711384</t>
  </si>
  <si>
    <t>QL535.1 .C63</t>
  </si>
  <si>
    <t>0                      QL 0535100C  63</t>
  </si>
  <si>
    <t>The flies of western North America, by Frank R. Cole with the collaboration of Evert I. Schlinger.</t>
  </si>
  <si>
    <t>Cole, Frank R. (Frank Raymond)</t>
  </si>
  <si>
    <t>Berkeley, University of California Press, 1969.</t>
  </si>
  <si>
    <t>1218916:eng</t>
  </si>
  <si>
    <t>49352</t>
  </si>
  <si>
    <t>991000116449702656</t>
  </si>
  <si>
    <t>2263577610002656</t>
  </si>
  <si>
    <t>32285002981081</t>
  </si>
  <si>
    <t>893871420</t>
  </si>
  <si>
    <t>QL535.1.A1 C37 1983</t>
  </si>
  <si>
    <t>0                      QL 0535100A  1                  C  37          1983</t>
  </si>
  <si>
    <t>A Catalog of the Diptera of America north of Mexico / prepared cooperatively by specialists on the various groups of Diptera under the direction of Alan Stone ... [et al.], Agricultural Research Service, United States Department of Agriculture.</t>
  </si>
  <si>
    <t>Washington, D.C. : Smithsonian Institution Press, 1983.</t>
  </si>
  <si>
    <t>5534160030:eng</t>
  </si>
  <si>
    <t>9256341</t>
  </si>
  <si>
    <t>991000159319702656</t>
  </si>
  <si>
    <t>2256181970002656</t>
  </si>
  <si>
    <t>9780874748901</t>
  </si>
  <si>
    <t>32285001687507</t>
  </si>
  <si>
    <t>893890466</t>
  </si>
  <si>
    <t>QL536 .B38</t>
  </si>
  <si>
    <t>0                      QL 0536000B  38</t>
  </si>
  <si>
    <t>The natural history of mosquitoes.</t>
  </si>
  <si>
    <t>New York : Macmillan Co., 1949.</t>
  </si>
  <si>
    <t>1556654:eng</t>
  </si>
  <si>
    <t>479885</t>
  </si>
  <si>
    <t>991002835759702656</t>
  </si>
  <si>
    <t>2263753100002656</t>
  </si>
  <si>
    <t>32285000955871</t>
  </si>
  <si>
    <t>893440578</t>
  </si>
  <si>
    <t>QL536 .M24 1966</t>
  </si>
  <si>
    <t>0                      QL 0536000M  24          1966</t>
  </si>
  <si>
    <t>Handbook of the mosquitoes of North America : their anatomy and biology : how they can be studied and how identified, how they carry disease, and how they can be controlled.</t>
  </si>
  <si>
    <t>Matheson, Robert, 1881-1958.</t>
  </si>
  <si>
    <t>New York : Hafner Pub. Co., 1966 [c1944]</t>
  </si>
  <si>
    <t>2d ed., rev. and amplified.</t>
  </si>
  <si>
    <t>2010-02-27</t>
  </si>
  <si>
    <t>2238862:eng</t>
  </si>
  <si>
    <t>775002</t>
  </si>
  <si>
    <t>991003249989702656</t>
  </si>
  <si>
    <t>2266719320002656</t>
  </si>
  <si>
    <t>32285000955863</t>
  </si>
  <si>
    <t>893240008</t>
  </si>
  <si>
    <t>QL536 .S54 2005</t>
  </si>
  <si>
    <t>0                      QL 0536000S  54          2005</t>
  </si>
  <si>
    <t>Mosquito bite / Alexandra Siy &amp; Dennis Kunkel.</t>
  </si>
  <si>
    <t>Siy, Alexandra.</t>
  </si>
  <si>
    <t>Watertown, MA : Charlesbridge, c2005.</t>
  </si>
  <si>
    <t>2008-04-02</t>
  </si>
  <si>
    <t>2006-03-14</t>
  </si>
  <si>
    <t>103596453:eng</t>
  </si>
  <si>
    <t>56368374</t>
  </si>
  <si>
    <t>991004764709702656</t>
  </si>
  <si>
    <t>2260099430002656</t>
  </si>
  <si>
    <t>9781570915918</t>
  </si>
  <si>
    <t>32285005165021</t>
  </si>
  <si>
    <t>893679705</t>
  </si>
  <si>
    <t>QL536.G87</t>
  </si>
  <si>
    <t>0                      QL 0536000G  87</t>
  </si>
  <si>
    <t>Diptera : mosquitoes, family Culicidae / A.V. Gutsevich, A.S. Monchadskii, and A.A. Shtakelʹberg ; translated from Russian [by Rose Lavoott ; edited by O. Theodor].</t>
  </si>
  <si>
    <t>Gut͡sevich, A. V. (Aleksandr Vasilʹevich), 1903-</t>
  </si>
  <si>
    <t>Jerusalem : Israel Program for Scientific Translations ; Springfield, Va. : available from the U.S. Dept. of Commerce, National Technical Information Service, 1974.</t>
  </si>
  <si>
    <t>Diptera ; v. 3, no. 4</t>
  </si>
  <si>
    <t>1992-10-06</t>
  </si>
  <si>
    <t>3901101961:eng</t>
  </si>
  <si>
    <t>1853621</t>
  </si>
  <si>
    <t>991003911949702656</t>
  </si>
  <si>
    <t>2264625160002656</t>
  </si>
  <si>
    <t>9780706514759</t>
  </si>
  <si>
    <t>32285001366680</t>
  </si>
  <si>
    <t>893525418</t>
  </si>
  <si>
    <t>QL537.C24 D47</t>
  </si>
  <si>
    <t>0                      QL 0537000C  24                 D  47</t>
  </si>
  <si>
    <t>The hungry fly : a physiological study of the behavior associated with feeding / V. G. Dethier.</t>
  </si>
  <si>
    <t>Cambridge, Mass. : Harvard University Press, 1976.</t>
  </si>
  <si>
    <t>825807438:eng</t>
  </si>
  <si>
    <t>1255001</t>
  </si>
  <si>
    <t>991003651269702656</t>
  </si>
  <si>
    <t>2258445490002656</t>
  </si>
  <si>
    <t>9780674427105</t>
  </si>
  <si>
    <t>32285000773670</t>
  </si>
  <si>
    <t>893717933</t>
  </si>
  <si>
    <t>QL537.D75 K5</t>
  </si>
  <si>
    <t>0                      QL 0537000D  75                 K  5</t>
  </si>
  <si>
    <t>Ovarian development in Drosophila melanogaster / [by] Robert C. King.</t>
  </si>
  <si>
    <t>King, Robert C.</t>
  </si>
  <si>
    <t>2002-03-21</t>
  </si>
  <si>
    <t>1995-08-09</t>
  </si>
  <si>
    <t>1306130:eng</t>
  </si>
  <si>
    <t>92495</t>
  </si>
  <si>
    <t>991000550399702656</t>
  </si>
  <si>
    <t>2262582570002656</t>
  </si>
  <si>
    <t>32285002063179</t>
  </si>
  <si>
    <t>893708471</t>
  </si>
  <si>
    <t>QL537.D76 D48 1993</t>
  </si>
  <si>
    <t>0                      QL 0537000D  76                 D  48          1993</t>
  </si>
  <si>
    <t>The Development of Drosophila melanogaster / edited by Michael Bate, Alfonso Martinez Arias.</t>
  </si>
  <si>
    <t>Plainview, N.Y. : Cold Spring Harbor Laboratory Press, 1993.</t>
  </si>
  <si>
    <t>350539034:eng</t>
  </si>
  <si>
    <t>27187165</t>
  </si>
  <si>
    <t>991002122939702656</t>
  </si>
  <si>
    <t>2267524700002656</t>
  </si>
  <si>
    <t>9780879694234</t>
  </si>
  <si>
    <t>32285002137205</t>
  </si>
  <si>
    <t>893244778</t>
  </si>
  <si>
    <t>32285002137197</t>
  </si>
  <si>
    <t>893256904</t>
  </si>
  <si>
    <t>QL537.D76 E97 1981</t>
  </si>
  <si>
    <t>0                      QL 0537000D  76                 E  97          1981</t>
  </si>
  <si>
    <t>Advances in genetics, development, and evolution of drosophilia / edited by Seppo Lakovaara.</t>
  </si>
  <si>
    <t>European Drosophila Research Conference (7th : 1981 : University of Oulu)</t>
  </si>
  <si>
    <t>2002-02-21</t>
  </si>
  <si>
    <t>355955871:eng</t>
  </si>
  <si>
    <t>8495201</t>
  </si>
  <si>
    <t>991005252589702656</t>
  </si>
  <si>
    <t>2260750970002656</t>
  </si>
  <si>
    <t>9780306411069</t>
  </si>
  <si>
    <t>32285001687515</t>
  </si>
  <si>
    <t>893707533</t>
  </si>
  <si>
    <t>QL537.D76 H36 1982</t>
  </si>
  <si>
    <t>0                      QL 0537000D  76                 H  36          1982</t>
  </si>
  <si>
    <t>A handbook of Drosophila development / edited by Robert Ransom.</t>
  </si>
  <si>
    <t>Amsterdam ; New York : Elsevier Biomedical Press ; New York : Sole distributors for U.S. and Canada, Elsevier Science Publishing Co., 1982.</t>
  </si>
  <si>
    <t>2002-03-06</t>
  </si>
  <si>
    <t>1992-11-23</t>
  </si>
  <si>
    <t>54470604:eng</t>
  </si>
  <si>
    <t>8032161</t>
  </si>
  <si>
    <t>991005193219702656</t>
  </si>
  <si>
    <t>2268955900002656</t>
  </si>
  <si>
    <t>9780444803665</t>
  </si>
  <si>
    <t>32285001408474</t>
  </si>
  <si>
    <t>893870671</t>
  </si>
  <si>
    <t>QL537.D76 H38 1993</t>
  </si>
  <si>
    <t>0                      QL 0537000D  76                 H  38          1993</t>
  </si>
  <si>
    <t>Atlas of Drosophila development / Volker Hartenstein.</t>
  </si>
  <si>
    <t>Hartenstein, Volker, 1957-</t>
  </si>
  <si>
    <t>642763:eng</t>
  </si>
  <si>
    <t>29631848</t>
  </si>
  <si>
    <t>991002284319702656</t>
  </si>
  <si>
    <t>2256363380002656</t>
  </si>
  <si>
    <t>32285002137213</t>
  </si>
  <si>
    <t>893879721</t>
  </si>
  <si>
    <t>QL537.D76 H383 1995</t>
  </si>
  <si>
    <t>0                      QL 0537000D  76                 H  383         1995</t>
  </si>
  <si>
    <t>The drosophila genome map : a practical guide / Daniel L. Hartl, Elena R. Lozovskaya.</t>
  </si>
  <si>
    <t>Hartl, Daniel L.</t>
  </si>
  <si>
    <t>New York : Springer-Verlag ; Austin, Tex., U.S.A. : R.G. Landes, c1995.</t>
  </si>
  <si>
    <t>Molecular biology intelligence unit</t>
  </si>
  <si>
    <t>33658921:eng</t>
  </si>
  <si>
    <t>32052870</t>
  </si>
  <si>
    <t>991002460779702656</t>
  </si>
  <si>
    <t>2267063830002656</t>
  </si>
  <si>
    <t>9781570591013</t>
  </si>
  <si>
    <t>32285002192960</t>
  </si>
  <si>
    <t>893433913</t>
  </si>
  <si>
    <t>QL537.D76 I57 1979</t>
  </si>
  <si>
    <t>0                      QL 0537000D  76                 I  57          1979</t>
  </si>
  <si>
    <t>Development and neurobiology of Drosophila / edited by O. Siddiqi ... [et al.].</t>
  </si>
  <si>
    <t>International Conference on Development and Behavior of Drosophila Melanogaster (1979 : Tata Institute of Fundamental Research)</t>
  </si>
  <si>
    <t>Basic life sciences ; v. 16</t>
  </si>
  <si>
    <t>2002-02-23</t>
  </si>
  <si>
    <t>1993-04-27</t>
  </si>
  <si>
    <t>147106867:eng</t>
  </si>
  <si>
    <t>6603304</t>
  </si>
  <si>
    <t>991005011999702656</t>
  </si>
  <si>
    <t>2254818850002656</t>
  </si>
  <si>
    <t>9780306405594</t>
  </si>
  <si>
    <t>32285001627396</t>
  </si>
  <si>
    <t>893260434</t>
  </si>
  <si>
    <t>QL537.D76 L39 1992</t>
  </si>
  <si>
    <t>0                      QL 0537000D  76                 L  39          1992</t>
  </si>
  <si>
    <t>The making of a fly : the genetics of animal design / by Peter A. Lawrence.</t>
  </si>
  <si>
    <t>Lawrence, Peter A. (Peter Anthony), 1941-</t>
  </si>
  <si>
    <t>Oxford ; Boston : Blackwell Scientific Publications, 1992.</t>
  </si>
  <si>
    <t>1992-11-19</t>
  </si>
  <si>
    <t>926353:eng</t>
  </si>
  <si>
    <t>24211238</t>
  </si>
  <si>
    <t>991001916499702656</t>
  </si>
  <si>
    <t>2255902150002656</t>
  </si>
  <si>
    <t>9780632030484</t>
  </si>
  <si>
    <t>32285001363927</t>
  </si>
  <si>
    <t>893785499</t>
  </si>
  <si>
    <t>QL537.M6 S7</t>
  </si>
  <si>
    <t>0                      QL 0537000M  6                  S  7</t>
  </si>
  <si>
    <t>The North American species of Drosophila, by A. H. Sturtevant.</t>
  </si>
  <si>
    <t>Sturtevant, A. H. (Alfred Henry), 1891-1970.</t>
  </si>
  <si>
    <t>Washington, The Carnegie Institution of Washington, 1921.</t>
  </si>
  <si>
    <t>1921</t>
  </si>
  <si>
    <t>Carnegie Institution of Washington. Publication no. 301</t>
  </si>
  <si>
    <t>69439878:eng</t>
  </si>
  <si>
    <t>2421918</t>
  </si>
  <si>
    <t>991004118059702656</t>
  </si>
  <si>
    <t>2263684110002656</t>
  </si>
  <si>
    <t>32285002981115</t>
  </si>
  <si>
    <t>893411142</t>
  </si>
  <si>
    <t>QL537.T42 F765 1996</t>
  </si>
  <si>
    <t>0                      QL 0537000T  42                 F  765         1996</t>
  </si>
  <si>
    <t>Fruit fly pests : a world assessment of their biology and management / edited by Bruce A. McPheron, Gary J. Steck.</t>
  </si>
  <si>
    <t>Delray Beach, FL : St. Lucie Press, c1996.</t>
  </si>
  <si>
    <t>1998-10-05</t>
  </si>
  <si>
    <t>1996-03-26</t>
  </si>
  <si>
    <t>23644757:eng</t>
  </si>
  <si>
    <t>34343237</t>
  </si>
  <si>
    <t>991002620719702656</t>
  </si>
  <si>
    <t>2265503090002656</t>
  </si>
  <si>
    <t>9781574440140</t>
  </si>
  <si>
    <t>32285002146636</t>
  </si>
  <si>
    <t>893262379</t>
  </si>
  <si>
    <t>QL537.T42 F775 2000</t>
  </si>
  <si>
    <t>0                      QL 0537000T  42                 F  775         2000</t>
  </si>
  <si>
    <t>Fruit flies (Tephritidae) : phylogeny and evolution of behavior / edited by Martín Aluja, Allen L. Norrbom.</t>
  </si>
  <si>
    <t>2000-07-25</t>
  </si>
  <si>
    <t>801480045:eng</t>
  </si>
  <si>
    <t>42429272</t>
  </si>
  <si>
    <t>991003216799702656</t>
  </si>
  <si>
    <t>2257165820002656</t>
  </si>
  <si>
    <t>9780849312755</t>
  </si>
  <si>
    <t>32285003741997</t>
  </si>
  <si>
    <t>893233924</t>
  </si>
  <si>
    <t>QL541 .B56 1984</t>
  </si>
  <si>
    <t>0                      QL 0541000B  56          1984</t>
  </si>
  <si>
    <t>The Biology of butterflies / dedicated to E.B. Ford ; edited by R.I. Vane-Wright and P.R. Ackery.</t>
  </si>
  <si>
    <t>London : Academic Press for the Royal Entomological Society of London, 1984.</t>
  </si>
  <si>
    <t>Symposium of the Royal Entomological Society of London ; no. 11</t>
  </si>
  <si>
    <t>2010-02-03</t>
  </si>
  <si>
    <t>1992-04-27</t>
  </si>
  <si>
    <t>355817008:eng</t>
  </si>
  <si>
    <t>11651920</t>
  </si>
  <si>
    <t>991000571829702656</t>
  </si>
  <si>
    <t>2272126730002656</t>
  </si>
  <si>
    <t>32285001072494</t>
  </si>
  <si>
    <t>893243392</t>
  </si>
  <si>
    <t>QL542</t>
  </si>
  <si>
    <t>0                      QL 0542000</t>
  </si>
  <si>
    <t>A world for butterflies : their lives, behavior and future / Phil Schappert.</t>
  </si>
  <si>
    <t>Schappert, Phillip Joseph, 1956-</t>
  </si>
  <si>
    <t>Toronto : Key Porter Books, c2000.</t>
  </si>
  <si>
    <t>onc</t>
  </si>
  <si>
    <t>2002-11-04</t>
  </si>
  <si>
    <t>936245:eng</t>
  </si>
  <si>
    <t>43275891</t>
  </si>
  <si>
    <t>991003923669702656</t>
  </si>
  <si>
    <t>2269231290002656</t>
  </si>
  <si>
    <t>9781552631546</t>
  </si>
  <si>
    <t>32285004659974</t>
  </si>
  <si>
    <t>893429442</t>
  </si>
  <si>
    <t>QL542 .N33 2000</t>
  </si>
  <si>
    <t>0                      QL 0542000N  33          2000</t>
  </si>
  <si>
    <t>Nabokov's butterflies : unpublished and uncollected writings / edited and annotated by Brian Boyd and Robert Michael Pyle ; new translations from the Russian by Dmitri Nabokov.</t>
  </si>
  <si>
    <t>Nabokov, Vladimir Vladimirovich, 1899-1977.</t>
  </si>
  <si>
    <t>Boston : Beacon Press, c2000.</t>
  </si>
  <si>
    <t>2004-02-10</t>
  </si>
  <si>
    <t>2908620806:eng</t>
  </si>
  <si>
    <t>39787844</t>
  </si>
  <si>
    <t>991003358319702656</t>
  </si>
  <si>
    <t>2267378170002656</t>
  </si>
  <si>
    <t>9780807085400</t>
  </si>
  <si>
    <t>32285004277736</t>
  </si>
  <si>
    <t>893592454</t>
  </si>
  <si>
    <t>QL542 .S3613 1998</t>
  </si>
  <si>
    <t>0                      QL 0542000S  3613        1998</t>
  </si>
  <si>
    <t>Butterflies of the world / Valerio Sbordoni, Saverio Forestiero.</t>
  </si>
  <si>
    <t>Sbordoni, Valerio.</t>
  </si>
  <si>
    <t>Willowdale, Ont. : Firefly Books, 1998, c1985.</t>
  </si>
  <si>
    <t>1998-12-10</t>
  </si>
  <si>
    <t>994935:eng</t>
  </si>
  <si>
    <t>38105180</t>
  </si>
  <si>
    <t>991002891729702656</t>
  </si>
  <si>
    <t>2267845910002656</t>
  </si>
  <si>
    <t>9781552092101</t>
  </si>
  <si>
    <t>32285003505640</t>
  </si>
  <si>
    <t>893245782</t>
  </si>
  <si>
    <t>QL542 .Y68 1997</t>
  </si>
  <si>
    <t>0                      QL 0542000Y  68          1997</t>
  </si>
  <si>
    <t>The natural history of moths / Mark Young ; with illustrations by Lyn Wells and photographs by Roy Leverton.</t>
  </si>
  <si>
    <t>Young, Mark.</t>
  </si>
  <si>
    <t>London : Poyser, 1997.</t>
  </si>
  <si>
    <t>2009-06-02</t>
  </si>
  <si>
    <t>1997-10-03</t>
  </si>
  <si>
    <t>20693135:eng</t>
  </si>
  <si>
    <t>36279975</t>
  </si>
  <si>
    <t>991002764599702656</t>
  </si>
  <si>
    <t>2268145980002656</t>
  </si>
  <si>
    <t>9780856611032</t>
  </si>
  <si>
    <t>32285003252672</t>
  </si>
  <si>
    <t>893616545</t>
  </si>
  <si>
    <t>QL548 .M57 1987</t>
  </si>
  <si>
    <t>0                      QL 0548000M  57          1987</t>
  </si>
  <si>
    <t>Butterflies and moths : a guide to the more common American species / by Robert T. Mitchell and Herbert S. Zim ; illustrated by Andre Durenceau.</t>
  </si>
  <si>
    <t>Mitchell, Robert T.</t>
  </si>
  <si>
    <t>New York : Golden Press ; Racine, Wis. : Western Pub. Co., 1987.</t>
  </si>
  <si>
    <t>A Golden guide</t>
  </si>
  <si>
    <t>2000-05-19</t>
  </si>
  <si>
    <t>1991-12-13</t>
  </si>
  <si>
    <t>2120604:eng</t>
  </si>
  <si>
    <t>17229034</t>
  </si>
  <si>
    <t>991005408729702656</t>
  </si>
  <si>
    <t>2257259410002656</t>
  </si>
  <si>
    <t>9780307240521</t>
  </si>
  <si>
    <t>32285000905918</t>
  </si>
  <si>
    <t>893783637</t>
  </si>
  <si>
    <t>QL548 .P94 1981</t>
  </si>
  <si>
    <t>0                      QL 0548000P  94          1981</t>
  </si>
  <si>
    <t>The Audubon Society field guide to North American butterflies / Robert Michael Pyle ; visual key by Carol Nehring and Jane Opper.</t>
  </si>
  <si>
    <t>Pyle, Robert Michael.</t>
  </si>
  <si>
    <t>New York : Knopf : Distributed by Random House, c1981.</t>
  </si>
  <si>
    <t>A Chanticleer Press ed.</t>
  </si>
  <si>
    <t>Audubon Society field guide series</t>
  </si>
  <si>
    <t>2001-08-31</t>
  </si>
  <si>
    <t>1992-09-16</t>
  </si>
  <si>
    <t>2829672825:eng</t>
  </si>
  <si>
    <t>7646788</t>
  </si>
  <si>
    <t>991005143259702656</t>
  </si>
  <si>
    <t>2262612430002656</t>
  </si>
  <si>
    <t>9780394519142</t>
  </si>
  <si>
    <t>32285001300424</t>
  </si>
  <si>
    <t>893514115</t>
  </si>
  <si>
    <t>QL548 .S38 1986</t>
  </si>
  <si>
    <t>0                      QL 0548000S  38          1986</t>
  </si>
  <si>
    <t>The butterflies of North America : a natural history and field guide / James A. Scott.</t>
  </si>
  <si>
    <t>Scott, James A., 1946-</t>
  </si>
  <si>
    <t>Stanford, Calif. : Stanford University Press, 1986.</t>
  </si>
  <si>
    <t>3945344:eng</t>
  </si>
  <si>
    <t>11518801</t>
  </si>
  <si>
    <t>991000546759702656</t>
  </si>
  <si>
    <t>2269417580002656</t>
  </si>
  <si>
    <t>9780804712057</t>
  </si>
  <si>
    <t>32285001300416</t>
  </si>
  <si>
    <t>893339646</t>
  </si>
  <si>
    <t>QL548 .W75 1993</t>
  </si>
  <si>
    <t>0                      QL 0548000W  75          1993</t>
  </si>
  <si>
    <t>Peterson first guide to caterpillars of North America / Amy Bartlett Wright.</t>
  </si>
  <si>
    <t>Wright, Amy Bartlett.</t>
  </si>
  <si>
    <t>Boston : Houghton Mifflin, 1993.</t>
  </si>
  <si>
    <t>2008-09-26</t>
  </si>
  <si>
    <t>1997-03-20</t>
  </si>
  <si>
    <t>538507:eng</t>
  </si>
  <si>
    <t>26764220</t>
  </si>
  <si>
    <t>991002085829702656</t>
  </si>
  <si>
    <t>2268322120002656</t>
  </si>
  <si>
    <t>9780395564998</t>
  </si>
  <si>
    <t>32285002444742</t>
  </si>
  <si>
    <t>893529524</t>
  </si>
  <si>
    <t>QL549 .H73</t>
  </si>
  <si>
    <t>0                      QL 0549000H  73</t>
  </si>
  <si>
    <t>The butterfly book; a popular guide to a knowledge of the butterflies of North America, by W.J. Holland ... with 48 plates in color-photography, reproductions of butterflies in the author's collection, and many text illustrations presenting most of the species found in the United States.</t>
  </si>
  <si>
    <t>Holland, W. J. (William Jacob), 1848-1932.</t>
  </si>
  <si>
    <t>New York, Doubleday &amp; McClure Co., 1898.</t>
  </si>
  <si>
    <t>1898</t>
  </si>
  <si>
    <t>2324874:eng</t>
  </si>
  <si>
    <t>2214672</t>
  </si>
  <si>
    <t>991004052389702656</t>
  </si>
  <si>
    <t>2254891560002656</t>
  </si>
  <si>
    <t>32285002981149</t>
  </si>
  <si>
    <t>893605574</t>
  </si>
  <si>
    <t>QL549 .O64 1984</t>
  </si>
  <si>
    <t>0                      QL 0549000O  64          1984</t>
  </si>
  <si>
    <t>Butterflies east of the Great Plains : an illustrated natural history / Paul A. Opler, George O. Krizek.</t>
  </si>
  <si>
    <t>Opler, Paul A.</t>
  </si>
  <si>
    <t>Baltimore : Johns Hopkins University Press, c1984.</t>
  </si>
  <si>
    <t>2010-01-26</t>
  </si>
  <si>
    <t>2005-08-29</t>
  </si>
  <si>
    <t>836720993:eng</t>
  </si>
  <si>
    <t>9412517</t>
  </si>
  <si>
    <t>991004629759702656</t>
  </si>
  <si>
    <t>2261676340002656</t>
  </si>
  <si>
    <t>9780801829383</t>
  </si>
  <si>
    <t>32285005559165</t>
  </si>
  <si>
    <t>893712830</t>
  </si>
  <si>
    <t>QL55 .F47 1979</t>
  </si>
  <si>
    <t>0                      QL 0055000F  47          1979</t>
  </si>
  <si>
    <t>Inbred strains in biomedical research / Michael F. W. Festing.</t>
  </si>
  <si>
    <t>Festing, Michael F. W. (Michael Francis Wogan)</t>
  </si>
  <si>
    <t>New York : Oxford University Press, 1979.</t>
  </si>
  <si>
    <t>2006-04-06</t>
  </si>
  <si>
    <t>14848637:eng</t>
  </si>
  <si>
    <t>4667201</t>
  </si>
  <si>
    <t>991004700799702656</t>
  </si>
  <si>
    <t>2258078600002656</t>
  </si>
  <si>
    <t>9780195201116</t>
  </si>
  <si>
    <t>32285001686095</t>
  </si>
  <si>
    <t>893247871</t>
  </si>
  <si>
    <t>QL55 .H35</t>
  </si>
  <si>
    <t>0                      QL 0055000H  35</t>
  </si>
  <si>
    <t>Experimental animal behaviour : a selection of laboratory exercises / Michael H. Hansell and John J. Aitken ; illustrated by Norma Aird. --</t>
  </si>
  <si>
    <t>Hansell, Michael H. (Michael Henry), 1940-</t>
  </si>
  <si>
    <t>London : Blackie, 1977.</t>
  </si>
  <si>
    <t>2003-12-18</t>
  </si>
  <si>
    <t>313913108:eng</t>
  </si>
  <si>
    <t>4300626</t>
  </si>
  <si>
    <t>991004621609702656</t>
  </si>
  <si>
    <t>2264815320002656</t>
  </si>
  <si>
    <t>9780216903258</t>
  </si>
  <si>
    <t>32285001686103</t>
  </si>
  <si>
    <t>893901442</t>
  </si>
  <si>
    <t>QL55 .L274 1987</t>
  </si>
  <si>
    <t>0                      QL 0055000L  274         1987</t>
  </si>
  <si>
    <t>Laboratory animals : an introduction for new experimenters / edited by A.A. Tuffery.</t>
  </si>
  <si>
    <t>New York : Wiley, c1987.</t>
  </si>
  <si>
    <t>1993-01-15</t>
  </si>
  <si>
    <t>836673882:eng</t>
  </si>
  <si>
    <t>14272739</t>
  </si>
  <si>
    <t>991001805569702656</t>
  </si>
  <si>
    <t>2261315080002656</t>
  </si>
  <si>
    <t>9780471912972</t>
  </si>
  <si>
    <t>32285001474815</t>
  </si>
  <si>
    <t>893250521</t>
  </si>
  <si>
    <t>QL55 .L29 1971</t>
  </si>
  <si>
    <t>0                      QL 0055000L  29          1971</t>
  </si>
  <si>
    <t>The laboratory animal : principles and practice / [by] W. Lane-Petter [and] A. E. G. Pearson.</t>
  </si>
  <si>
    <t>Lane-Petter, W. (William)</t>
  </si>
  <si>
    <t>1996-04-29</t>
  </si>
  <si>
    <t>409319:eng</t>
  </si>
  <si>
    <t>475834</t>
  </si>
  <si>
    <t>991002827039702656</t>
  </si>
  <si>
    <t>2255182730002656</t>
  </si>
  <si>
    <t>9780124357600</t>
  </si>
  <si>
    <t>32285001474807</t>
  </si>
  <si>
    <t>893434340</t>
  </si>
  <si>
    <t>QL55 .R65 1989</t>
  </si>
  <si>
    <t>0                      QL 0055000R  65          1989</t>
  </si>
  <si>
    <t>The unheeded cry : animal consciousness, animal pain and science / Bernard E. Rollin.</t>
  </si>
  <si>
    <t>Rollin, Bernard E.</t>
  </si>
  <si>
    <t>Oxford : Oxford University Press, 1989.</t>
  </si>
  <si>
    <t>Studies in bioethics</t>
  </si>
  <si>
    <t>2000-11-28</t>
  </si>
  <si>
    <t>1991-11-13</t>
  </si>
  <si>
    <t>20108224:eng</t>
  </si>
  <si>
    <t>20811929</t>
  </si>
  <si>
    <t>991001388339702656</t>
  </si>
  <si>
    <t>2257796080002656</t>
  </si>
  <si>
    <t>9780192177650</t>
  </si>
  <si>
    <t>32285000823756</t>
  </si>
  <si>
    <t>893684285</t>
  </si>
  <si>
    <t>QL551.A7 C43 2005</t>
  </si>
  <si>
    <t>0                      QL 0551000A  7                  C  43          2005</t>
  </si>
  <si>
    <t>Butterflies of the East Coast : an observer's guide / Rick Cech and Guy Tudor.</t>
  </si>
  <si>
    <t>Cech, Rick, 1949-</t>
  </si>
  <si>
    <t>257392339:eng</t>
  </si>
  <si>
    <t>56493770</t>
  </si>
  <si>
    <t>991004630009702656</t>
  </si>
  <si>
    <t>2258295400002656</t>
  </si>
  <si>
    <t>9780691090559</t>
  </si>
  <si>
    <t>32285005081426</t>
  </si>
  <si>
    <t>893895218</t>
  </si>
  <si>
    <t>QL551.E16 G58 1999</t>
  </si>
  <si>
    <t>0                      QL 0551000E  16                 G  58          1999</t>
  </si>
  <si>
    <t>Butterflies through binoculars : the East / Jeffrey Glassberg.</t>
  </si>
  <si>
    <t>Glassberg, Jeffrey.</t>
  </si>
  <si>
    <t>New York : Oxford University Press, c1999.</t>
  </si>
  <si>
    <t>2005-08-25</t>
  </si>
  <si>
    <t>5218409999:eng</t>
  </si>
  <si>
    <t>37238997</t>
  </si>
  <si>
    <t>991004630239702656</t>
  </si>
  <si>
    <t>2255137510002656</t>
  </si>
  <si>
    <t>9780195106688</t>
  </si>
  <si>
    <t>32285005082259</t>
  </si>
  <si>
    <t>893888979</t>
  </si>
  <si>
    <t>QL551.N3 G635 1997</t>
  </si>
  <si>
    <t>0                      QL 0551000N  3                  G  635         1997</t>
  </si>
  <si>
    <t>Butterflies of New Jersey : a guide to their status, distribution, conservation, and appreciation / Michael Gochfeld and Joanna Burger.</t>
  </si>
  <si>
    <t>Gochfeld, Michael.</t>
  </si>
  <si>
    <t>New Brunswick, N.J. : Rutgers University Press, c1997.</t>
  </si>
  <si>
    <t>1997-06-30</t>
  </si>
  <si>
    <t>4762610099:eng</t>
  </si>
  <si>
    <t>34618386</t>
  </si>
  <si>
    <t>991002646259702656</t>
  </si>
  <si>
    <t>2271893470002656</t>
  </si>
  <si>
    <t>9780813523545</t>
  </si>
  <si>
    <t>32285002614617</t>
  </si>
  <si>
    <t>893415454</t>
  </si>
  <si>
    <t>QL551.W3 G63 2001</t>
  </si>
  <si>
    <t>0                      QL 0551000W  3                  G  63          2001</t>
  </si>
  <si>
    <t>Butterflies through binoculars : the West : a field guide to the butterflies of western North America / Jeffrey Glassberg.</t>
  </si>
  <si>
    <t>Oxford ; New York, N.Y. : Oxford University Press, 2001.</t>
  </si>
  <si>
    <t>Glassberg field guide series</t>
  </si>
  <si>
    <t>3373733600:eng</t>
  </si>
  <si>
    <t>44313503</t>
  </si>
  <si>
    <t>991003671609702656</t>
  </si>
  <si>
    <t>2257061210002656</t>
  </si>
  <si>
    <t>9780195106695</t>
  </si>
  <si>
    <t>32285004445358</t>
  </si>
  <si>
    <t>893416647</t>
  </si>
  <si>
    <t>QL552 .C36 2004</t>
  </si>
  <si>
    <t>0                      QL 0552000C  36          2004</t>
  </si>
  <si>
    <t>Photo field guide to some caterpillars of southern Ontario / Ian Carmichael, Ann Vance.</t>
  </si>
  <si>
    <t>Carmichael, Ian, 1937-</t>
  </si>
  <si>
    <t>St. Thomas, ON : St. Thomas Field Naturalist Club, 2004.</t>
  </si>
  <si>
    <t>2007-04-15</t>
  </si>
  <si>
    <t>2005-03-31</t>
  </si>
  <si>
    <t>15529262:eng</t>
  </si>
  <si>
    <t>56012128</t>
  </si>
  <si>
    <t>991004516109702656</t>
  </si>
  <si>
    <t>2255228410002656</t>
  </si>
  <si>
    <t>9780973317916</t>
  </si>
  <si>
    <t>32285005046478</t>
  </si>
  <si>
    <t>893788792</t>
  </si>
  <si>
    <t>QL553.C67 D48 1987</t>
  </si>
  <si>
    <t>0                      QL 0553000C  67                 D  48          1987</t>
  </si>
  <si>
    <t>The butterflies of Costa Rica and their natural history : Papilionidae, Pieridae, Nymphalidae / Philip J. Devries ; illustrated by Philip J. DeVries and Jennifer Clark.</t>
  </si>
  <si>
    <t>DeVries, Philip J., 1952-</t>
  </si>
  <si>
    <t>Princeton, N.J. : Princeton University Press, c1987.</t>
  </si>
  <si>
    <t>1996-10-28</t>
  </si>
  <si>
    <t>2881769995:eng</t>
  </si>
  <si>
    <t>12973384</t>
  </si>
  <si>
    <t>991000761259702656</t>
  </si>
  <si>
    <t>2263232370002656</t>
  </si>
  <si>
    <t>9780691084206</t>
  </si>
  <si>
    <t>32285002369857</t>
  </si>
  <si>
    <t>893897189</t>
  </si>
  <si>
    <t>QL553.W47 S65 1994</t>
  </si>
  <si>
    <t>0                      QL 0553000W  47                 S  65          1994</t>
  </si>
  <si>
    <t>The butterflies of the West Indies and south Florida / David Spencer Smith, Lee D. Miller, and Jacqueline Y. Miller ; with illustrations by Richard Lewington.</t>
  </si>
  <si>
    <t>Smith, David Spencer.</t>
  </si>
  <si>
    <t>Oxford ; New York : Oxford University Press, 1994.</t>
  </si>
  <si>
    <t>2001-03-30</t>
  </si>
  <si>
    <t>1995-05-17</t>
  </si>
  <si>
    <t>328472:eng</t>
  </si>
  <si>
    <t>27811791</t>
  </si>
  <si>
    <t>991002158809702656</t>
  </si>
  <si>
    <t>2258857810002656</t>
  </si>
  <si>
    <t>9780198571995</t>
  </si>
  <si>
    <t>32285002045598</t>
  </si>
  <si>
    <t>893779480</t>
  </si>
  <si>
    <t>QL555.G7 E26 1992</t>
  </si>
  <si>
    <t>0                      QL 0555000G  7                  E  26          1992</t>
  </si>
  <si>
    <t>The Ecology of butterflies in Britain / edited by Roger L.H. Dennis ; figures prepared by Derek A.A. Whiteley.</t>
  </si>
  <si>
    <t>Oxford ; New York : Oxford University Press, 1992.</t>
  </si>
  <si>
    <t>1996-11-15</t>
  </si>
  <si>
    <t>1996-10-23</t>
  </si>
  <si>
    <t>28409629:eng</t>
  </si>
  <si>
    <t>25546421</t>
  </si>
  <si>
    <t>991002008669702656</t>
  </si>
  <si>
    <t>2260982510002656</t>
  </si>
  <si>
    <t>9780198540250</t>
  </si>
  <si>
    <t>32285002368040</t>
  </si>
  <si>
    <t>893804121</t>
  </si>
  <si>
    <t>QL555.G7 F6 1957</t>
  </si>
  <si>
    <t>0                      QL 0555000G  7                  F  6           1957</t>
  </si>
  <si>
    <t>Butterflies.</t>
  </si>
  <si>
    <t>Ford, E. B. (Edmund Brisco), 1901-1988.</t>
  </si>
  <si>
    <t>London, Collins [1957]</t>
  </si>
  <si>
    <t>1957</t>
  </si>
  <si>
    <t>[3d ed.]</t>
  </si>
  <si>
    <t>The New naturalist; a survey of British natural history</t>
  </si>
  <si>
    <t>31956945:eng</t>
  </si>
  <si>
    <t>369566</t>
  </si>
  <si>
    <t>991002550419702656</t>
  </si>
  <si>
    <t>2265238740002656</t>
  </si>
  <si>
    <t>32285002981156</t>
  </si>
  <si>
    <t>893409224</t>
  </si>
  <si>
    <t>QL555.G7 F617 1972</t>
  </si>
  <si>
    <t>0                      QL 0555000G  7                  F  617         1972</t>
  </si>
  <si>
    <t>Moths / by E. B. Ford.</t>
  </si>
  <si>
    <t>London, Collins, 1972.</t>
  </si>
  <si>
    <t>3d ed.</t>
  </si>
  <si>
    <t>50991244:eng</t>
  </si>
  <si>
    <t>2057105</t>
  </si>
  <si>
    <t>991003994879702656</t>
  </si>
  <si>
    <t>2266087100002656</t>
  </si>
  <si>
    <t>32285002981164</t>
  </si>
  <si>
    <t>893337219</t>
  </si>
  <si>
    <t>QL555.G7 M56 2001</t>
  </si>
  <si>
    <t>0                      QL 0555000G  7                  M  56          2001</t>
  </si>
  <si>
    <t>The millennium atlas of butterflies in Britain and Ireland / Jim Asher ... [et al.] ; with assistance from Nick Greatorex-Davies and Estella Roberts.</t>
  </si>
  <si>
    <t>Oxford, U.K. ; New York : Oxford University Press, 2001.</t>
  </si>
  <si>
    <t>2001-12-05</t>
  </si>
  <si>
    <t>2001-12-04</t>
  </si>
  <si>
    <t>763543076:eng</t>
  </si>
  <si>
    <t>45121710</t>
  </si>
  <si>
    <t>991003671759702656</t>
  </si>
  <si>
    <t>2257164260002656</t>
  </si>
  <si>
    <t>9780198505655</t>
  </si>
  <si>
    <t>32285004425624</t>
  </si>
  <si>
    <t>893598829</t>
  </si>
  <si>
    <t>QL555.G7 P64 1993</t>
  </si>
  <si>
    <t>0                      QL 0555000G  7                  P  64          1993</t>
  </si>
  <si>
    <t>Monitoring butterflies for ecology and conservation : the British butterfly monitoring scheme / E. Pollard, T.J. Yates.</t>
  </si>
  <si>
    <t>Pollard, E. (Ernest)</t>
  </si>
  <si>
    <t>London, UK ; New York, NY, USA : Chapman &amp; Hall, 1993.</t>
  </si>
  <si>
    <t>Conservation biology series ; 1</t>
  </si>
  <si>
    <t>2009-04-26</t>
  </si>
  <si>
    <t>1997-07-22</t>
  </si>
  <si>
    <t>327670129:eng</t>
  </si>
  <si>
    <t>27769009</t>
  </si>
  <si>
    <t>991002154779702656</t>
  </si>
  <si>
    <t>2265250580002656</t>
  </si>
  <si>
    <t>9780412402203</t>
  </si>
  <si>
    <t>32285002883964</t>
  </si>
  <si>
    <t>893866867</t>
  </si>
  <si>
    <t>QL555.G7 S48 2009</t>
  </si>
  <si>
    <t>0                      QL 0555000G  7                  S  48          2009</t>
  </si>
  <si>
    <t>Colour identification guide to moths of the British Isles : (Macrolepidoptera) / Bernard Skinner ; illustrated by David Wilson.</t>
  </si>
  <si>
    <t>Skinner, Bernard.</t>
  </si>
  <si>
    <t>Stenstrup, Denmark : Apollo Books, c2009.</t>
  </si>
  <si>
    <t>3rd rev. and updated ed.</t>
  </si>
  <si>
    <t xml:space="preserve">dk </t>
  </si>
  <si>
    <t>308504845:eng</t>
  </si>
  <si>
    <t>421379977</t>
  </si>
  <si>
    <t>991000151239702656</t>
  </si>
  <si>
    <t>2266443350002656</t>
  </si>
  <si>
    <t>9788788757903</t>
  </si>
  <si>
    <t>32285005596894</t>
  </si>
  <si>
    <t>893771433</t>
  </si>
  <si>
    <t>QL555.G7 T65 2001</t>
  </si>
  <si>
    <t>0                      QL 0555000G  7                  T  65          2001</t>
  </si>
  <si>
    <t>Photographic guide to the butterflies of Britain and Europe / Tom W. Tolman.</t>
  </si>
  <si>
    <t>Tolman, Tom.</t>
  </si>
  <si>
    <t>New York : Oxford University Press, 2001.</t>
  </si>
  <si>
    <t>3944060990:eng</t>
  </si>
  <si>
    <t>45087153</t>
  </si>
  <si>
    <t>991003671719702656</t>
  </si>
  <si>
    <t>2266618980002656</t>
  </si>
  <si>
    <t>9780198506065</t>
  </si>
  <si>
    <t>32285004429741</t>
  </si>
  <si>
    <t>893330637</t>
  </si>
  <si>
    <t>QL561.A34 N3813</t>
  </si>
  <si>
    <t>0                      QL 0561000A  34                 N  3813</t>
  </si>
  <si>
    <t>Studies on the systematics and phylogeny of Holarctic Sesiidae (Insecta, Lepidoptera) / Clas M. Naumann.</t>
  </si>
  <si>
    <t>Naumann, Clas M.</t>
  </si>
  <si>
    <t>New Delhi : Published for the Smithsonian Institution and the National Science Foundation, Washington, D. C., by Amerind Pub. Co., 1977.</t>
  </si>
  <si>
    <t xml:space="preserve">ii </t>
  </si>
  <si>
    <t>2003-02-24</t>
  </si>
  <si>
    <t>58605201:eng</t>
  </si>
  <si>
    <t>3832521</t>
  </si>
  <si>
    <t>991004523399702656</t>
  </si>
  <si>
    <t>2272747530002656</t>
  </si>
  <si>
    <t>32285001687580</t>
  </si>
  <si>
    <t>893259820</t>
  </si>
  <si>
    <t>QL561.D3 B56 1993</t>
  </si>
  <si>
    <t>0                      QL 0561000D  3                  B  56          1993</t>
  </si>
  <si>
    <t>Biology and conservation of the monarch butterfly / edited by Stephen B. Malcolm and Myron P. Zalucki.</t>
  </si>
  <si>
    <t>Los Angeles, Calif. : Natural History Museum of Los Angeles County, 1993.</t>
  </si>
  <si>
    <t>Science series, 0079-0943 ; no. 38</t>
  </si>
  <si>
    <t>2008-11-25</t>
  </si>
  <si>
    <t>1997-03-14</t>
  </si>
  <si>
    <t>365705707:eng</t>
  </si>
  <si>
    <t>27655571</t>
  </si>
  <si>
    <t>991002146349702656</t>
  </si>
  <si>
    <t>2263577570002656</t>
  </si>
  <si>
    <t>32285002443009</t>
  </si>
  <si>
    <t>893334978</t>
  </si>
  <si>
    <t>QL561.D3 H35 2001</t>
  </si>
  <si>
    <t>0                      QL 0561000D  3                  H  35          2001</t>
  </si>
  <si>
    <t>Four wings and a prayer : caught in the mystery of the monarch butterfly / Sue Halpern.</t>
  </si>
  <si>
    <t>Halpern, Sue.</t>
  </si>
  <si>
    <t>New York : Pantheon Books c2001.</t>
  </si>
  <si>
    <t>2008-03-25</t>
  </si>
  <si>
    <t>792918599:eng</t>
  </si>
  <si>
    <t>45172046</t>
  </si>
  <si>
    <t>991003667989702656</t>
  </si>
  <si>
    <t>2258822760002656</t>
  </si>
  <si>
    <t>9780375402081</t>
  </si>
  <si>
    <t>32285004445325</t>
  </si>
  <si>
    <t>893258691</t>
  </si>
  <si>
    <t>QL561.D3 M66 2004</t>
  </si>
  <si>
    <t>0                      QL 0561000D  3                  M  66          2004</t>
  </si>
  <si>
    <t>The Monarch butterfly biology &amp; conservation / edited by Karen S. Oberhauser &amp; Michelle J. Solensky.</t>
  </si>
  <si>
    <t>Ithaca : Cornell University Press, 2004.</t>
  </si>
  <si>
    <t>2010-12-01</t>
  </si>
  <si>
    <t>2005-03-28</t>
  </si>
  <si>
    <t>3768539258:eng</t>
  </si>
  <si>
    <t>54046294</t>
  </si>
  <si>
    <t>991004489019702656</t>
  </si>
  <si>
    <t>2259477760002656</t>
  </si>
  <si>
    <t>9780801441882</t>
  </si>
  <si>
    <t>32285005044960</t>
  </si>
  <si>
    <t>893350067</t>
  </si>
  <si>
    <t>QL561.D3 P95 1999</t>
  </si>
  <si>
    <t>0                      QL 0561000D  3                  P  95          1999</t>
  </si>
  <si>
    <t>Chasing monarchs : migrating with the butterflies of passage / Robert Michael Pyle.</t>
  </si>
  <si>
    <t>Boston : Houghton Mifflin Co., 1999.</t>
  </si>
  <si>
    <t>2000-07-18</t>
  </si>
  <si>
    <t>10694357:eng</t>
  </si>
  <si>
    <t>40683040</t>
  </si>
  <si>
    <t>991003204859702656</t>
  </si>
  <si>
    <t>2265917170002656</t>
  </si>
  <si>
    <t>9780395828205</t>
  </si>
  <si>
    <t>32285003740239</t>
  </si>
  <si>
    <t>893434740</t>
  </si>
  <si>
    <t>QL561.D3 S33 2004</t>
  </si>
  <si>
    <t>0                      QL 0561000D  3                  S  33          2004</t>
  </si>
  <si>
    <t>The last monarch butterfly : conserving the monarch butterfly in a brave new world / Phil Schappert.</t>
  </si>
  <si>
    <t>Buffalo, N.Y. : Firefly Books, 2004.</t>
  </si>
  <si>
    <t>2005-09-12</t>
  </si>
  <si>
    <t>10157636843:eng</t>
  </si>
  <si>
    <t>56793328</t>
  </si>
  <si>
    <t>991004630409702656</t>
  </si>
  <si>
    <t>2257414280002656</t>
  </si>
  <si>
    <t>9781552979693</t>
  </si>
  <si>
    <t>32285005083703</t>
  </si>
  <si>
    <t>893337935</t>
  </si>
  <si>
    <t>QL561.N7 S27 1976</t>
  </si>
  <si>
    <t>0                      QL 0561000N  7                  S  27          1976</t>
  </si>
  <si>
    <t>Legion of night : the underwing moths / Theodore D. Sargent ; photos by Harold J. Vermes ; drawings by Katherine A. Doktor Sargent.</t>
  </si>
  <si>
    <t>Sargent, Theodore D., 1936-</t>
  </si>
  <si>
    <t>Amherst : University of Massachusetts Press, 1976.</t>
  </si>
  <si>
    <t>899567914:eng</t>
  </si>
  <si>
    <t>1735300</t>
  </si>
  <si>
    <t>991003885149702656</t>
  </si>
  <si>
    <t>2256105470002656</t>
  </si>
  <si>
    <t>9780870231872</t>
  </si>
  <si>
    <t>32285001687606</t>
  </si>
  <si>
    <t>893599117</t>
  </si>
  <si>
    <t>QL561.N9 A25 1984</t>
  </si>
  <si>
    <t>0                      QL 0561000N  9                  A  25          1984</t>
  </si>
  <si>
    <t>Milkweed butterflies, their cladistics and biology : being an account of the natural history of the Danainae, a subfamily of the Lepidoptera, Nymphalidae / P.R. Ackery and R.I. Vane-Wright.</t>
  </si>
  <si>
    <t>Ackery, Phillip Ronald.</t>
  </si>
  <si>
    <t>[London] : British Museum (Natural History) ; Ithaca, N.Y. : Comstock Pub. Associates, 1984.</t>
  </si>
  <si>
    <t>2000-11-18</t>
  </si>
  <si>
    <t>1996-10-16</t>
  </si>
  <si>
    <t>117205665:eng</t>
  </si>
  <si>
    <t>11364239</t>
  </si>
  <si>
    <t>991000524439702656</t>
  </si>
  <si>
    <t>2255081020002656</t>
  </si>
  <si>
    <t>9780565008932</t>
  </si>
  <si>
    <t>32285002366424</t>
  </si>
  <si>
    <t>893620550</t>
  </si>
  <si>
    <t>QL561.P2 N49 1991</t>
  </si>
  <si>
    <t>0                      QL 0561000P  2                  N  49          1991</t>
  </si>
  <si>
    <t>Swallowtail butterflies : an action plan for their conservation / compiled by T.R. New and N.M. Collins ; IUCN/SSC Lepidoptera Specialist Group.</t>
  </si>
  <si>
    <t>Gland, Switzerland : IUCN, c1991.</t>
  </si>
  <si>
    <t>IUCN/SSC action plans for the conservation of biological diversity</t>
  </si>
  <si>
    <t>1999-04-28</t>
  </si>
  <si>
    <t>29157817:eng</t>
  </si>
  <si>
    <t>26634954</t>
  </si>
  <si>
    <t>991002077969702656</t>
  </si>
  <si>
    <t>2264038020002656</t>
  </si>
  <si>
    <t>9782831700618</t>
  </si>
  <si>
    <t>32285003557245</t>
  </si>
  <si>
    <t>893773184</t>
  </si>
  <si>
    <t>QL561.P2 T82 1994</t>
  </si>
  <si>
    <t>0                      QL 0561000P  2                  T  82          1994</t>
  </si>
  <si>
    <t>Swallowtail butterflies of the Americas : a study in biological dynamics, ecological diversity, biosystematics, and conservation / Hamilton A. Tyler, Keith S. Brown, Jr., Kent H. Wilson.</t>
  </si>
  <si>
    <t>Tyler, Hamilton A.</t>
  </si>
  <si>
    <t>Gainesville, FL : Scientific Publishers, 1994.</t>
  </si>
  <si>
    <t>1995-03-19</t>
  </si>
  <si>
    <t>890355832:eng</t>
  </si>
  <si>
    <t>26261337</t>
  </si>
  <si>
    <t>991002055549702656</t>
  </si>
  <si>
    <t>2262781040002656</t>
  </si>
  <si>
    <t>9780945417903</t>
  </si>
  <si>
    <t>32285002002474</t>
  </si>
  <si>
    <t>893516840</t>
  </si>
  <si>
    <t>QL562.2 .M64 1995</t>
  </si>
  <si>
    <t>0                      QL 0562200M  64          1995</t>
  </si>
  <si>
    <t>Molecular model systems in the Lepidoptera / edited by Marian R. Goldsmith, Adam S. Wilkins.</t>
  </si>
  <si>
    <t>Cambridge [England] ; New York, N.Y. : Cambridge University Press, c1995.</t>
  </si>
  <si>
    <t>1995-07-05</t>
  </si>
  <si>
    <t>1101546816:eng</t>
  </si>
  <si>
    <t>29548076</t>
  </si>
  <si>
    <t>991002276539702656</t>
  </si>
  <si>
    <t>2271032220002656</t>
  </si>
  <si>
    <t>9780521402491</t>
  </si>
  <si>
    <t>32285002053659</t>
  </si>
  <si>
    <t>893232767</t>
  </si>
  <si>
    <t>QL562.4 .D46 1993</t>
  </si>
  <si>
    <t>0                      QL 0562400D  46          1993</t>
  </si>
  <si>
    <t>Butterflies and climate change / Roger L.H. Dennis.</t>
  </si>
  <si>
    <t>Dennis, Roger L. H.</t>
  </si>
  <si>
    <t>Manchester ; New York : Manchester University Press ; New York : Distributed exclusively in the USA and Canada by St. Martin's Press, c1993.</t>
  </si>
  <si>
    <t>348814:eng</t>
  </si>
  <si>
    <t>27339355</t>
  </si>
  <si>
    <t>991002133009702656</t>
  </si>
  <si>
    <t>2267232880002656</t>
  </si>
  <si>
    <t>9780719035050</t>
  </si>
  <si>
    <t>32285002108073</t>
  </si>
  <si>
    <t>893244792</t>
  </si>
  <si>
    <t>QL563 .O53 2001</t>
  </si>
  <si>
    <t>0                      QL 0563000O  53          2001</t>
  </si>
  <si>
    <t>Solitary wasps : behavior and natural history / Kevin M. O'Neill ; with illustrations by Catherine Seibert.</t>
  </si>
  <si>
    <t>O'Neill, Kevin M.</t>
  </si>
  <si>
    <t>Ithaca, N.Y. : Comstock Pub. Associates, 2001.</t>
  </si>
  <si>
    <t>2010-03-08</t>
  </si>
  <si>
    <t>2001-11-26</t>
  </si>
  <si>
    <t>50589:eng</t>
  </si>
  <si>
    <t>44516527</t>
  </si>
  <si>
    <t>991003661739702656</t>
  </si>
  <si>
    <t>2260905020002656</t>
  </si>
  <si>
    <t>9780801437212</t>
  </si>
  <si>
    <t>32285004413364</t>
  </si>
  <si>
    <t>893781250</t>
  </si>
  <si>
    <t>QL565 .A57 1969b</t>
  </si>
  <si>
    <t>0                      QL 0565000A  57          1969b</t>
  </si>
  <si>
    <t>The lives of wasps and bees [by] Sir Christopher Andrewes.</t>
  </si>
  <si>
    <t>Andrewes, C. H. (Christopher Howard), Sir.</t>
  </si>
  <si>
    <t>New York, American Elsevier Pub. Co., 1969.</t>
  </si>
  <si>
    <t>2006-11-09</t>
  </si>
  <si>
    <t>1173723:eng</t>
  </si>
  <si>
    <t>52174</t>
  </si>
  <si>
    <t>991000126549702656</t>
  </si>
  <si>
    <t>2259395120002656</t>
  </si>
  <si>
    <t>9780444197337</t>
  </si>
  <si>
    <t>32285002981206</t>
  </si>
  <si>
    <t>893871434</t>
  </si>
  <si>
    <t>QL565 .E8</t>
  </si>
  <si>
    <t>0                      QL 0565000E  8</t>
  </si>
  <si>
    <t>Wasp farm.</t>
  </si>
  <si>
    <t>Evans, Howard Ensign.</t>
  </si>
  <si>
    <t>Garden City, N.Y., Published for the American Museum of Natural History [by] the Natural History Press, 1963.</t>
  </si>
  <si>
    <t>1317029:eng</t>
  </si>
  <si>
    <t>178586</t>
  </si>
  <si>
    <t>991001070109702656</t>
  </si>
  <si>
    <t>2264372180002656</t>
  </si>
  <si>
    <t>32285002981214</t>
  </si>
  <si>
    <t>893784786</t>
  </si>
  <si>
    <t>QL568.A6 A35 1977</t>
  </si>
  <si>
    <t>0                      QL 0568000A  6                  A  35          1977</t>
  </si>
  <si>
    <t>African bees : taxonomy, biology and economic use : proceedings of an Apimondia international symposium held in Pretoria, South Africa from 17-19 November, 1976 / edited by David J. C. Fletcher.</t>
  </si>
  <si>
    <t>Pretoria : Apimondia, 1977.</t>
  </si>
  <si>
    <t>2000-02-18</t>
  </si>
  <si>
    <t>915733292:eng</t>
  </si>
  <si>
    <t>4343156</t>
  </si>
  <si>
    <t>991004626279702656</t>
  </si>
  <si>
    <t>2267740880002656</t>
  </si>
  <si>
    <t>32285001687630</t>
  </si>
  <si>
    <t>893325575</t>
  </si>
  <si>
    <t>QL568.A6 A351 1991</t>
  </si>
  <si>
    <t>0                      QL 0568000A  6                  A  351         1991</t>
  </si>
  <si>
    <t>The "African" honey bee / edited by Marla Spivak, David J.C. Fletcher, and Michael D. Breed.</t>
  </si>
  <si>
    <t>Boulder : Westview Press, 1991.</t>
  </si>
  <si>
    <t>1991-02-12</t>
  </si>
  <si>
    <t>475558952:eng</t>
  </si>
  <si>
    <t>15084122</t>
  </si>
  <si>
    <t>991000988269702656</t>
  </si>
  <si>
    <t>2255324590002656</t>
  </si>
  <si>
    <t>9780813372099</t>
  </si>
  <si>
    <t>32285000464346</t>
  </si>
  <si>
    <t>893784714</t>
  </si>
  <si>
    <t>QL568.A6 B6</t>
  </si>
  <si>
    <t>0                      QL 0568000A  6                  B  6</t>
  </si>
  <si>
    <t>The evolution of parasitism among bees [by] George E. Bohart.</t>
  </si>
  <si>
    <t>Bohart, George E., 1916-1998.</t>
  </si>
  <si>
    <t>Logan, Utah State University, 1970.</t>
  </si>
  <si>
    <t>Forty-first honor lecture</t>
  </si>
  <si>
    <t>2007-04-11</t>
  </si>
  <si>
    <t>1443379:eng</t>
  </si>
  <si>
    <t>408514</t>
  </si>
  <si>
    <t>991002709239702656</t>
  </si>
  <si>
    <t>2264102900002656</t>
  </si>
  <si>
    <t>32285002981230</t>
  </si>
  <si>
    <t>893591673</t>
  </si>
  <si>
    <t>QL568.A6 F2</t>
  </si>
  <si>
    <t>0                      QL 0568000A  6                  F  2</t>
  </si>
  <si>
    <t>The mason-bees, by J. Henri Fabre; tr. by Alexander Teixeira de Mattos ...</t>
  </si>
  <si>
    <t>New York, Dodd, Mead and Company, 1914.</t>
  </si>
  <si>
    <t>1914</t>
  </si>
  <si>
    <t>2863470976:eng</t>
  </si>
  <si>
    <t>1096328</t>
  </si>
  <si>
    <t>991003533549702656</t>
  </si>
  <si>
    <t>2268500440002656</t>
  </si>
  <si>
    <t>32285002981255</t>
  </si>
  <si>
    <t>893435094</t>
  </si>
  <si>
    <t>QL568.A6 M3 1967</t>
  </si>
  <si>
    <t>0                      QL 0568000A  6                  M  3           1967</t>
  </si>
  <si>
    <t>The life of the bee / by Maurice Maeterlinck ; tr. by Alfred Sutro.</t>
  </si>
  <si>
    <t>Maeterlinck, Maurice, 1862-1949.</t>
  </si>
  <si>
    <t>New York : Dodd, Mead and company, 1967, c1928.</t>
  </si>
  <si>
    <t>1994-03-01</t>
  </si>
  <si>
    <t>1654131:eng</t>
  </si>
  <si>
    <t>6318188</t>
  </si>
  <si>
    <t>991004962549702656</t>
  </si>
  <si>
    <t>2261632570002656</t>
  </si>
  <si>
    <t>32285001850766</t>
  </si>
  <si>
    <t>893901939</t>
  </si>
  <si>
    <t>QL568.A6 M557</t>
  </si>
  <si>
    <t>0                      QL 0568000A  6                  M  557</t>
  </si>
  <si>
    <t>The social behavior of the bees : a comparative study / by Charles D. Michener.</t>
  </si>
  <si>
    <t>2</t>
  </si>
  <si>
    <t>Michener, Charles D. (Charles Duncan), 1918-2015.</t>
  </si>
  <si>
    <t>Cambridge, Mass. : Belknap Press of Harvard University Press, 1974.</t>
  </si>
  <si>
    <t>2008-02-09</t>
  </si>
  <si>
    <t>1992-10-20</t>
  </si>
  <si>
    <t>796113744:eng</t>
  </si>
  <si>
    <t>1009131</t>
  </si>
  <si>
    <t>991003467329702656</t>
  </si>
  <si>
    <t>2263683830002656</t>
  </si>
  <si>
    <t>9780674811751</t>
  </si>
  <si>
    <t>32285001351914</t>
  </si>
  <si>
    <t>893228081</t>
  </si>
  <si>
    <t>QL568.A6 P79 1987</t>
  </si>
  <si>
    <t>0                      QL 0568000A  6                  P  79          1987</t>
  </si>
  <si>
    <t>Bumblebees / Oliver E. Prŷs-Jones, Sarah A. Corbet ; with illustrations by Anthony J. Hopkins.</t>
  </si>
  <si>
    <t>Prŷs-Jones, Oliver E.</t>
  </si>
  <si>
    <t>Cambridge [Cambridgeshire] ; New York : Cambridge University Press, c1987.</t>
  </si>
  <si>
    <t>Naturalists' handbooks ; 6</t>
  </si>
  <si>
    <t>7932979:eng</t>
  </si>
  <si>
    <t>13498017</t>
  </si>
  <si>
    <t>991000836829702656</t>
  </si>
  <si>
    <t>2263962190002656</t>
  </si>
  <si>
    <t>9780521277815</t>
  </si>
  <si>
    <t>32285001687663</t>
  </si>
  <si>
    <t>893772019</t>
  </si>
  <si>
    <t>QL568.A6 W46 1990</t>
  </si>
  <si>
    <t>0                      QL 0568000A  6                  W  46          1990</t>
  </si>
  <si>
    <t>Anatomy of a controversy : the question of a "language" among bees / Adrian M. Wenner, Patrick H. Wells.</t>
  </si>
  <si>
    <t>Wenner, Adrian M.</t>
  </si>
  <si>
    <t>New York : Columbia University Press, c1990.</t>
  </si>
  <si>
    <t>1992-10-19</t>
  </si>
  <si>
    <t>799376515:eng</t>
  </si>
  <si>
    <t>21040534</t>
  </si>
  <si>
    <t>991001644279702656</t>
  </si>
  <si>
    <t>2270301830002656</t>
  </si>
  <si>
    <t>9780231065528</t>
  </si>
  <si>
    <t>32285001318434</t>
  </si>
  <si>
    <t>893340569</t>
  </si>
  <si>
    <t>QL568.F7 F45 1986</t>
  </si>
  <si>
    <t>0                      QL 0568000F  7                  F  45          1986</t>
  </si>
  <si>
    <t>Fire ants and leaf-cutting ants : biology and management / edited by Clifford S. Lofgren and Robert K. Vander Meer.</t>
  </si>
  <si>
    <t>Boulder : Westview Press, 1986.</t>
  </si>
  <si>
    <t>2008-11-09</t>
  </si>
  <si>
    <t>1993-05-28</t>
  </si>
  <si>
    <t>945763748:eng</t>
  </si>
  <si>
    <t>12262585</t>
  </si>
  <si>
    <t>991000663729702656</t>
  </si>
  <si>
    <t>2270616010002656</t>
  </si>
  <si>
    <t>9780813370712</t>
  </si>
  <si>
    <t>32285005241293</t>
  </si>
  <si>
    <t>893771854</t>
  </si>
  <si>
    <t>QL568.F7 G613</t>
  </si>
  <si>
    <t>0                      QL 0568000F  7                  G  613</t>
  </si>
  <si>
    <t>The ants / by Wilhelm Goetsch. [Translated by Ralph Manheim]</t>
  </si>
  <si>
    <t>Goetsch, Wilhelm, 1887-</t>
  </si>
  <si>
    <t>Ann Arbor : University of Michigan Press, [1957]</t>
  </si>
  <si>
    <t>miu</t>
  </si>
  <si>
    <t>Ann Arbor science library</t>
  </si>
  <si>
    <t>2008-11-22</t>
  </si>
  <si>
    <t>1993-12-30</t>
  </si>
  <si>
    <t>1352912:eng</t>
  </si>
  <si>
    <t>230525</t>
  </si>
  <si>
    <t>991001408399702656</t>
  </si>
  <si>
    <t>2269296250002656</t>
  </si>
  <si>
    <t>32285001830024</t>
  </si>
  <si>
    <t>893340418</t>
  </si>
  <si>
    <t>QL568.F7 G64 1999</t>
  </si>
  <si>
    <t>0                      QL 0568000F  7                  G  64          1999</t>
  </si>
  <si>
    <t>Ants at work : how an insect society is organized / Deborah M. Gordon ; illustrations by Michelle Schwengel.</t>
  </si>
  <si>
    <t>Gordon, Deborah (Deborah M.)</t>
  </si>
  <si>
    <t>New York : Free Press, c1999.</t>
  </si>
  <si>
    <t>2009-03-23</t>
  </si>
  <si>
    <t>1999-10-25</t>
  </si>
  <si>
    <t>145172741:eng</t>
  </si>
  <si>
    <t>41531917</t>
  </si>
  <si>
    <t>991003031589702656</t>
  </si>
  <si>
    <t>2259472530002656</t>
  </si>
  <si>
    <t>9780684857336</t>
  </si>
  <si>
    <t>32285003612917</t>
  </si>
  <si>
    <t>893342173</t>
  </si>
  <si>
    <t>QL568.F7 H66 1996</t>
  </si>
  <si>
    <t>0                      QL 0568000F  7                  H  66          1996</t>
  </si>
  <si>
    <t>The earth dwellers : adventures in the land of ants / Erich Hoyt.</t>
  </si>
  <si>
    <t>Hoyt, Erich.</t>
  </si>
  <si>
    <t>New York : Simon &amp; Schuster, c1996.</t>
  </si>
  <si>
    <t>1996-05-22</t>
  </si>
  <si>
    <t>20572702:eng</t>
  </si>
  <si>
    <t>33406995</t>
  </si>
  <si>
    <t>991002570879702656</t>
  </si>
  <si>
    <t>2270584240002656</t>
  </si>
  <si>
    <t>9780684810867</t>
  </si>
  <si>
    <t>32285002177292</t>
  </si>
  <si>
    <t>893786303</t>
  </si>
  <si>
    <t>QL568.F7 U725 2008</t>
  </si>
  <si>
    <t>0                      QL 0568000F  7                  U  725         2008</t>
  </si>
  <si>
    <t>Urban ants of North America and Europe : identification, biology, and management / John Klotz ... [et al.].</t>
  </si>
  <si>
    <t>Ithaca : Comstock Pub. Associates, 2008.</t>
  </si>
  <si>
    <t>Cornell paperbacks</t>
  </si>
  <si>
    <t>136149323:eng</t>
  </si>
  <si>
    <t>226304732</t>
  </si>
  <si>
    <t>991005337399702656</t>
  </si>
  <si>
    <t>2267293880002656</t>
  </si>
  <si>
    <t>9780801474736</t>
  </si>
  <si>
    <t>32285005546451</t>
  </si>
  <si>
    <t>893507993</t>
  </si>
  <si>
    <t>QL568.F7 W5</t>
  </si>
  <si>
    <t>0                      QL 0568000F  7                  W  5</t>
  </si>
  <si>
    <t>Ants : their structure, development and behavior / by William Morton Wheeler.</t>
  </si>
  <si>
    <t>Wheeler, William Morton, 1865-1937.</t>
  </si>
  <si>
    <t>New York : Columbia university press, 1910.</t>
  </si>
  <si>
    <t>1910</t>
  </si>
  <si>
    <t>Columbia university biological series. IX</t>
  </si>
  <si>
    <t>2007-02-07</t>
  </si>
  <si>
    <t>1992-05-21</t>
  </si>
  <si>
    <t>419606:eng</t>
  </si>
  <si>
    <t>560205</t>
  </si>
  <si>
    <t>991002990219702656</t>
  </si>
  <si>
    <t>2256452590002656</t>
  </si>
  <si>
    <t>32285001112241</t>
  </si>
  <si>
    <t>893887008</t>
  </si>
  <si>
    <t>QL568.F7 W63 2006</t>
  </si>
  <si>
    <t>0                      QL 0568000F  7                  W  63          2006</t>
  </si>
  <si>
    <t>Nature revealed : selected writings, 1949-2006 / Edward O. Wilson.</t>
  </si>
  <si>
    <t>Baltimore : Johns Hopkins University Press, c2006.</t>
  </si>
  <si>
    <t>2007-07-30</t>
  </si>
  <si>
    <t>2007-06-25</t>
  </si>
  <si>
    <t>891767445:eng</t>
  </si>
  <si>
    <t>61278530</t>
  </si>
  <si>
    <t>991005004079702656</t>
  </si>
  <si>
    <t>2263821520002656</t>
  </si>
  <si>
    <t>9780801883293</t>
  </si>
  <si>
    <t>32285005318307</t>
  </si>
  <si>
    <t>893412191</t>
  </si>
  <si>
    <t>QL568.F7 W64 2003</t>
  </si>
  <si>
    <t>0                      QL 0568000F  7                  W  64          2003</t>
  </si>
  <si>
    <t>Pheidole in the new world : a dominant, hyperdiverse ant genus / Edward O. Wilson.</t>
  </si>
  <si>
    <t>Cambridge, Mass. : Harvard University Press, 2003.</t>
  </si>
  <si>
    <t>836963459:eng</t>
  </si>
  <si>
    <t>45320381</t>
  </si>
  <si>
    <t>991005039089702656</t>
  </si>
  <si>
    <t>2261286190002656</t>
  </si>
  <si>
    <t>9780674002937</t>
  </si>
  <si>
    <t>32285005300875</t>
  </si>
  <si>
    <t>893688505</t>
  </si>
  <si>
    <t>QL568.S7 E83</t>
  </si>
  <si>
    <t>0                      QL 0568000S  7                  E  83</t>
  </si>
  <si>
    <t>The comparative ethology and evolution of the sand wasps [by] Howard E. Evans.</t>
  </si>
  <si>
    <t>Cambridge, Harvard University Press, 1966.</t>
  </si>
  <si>
    <t>1997-07-25</t>
  </si>
  <si>
    <t>1772803:eng</t>
  </si>
  <si>
    <t>687393</t>
  </si>
  <si>
    <t>991003147109702656</t>
  </si>
  <si>
    <t>2269706210002656</t>
  </si>
  <si>
    <t>32285002981263</t>
  </si>
  <si>
    <t>893617047</t>
  </si>
  <si>
    <t>QL568.V5 F3</t>
  </si>
  <si>
    <t>0                      QL 0568000V  5                  F  3</t>
  </si>
  <si>
    <t>The hunting wasps, by J. Henri Fabre; tr. by Alexander Teixeira de Mattos ...</t>
  </si>
  <si>
    <t>New York, Dodd, Mead and Company, 1915.</t>
  </si>
  <si>
    <t>1915</t>
  </si>
  <si>
    <t>2005-02-17</t>
  </si>
  <si>
    <t>3901061979:eng</t>
  </si>
  <si>
    <t>1184274</t>
  </si>
  <si>
    <t>991003604829702656</t>
  </si>
  <si>
    <t>2268194320002656</t>
  </si>
  <si>
    <t>32285002981271</t>
  </si>
  <si>
    <t>893525004</t>
  </si>
  <si>
    <t>QL568.V5 G47 1996</t>
  </si>
  <si>
    <t>0                      QL 0568000V  5                  G  47          1996</t>
  </si>
  <si>
    <t>The pollen wasps : ecology and natural history of the Masarinae / Sarah K. Gess.</t>
  </si>
  <si>
    <t>Gess, Sarah K.</t>
  </si>
  <si>
    <t>1997-04-18</t>
  </si>
  <si>
    <t>2683135:eng</t>
  </si>
  <si>
    <t>33078359</t>
  </si>
  <si>
    <t>991002545209702656</t>
  </si>
  <si>
    <t>2255381270002656</t>
  </si>
  <si>
    <t>9780674689640</t>
  </si>
  <si>
    <t>32285002498540</t>
  </si>
  <si>
    <t>893773746</t>
  </si>
  <si>
    <t>QL568.V5 S58 1991</t>
  </si>
  <si>
    <t>0                      QL 0568000V  5                  S  58          1991</t>
  </si>
  <si>
    <t>The Social biology of wasps / edited by Kenneth G. Ross, Robert W. Matthews.</t>
  </si>
  <si>
    <t>Ithaca : Comstock Pub. Associates, 1991.</t>
  </si>
  <si>
    <t>2007-02-28</t>
  </si>
  <si>
    <t>1992-05-08</t>
  </si>
  <si>
    <t>350462189:eng</t>
  </si>
  <si>
    <t>22184337</t>
  </si>
  <si>
    <t>991001752879702656</t>
  </si>
  <si>
    <t>2259474730002656</t>
  </si>
  <si>
    <t>9780801499067</t>
  </si>
  <si>
    <t>32285001038842</t>
  </si>
  <si>
    <t>893703298</t>
  </si>
  <si>
    <t>QL568.V5 S65</t>
  </si>
  <si>
    <t>0                      QL 0568000V  5                  S  65</t>
  </si>
  <si>
    <t>Wasps; an account of the biology and natural history of solitary and social wasps, by J. Philip Spradbery. With a foreword by O. W. Richards.</t>
  </si>
  <si>
    <t>Spradbery, J. Philip.</t>
  </si>
  <si>
    <t>Seattle, University of Washington Press [1973]</t>
  </si>
  <si>
    <t>3901931711:eng</t>
  </si>
  <si>
    <t>628415</t>
  </si>
  <si>
    <t>991003075639702656</t>
  </si>
  <si>
    <t>2269391570002656</t>
  </si>
  <si>
    <t>9780295952871</t>
  </si>
  <si>
    <t>32285002981297</t>
  </si>
  <si>
    <t>893711020</t>
  </si>
  <si>
    <t>QL569 .M313</t>
  </si>
  <si>
    <t>0                      QL 0569000M  313</t>
  </si>
  <si>
    <t>Genesis of the Hymenoptera and the phases of their evolution [by] S. I. Malyshev; translated from the Russian by the National Lending Library for Science and Technology, edited by O. W. Richards and Sir Boris Uvarov.</t>
  </si>
  <si>
    <t>Malyshev, S. I. (Sergeĭ Ivanovich), 1884-1967.</t>
  </si>
  <si>
    <t>London, Methuen, 1968.</t>
  </si>
  <si>
    <t>142276:eng</t>
  </si>
  <si>
    <t>17012</t>
  </si>
  <si>
    <t>991000018059702656</t>
  </si>
  <si>
    <t>2271128720002656</t>
  </si>
  <si>
    <t>9780416449501</t>
  </si>
  <si>
    <t>32285002981313</t>
  </si>
  <si>
    <t>893607547</t>
  </si>
  <si>
    <t>QL573 .C76</t>
  </si>
  <si>
    <t>0                      QL 0573000C  76</t>
  </si>
  <si>
    <t>The biology of the Coleoptera / R.A. Crowson.</t>
  </si>
  <si>
    <t>Crowson, R. A. (Roy Albert)</t>
  </si>
  <si>
    <t>London ; New York : Academic press, 1981.</t>
  </si>
  <si>
    <t>408807:eng</t>
  </si>
  <si>
    <t>8022003</t>
  </si>
  <si>
    <t>991005192489702656</t>
  </si>
  <si>
    <t>2269570780002656</t>
  </si>
  <si>
    <t>9780121960506</t>
  </si>
  <si>
    <t>32285001623015</t>
  </si>
  <si>
    <t>893501475</t>
  </si>
  <si>
    <t>QL573 .E89 1996</t>
  </si>
  <si>
    <t>0                      QL 0573000E  89          1996</t>
  </si>
  <si>
    <t>An inordinate fondness for beetles / Arthur V. Evans, Charles L. Bellamy ; photography by Lisa Charles Watson ; illustrations, Patricia Wynne.</t>
  </si>
  <si>
    <t>Evans, Arthur V.</t>
  </si>
  <si>
    <t>New York : Henry Holt and Company, 1996.</t>
  </si>
  <si>
    <t>A Henry Holt reference book</t>
  </si>
  <si>
    <t>1997-04-21</t>
  </si>
  <si>
    <t>20641201:eng</t>
  </si>
  <si>
    <t>34284013</t>
  </si>
  <si>
    <t>991002615979702656</t>
  </si>
  <si>
    <t>2258238730002656</t>
  </si>
  <si>
    <t>9780805037517</t>
  </si>
  <si>
    <t>32285002498862</t>
  </si>
  <si>
    <t>893892775</t>
  </si>
  <si>
    <t>QL576 .F15</t>
  </si>
  <si>
    <t>0                      QL 0576000F  15</t>
  </si>
  <si>
    <t>The glow-worm and other beetles, by Henri Fabre; tr. by Alexander Teixeira de Mattos.</t>
  </si>
  <si>
    <t>New York, Dodd, Mead and company, 1919.</t>
  </si>
  <si>
    <t>1919</t>
  </si>
  <si>
    <t>1924312:eng</t>
  </si>
  <si>
    <t>1006811</t>
  </si>
  <si>
    <t>991003465169702656</t>
  </si>
  <si>
    <t>2263957460002656</t>
  </si>
  <si>
    <t>32285002981321</t>
  </si>
  <si>
    <t>893774740</t>
  </si>
  <si>
    <t>QL576 .F2</t>
  </si>
  <si>
    <t>0                      QL 0576000F  2</t>
  </si>
  <si>
    <t>The sacred beetle, and others, by J. Henri Fabre; tr. by Alexander Teixeira de Mattos ... with a preface by the author.</t>
  </si>
  <si>
    <t>New York, Dodd, Mead and company, 1918.</t>
  </si>
  <si>
    <t>1918</t>
  </si>
  <si>
    <t>1999-01-21</t>
  </si>
  <si>
    <t>10071442:eng</t>
  </si>
  <si>
    <t>1006779</t>
  </si>
  <si>
    <t>991003465139702656</t>
  </si>
  <si>
    <t>2263948230002656</t>
  </si>
  <si>
    <t>32285002981339</t>
  </si>
  <si>
    <t>893324091</t>
  </si>
  <si>
    <t>QL58 .L58 1984</t>
  </si>
  <si>
    <t>0                      QL 0058000L  58          1984</t>
  </si>
  <si>
    <t>Living fossils / edited by Niles Eldredge and Steven M. Stanley.</t>
  </si>
  <si>
    <t>New York : Springer Verlag, c1984.</t>
  </si>
  <si>
    <t>Casebooks in earth sciences</t>
  </si>
  <si>
    <t>2001-07-10</t>
  </si>
  <si>
    <t>349741513:eng</t>
  </si>
  <si>
    <t>10403493</t>
  </si>
  <si>
    <t>991000366459702656</t>
  </si>
  <si>
    <t>2267150570002656</t>
  </si>
  <si>
    <t>9780387909578</t>
  </si>
  <si>
    <t>32285001686137</t>
  </si>
  <si>
    <t>893695773</t>
  </si>
  <si>
    <t>QL581 .W47 1983</t>
  </si>
  <si>
    <t>0                      QL 0581000W  47          1983</t>
  </si>
  <si>
    <t>A field guide to the beetles of North America : text and illustrations / by Richard E. White.</t>
  </si>
  <si>
    <t>White, Richard E.</t>
  </si>
  <si>
    <t>Boston : Houghton Mifflin, 1983.</t>
  </si>
  <si>
    <t>The Peterson field guide series ; 29</t>
  </si>
  <si>
    <t>2010-01-22</t>
  </si>
  <si>
    <t>909711825:eng</t>
  </si>
  <si>
    <t>9195548</t>
  </si>
  <si>
    <t>991000146289702656</t>
  </si>
  <si>
    <t>2266629390002656</t>
  </si>
  <si>
    <t>9780395339534</t>
  </si>
  <si>
    <t>32285001623007</t>
  </si>
  <si>
    <t>893495962</t>
  </si>
  <si>
    <t>QL583 .H4 1977</t>
  </si>
  <si>
    <t>0                      QL 0583000H  4           1977</t>
  </si>
  <si>
    <t>The beetles of America / Richard Headstrom.</t>
  </si>
  <si>
    <t>Headstrom, Richard, 1902-1985.</t>
  </si>
  <si>
    <t>South Brunswick [N.J.] : A. S. Barnes, c1977.</t>
  </si>
  <si>
    <t>2005-03-30</t>
  </si>
  <si>
    <t>159813799:eng</t>
  </si>
  <si>
    <t>1217314</t>
  </si>
  <si>
    <t>991003626249702656</t>
  </si>
  <si>
    <t>2272234890002656</t>
  </si>
  <si>
    <t>9780498014697</t>
  </si>
  <si>
    <t>32285002981347</t>
  </si>
  <si>
    <t>893893923</t>
  </si>
  <si>
    <t>QL583 .J3</t>
  </si>
  <si>
    <t>0                      QL 0583000J  3</t>
  </si>
  <si>
    <t>How to know the beetles; pictured-keys for identifying many of the beetles which are most frequently seen, with aids for their study and with other helpful features.</t>
  </si>
  <si>
    <t>Dubuque, W. C. Brown Co. [1951]</t>
  </si>
  <si>
    <t>1951</t>
  </si>
  <si>
    <t>2005-02-22</t>
  </si>
  <si>
    <t>477184694:eng</t>
  </si>
  <si>
    <t>193604</t>
  </si>
  <si>
    <t>991001214639702656</t>
  </si>
  <si>
    <t>2268848140002656</t>
  </si>
  <si>
    <t>32285002981354</t>
  </si>
  <si>
    <t>893407951</t>
  </si>
  <si>
    <t>QL596.C56 A36 2001</t>
  </si>
  <si>
    <t>0                      QL 0596000C  56                 A  36          2001</t>
  </si>
  <si>
    <t>Tiger beetles of Alberta : killers on the clay, stalkers on the sand / John Acorn.</t>
  </si>
  <si>
    <t>Acorn, John (John Harrison), 1958-</t>
  </si>
  <si>
    <t>Edmonton : University of Alberta Press, c2001.</t>
  </si>
  <si>
    <t>Alberta insects series</t>
  </si>
  <si>
    <t>2005-02-25</t>
  </si>
  <si>
    <t>196565514:eng</t>
  </si>
  <si>
    <t>43633663</t>
  </si>
  <si>
    <t>991003664339702656</t>
  </si>
  <si>
    <t>2267792340002656</t>
  </si>
  <si>
    <t>9780888643452</t>
  </si>
  <si>
    <t>32285004445317</t>
  </si>
  <si>
    <t>893793882</t>
  </si>
  <si>
    <t>QL596.C56 L46 1999</t>
  </si>
  <si>
    <t>0                      QL 0596000C  56                 L  46          1999</t>
  </si>
  <si>
    <t>Northeastern tiger beetles : a field guide to tiger beetles of New England and eastern Canada / Jonathan G. Leonard, Ross T. Bell.</t>
  </si>
  <si>
    <t>Leonard, Jonathan G.</t>
  </si>
  <si>
    <t>Boca Raton, FL : CRC Press, c1999.</t>
  </si>
  <si>
    <t>42418301:eng</t>
  </si>
  <si>
    <t>39887073</t>
  </si>
  <si>
    <t>991003668179702656</t>
  </si>
  <si>
    <t>2265531600002656</t>
  </si>
  <si>
    <t>9780849319150</t>
  </si>
  <si>
    <t>32285004445341</t>
  </si>
  <si>
    <t>893711637</t>
  </si>
  <si>
    <t>QL596.C56 P429 2006</t>
  </si>
  <si>
    <t>0                      QL 0596000C  56                 P  429         2006</t>
  </si>
  <si>
    <t>A field guide to the tiger beetles of the United States and Canada : identification, natural history, and distribution of the Cicindelidae / David L. Pearson, C. Barry Knisley, Charles J. Kazilek.</t>
  </si>
  <si>
    <t>Pearson, David L., 1943-</t>
  </si>
  <si>
    <t>Oxford ; New York : Oxford University Press, 2006.</t>
  </si>
  <si>
    <t>2008-04-24</t>
  </si>
  <si>
    <t>2005-11-29</t>
  </si>
  <si>
    <t>802138654:eng</t>
  </si>
  <si>
    <t>56371459</t>
  </si>
  <si>
    <t>991004630389702656</t>
  </si>
  <si>
    <t>2265608510002656</t>
  </si>
  <si>
    <t>9780195181555</t>
  </si>
  <si>
    <t>32285005148654</t>
  </si>
  <si>
    <t>893876340</t>
  </si>
  <si>
    <t>QL596.C56 P43 2001</t>
  </si>
  <si>
    <t>0                      QL 0596000C  56                 P  43          2001</t>
  </si>
  <si>
    <t>Tiger beetles : the evolution, ecology, and diversity of the cicindelids / David L. Pearson and Alfried P. Vogler.</t>
  </si>
  <si>
    <t>2008-03-06</t>
  </si>
  <si>
    <t>2005-03-21</t>
  </si>
  <si>
    <t>837058297:eng</t>
  </si>
  <si>
    <t>46462645</t>
  </si>
  <si>
    <t>991004488529702656</t>
  </si>
  <si>
    <t>2268703110002656</t>
  </si>
  <si>
    <t>9780801438820</t>
  </si>
  <si>
    <t>32285005043707</t>
  </si>
  <si>
    <t>893869771</t>
  </si>
  <si>
    <t>QL596.M38 P56</t>
  </si>
  <si>
    <t>0                      QL 0596000M  38                 P  56</t>
  </si>
  <si>
    <t>Behavior and taxonomy of the Epicauta maculata group (Coleoptera, Meloidae) / by J. D. Pinto.</t>
  </si>
  <si>
    <t>Pinto, John D.</t>
  </si>
  <si>
    <t>Berkeley : University of California Press, c1980.</t>
  </si>
  <si>
    <t>University of California publications in entomology ; v. 89</t>
  </si>
  <si>
    <t>1999-11-21</t>
  </si>
  <si>
    <t>20349579:eng</t>
  </si>
  <si>
    <t>5893739</t>
  </si>
  <si>
    <t>991004895789702656</t>
  </si>
  <si>
    <t>2265038760002656</t>
  </si>
  <si>
    <t>9780520096165</t>
  </si>
  <si>
    <t>32285001687721</t>
  </si>
  <si>
    <t>893350473</t>
  </si>
  <si>
    <t>QL597 .B68 1953</t>
  </si>
  <si>
    <t>0                      QL 0597000B  68          1953</t>
  </si>
  <si>
    <t>An illustrated synopsis of the principal larval forms of the order Coleoptera, by Adam G. Böving ... and F.C. Craighead ...</t>
  </si>
  <si>
    <t>Böving, Adam Giede, 1869-</t>
  </si>
  <si>
    <t>Brooklyn, N.Y., The Brooklyn Entomological Society, 1931.</t>
  </si>
  <si>
    <t>1931</t>
  </si>
  <si>
    <t>1312913:eng</t>
  </si>
  <si>
    <t>1132952</t>
  </si>
  <si>
    <t>991003561919702656</t>
  </si>
  <si>
    <t>2264451920002656</t>
  </si>
  <si>
    <t>32285002981370</t>
  </si>
  <si>
    <t>893531303</t>
  </si>
  <si>
    <t>QL60.4 .W45 1990</t>
  </si>
  <si>
    <t>0                      QL 0060400W  45          1990</t>
  </si>
  <si>
    <t>Analysis of wildlife radio-tracking data / Gary C. White, Robert A. Garrott.</t>
  </si>
  <si>
    <t>White, Gary C.</t>
  </si>
  <si>
    <t>San Diego : Academic Press, c1990.</t>
  </si>
  <si>
    <t>1991-03-28</t>
  </si>
  <si>
    <t>22272521:eng</t>
  </si>
  <si>
    <t>20320266</t>
  </si>
  <si>
    <t>991001565239702656</t>
  </si>
  <si>
    <t>2261931670002656</t>
  </si>
  <si>
    <t>9780127467252</t>
  </si>
  <si>
    <t>32285000514124</t>
  </si>
  <si>
    <t>893256313</t>
  </si>
  <si>
    <t>QL60.5 .A54 1978</t>
  </si>
  <si>
    <t>0                      QL 0060500A  54          1978</t>
  </si>
  <si>
    <t>Animal marking : recognition marking of animals in research / edited by Bernard Stonehouse.</t>
  </si>
  <si>
    <t>Baltimore : University Park Press, c1978.</t>
  </si>
  <si>
    <t>1997-04-03</t>
  </si>
  <si>
    <t>795623713:eng</t>
  </si>
  <si>
    <t>3729957</t>
  </si>
  <si>
    <t>991004503509702656</t>
  </si>
  <si>
    <t>2264412380002656</t>
  </si>
  <si>
    <t>9780839112747</t>
  </si>
  <si>
    <t>32285001686152</t>
  </si>
  <si>
    <t>893423895</t>
  </si>
  <si>
    <t>QL605 .A384</t>
  </si>
  <si>
    <t>0                      QL 0605000A  384</t>
  </si>
  <si>
    <t>The chordates / R. McNeill Alexander.</t>
  </si>
  <si>
    <t>London ; New York : Cambridge University Press, 1975.</t>
  </si>
  <si>
    <t>1995-02-03</t>
  </si>
  <si>
    <t>1993-05-14</t>
  </si>
  <si>
    <t>2198753:eng</t>
  </si>
  <si>
    <t>1272601</t>
  </si>
  <si>
    <t>991003661949702656</t>
  </si>
  <si>
    <t>2266505160002656</t>
  </si>
  <si>
    <t>9780521204729</t>
  </si>
  <si>
    <t>32285001656247</t>
  </si>
  <si>
    <t>893598814</t>
  </si>
  <si>
    <t>QL605 .A384 1981</t>
  </si>
  <si>
    <t>0                      QL 0605000A  384         1981</t>
  </si>
  <si>
    <t>7173091</t>
  </si>
  <si>
    <t>991005081819702656</t>
  </si>
  <si>
    <t>2256881270002656</t>
  </si>
  <si>
    <t>9780521236584</t>
  </si>
  <si>
    <t>32285001687754</t>
  </si>
  <si>
    <t>893876909</t>
  </si>
  <si>
    <t>QL605 .H34 1994</t>
  </si>
  <si>
    <t>0                      QL 0605000H  34          1994</t>
  </si>
  <si>
    <t>Vertebrate zoology : an experimental field approach / Nelson G. Hairston, Sr.</t>
  </si>
  <si>
    <t>Hairston, Nelson G.</t>
  </si>
  <si>
    <t>Cambridge ; New York : Cambridge University Press, 1994.</t>
  </si>
  <si>
    <t>1996-08-06</t>
  </si>
  <si>
    <t>30876531:eng</t>
  </si>
  <si>
    <t>28423789</t>
  </si>
  <si>
    <t>991002211049702656</t>
  </si>
  <si>
    <t>2265426700002656</t>
  </si>
  <si>
    <t>9780521417037</t>
  </si>
  <si>
    <t>32285002270923</t>
  </si>
  <si>
    <t>893785856</t>
  </si>
  <si>
    <t>QL605 .J33</t>
  </si>
  <si>
    <t>0                      QL 0605000J  33</t>
  </si>
  <si>
    <t>Patterns of vertebrate biology / E.W. Jameson, Jr.</t>
  </si>
  <si>
    <t>Jameson, E. W. (Everett Williams), 1921-</t>
  </si>
  <si>
    <t>New York : Springer-Verlag, 1981.</t>
  </si>
  <si>
    <t>1996-03-17</t>
  </si>
  <si>
    <t>458272:eng</t>
  </si>
  <si>
    <t>7282051</t>
  </si>
  <si>
    <t>991005099779702656</t>
  </si>
  <si>
    <t>2257981220002656</t>
  </si>
  <si>
    <t>9780387905204</t>
  </si>
  <si>
    <t>32285001687770</t>
  </si>
  <si>
    <t>893430840</t>
  </si>
  <si>
    <t>QL605 .O7 1966</t>
  </si>
  <si>
    <t>0                      QL 0605000O  7           1966</t>
  </si>
  <si>
    <t>Vertebrate biology / [by] Robert T. Orr.</t>
  </si>
  <si>
    <t>Orr, Robert T. (Robert Thomas), 1908-1994.</t>
  </si>
  <si>
    <t>Philadelphia : Saunders, 1966.</t>
  </si>
  <si>
    <t>1996-02-24</t>
  </si>
  <si>
    <t>1993-04-12</t>
  </si>
  <si>
    <t>610342606:eng</t>
  </si>
  <si>
    <t>1141157</t>
  </si>
  <si>
    <t>991003567489702656</t>
  </si>
  <si>
    <t>2264965210002656</t>
  </si>
  <si>
    <t>32285001615672</t>
  </si>
  <si>
    <t>893524960</t>
  </si>
  <si>
    <t>QL605 .S513</t>
  </si>
  <si>
    <t>0                      QL 0605000S  513</t>
  </si>
  <si>
    <t>The origin of terrestrial vertebrates / [by] I. I. Schmalhausen. Translated from the Russian by Leon Kelso. Edited by Keith Stewart Thomson, with a pref. to the English ed. by Carl Gans.</t>
  </si>
  <si>
    <t>Shmalʹgauzen, I. I. (Ivan Ivanovich), 1884-1963.</t>
  </si>
  <si>
    <t>New York : Academic Press, 1968.</t>
  </si>
  <si>
    <t>1995-01-24</t>
  </si>
  <si>
    <t>1994-02-28</t>
  </si>
  <si>
    <t>1666968:eng</t>
  </si>
  <si>
    <t>712681</t>
  </si>
  <si>
    <t>991003186059702656</t>
  </si>
  <si>
    <t>2256649580002656</t>
  </si>
  <si>
    <t>32285001850428</t>
  </si>
  <si>
    <t>893323845</t>
  </si>
  <si>
    <t>QL605 .W4 1958</t>
  </si>
  <si>
    <t>0                      QL 0605000W  4           1958</t>
  </si>
  <si>
    <t>Anatomy of the chordates.</t>
  </si>
  <si>
    <t>Weichert, Charles K. (Charles Kipp), 1902-1970.</t>
  </si>
  <si>
    <t>New York, McGraw-Hill, 1958.</t>
  </si>
  <si>
    <t>406733:eng</t>
  </si>
  <si>
    <t>2634973</t>
  </si>
  <si>
    <t>991004192779702656</t>
  </si>
  <si>
    <t>2272009590002656</t>
  </si>
  <si>
    <t>32285002981487</t>
  </si>
  <si>
    <t>893500250</t>
  </si>
  <si>
    <t>QL605 .Y68 1981</t>
  </si>
  <si>
    <t>0                      QL 0605000Y  68          1981</t>
  </si>
  <si>
    <t>The life of vertebrates / J. Z. Young</t>
  </si>
  <si>
    <t>Young, J. Z. (John Zachary), 1907-1997.</t>
  </si>
  <si>
    <t>Oxford : Clarendon Press, c1981.</t>
  </si>
  <si>
    <t>1993-01-21</t>
  </si>
  <si>
    <t>119476018:eng</t>
  </si>
  <si>
    <t>7905274</t>
  </si>
  <si>
    <t>991005174909702656</t>
  </si>
  <si>
    <t>2266540510002656</t>
  </si>
  <si>
    <t>32285001476745</t>
  </si>
  <si>
    <t>893701137</t>
  </si>
  <si>
    <t>QL605.4 .M34 1999</t>
  </si>
  <si>
    <t>0                      QL 0605400M  34          1999</t>
  </si>
  <si>
    <t>A Macmillan illustrated encyclopedia. Animals / edited by Philip Whitfield.</t>
  </si>
  <si>
    <t>New York : Macmillan Library Reference, c1999.</t>
  </si>
  <si>
    <t>2001-05-11</t>
  </si>
  <si>
    <t>2001-05-09</t>
  </si>
  <si>
    <t>56454782:eng</t>
  </si>
  <si>
    <t>42072117</t>
  </si>
  <si>
    <t>991003504889702656</t>
  </si>
  <si>
    <t>2264980840002656</t>
  </si>
  <si>
    <t>9780028654171</t>
  </si>
  <si>
    <t>32285004316526</t>
  </si>
  <si>
    <t>893805840</t>
  </si>
  <si>
    <t>32285004316542</t>
  </si>
  <si>
    <t>893810013</t>
  </si>
  <si>
    <t>32285004316534</t>
  </si>
  <si>
    <t>893805841</t>
  </si>
  <si>
    <t>QL606.52.G74 E36 1997</t>
  </si>
  <si>
    <t>0                      QL 0606520G  74                 E  36          1997</t>
  </si>
  <si>
    <t>Ecology and conservation of Great Plains vertebrates / Fritz L. Knopf, Fred B. Samson, editors.</t>
  </si>
  <si>
    <t>New York : Springer, c1997.</t>
  </si>
  <si>
    <t>Ecological studies ; vol. 125</t>
  </si>
  <si>
    <t>2006-05-04</t>
  </si>
  <si>
    <t>1998-09-15</t>
  </si>
  <si>
    <t>350564443:eng</t>
  </si>
  <si>
    <t>34617754</t>
  </si>
  <si>
    <t>991002645019702656</t>
  </si>
  <si>
    <t>2269774240002656</t>
  </si>
  <si>
    <t>9780387948027</t>
  </si>
  <si>
    <t>32285003468187</t>
  </si>
  <si>
    <t>893445282</t>
  </si>
  <si>
    <t>QL607 .B4</t>
  </si>
  <si>
    <t>0                      QL 0607000B  4</t>
  </si>
  <si>
    <t>Keys to the vertebrates of the Northeastern States : (excluding birds) / by Allen H. Benton and Margaret M. Stewart.</t>
  </si>
  <si>
    <t>Benton, Allen H.</t>
  </si>
  <si>
    <t>Minneapolis : Burgess Pub. Co., [1964]</t>
  </si>
  <si>
    <t>1994-02-09</t>
  </si>
  <si>
    <t>8060370:eng</t>
  </si>
  <si>
    <t>1076306</t>
  </si>
  <si>
    <t>991003517939702656</t>
  </si>
  <si>
    <t>2257473970002656</t>
  </si>
  <si>
    <t>32285001829851</t>
  </si>
  <si>
    <t>893422654</t>
  </si>
  <si>
    <t>QL607.5 .G44 1996</t>
  </si>
  <si>
    <t>0                      QL 0607500G  44          1996</t>
  </si>
  <si>
    <t>Before the backbone : views on the origin of the vertebrates / Henry Gee.</t>
  </si>
  <si>
    <t>Gee, Henry.</t>
  </si>
  <si>
    <t>London ; New York : Chapman &amp; Hall, 1996.</t>
  </si>
  <si>
    <t>2006-08-22</t>
  </si>
  <si>
    <t>1997-03-31</t>
  </si>
  <si>
    <t>799758865:eng</t>
  </si>
  <si>
    <t>35669474</t>
  </si>
  <si>
    <t>991002720559702656</t>
  </si>
  <si>
    <t>2260168470002656</t>
  </si>
  <si>
    <t>9780412483004</t>
  </si>
  <si>
    <t>32285002477122</t>
  </si>
  <si>
    <t>893323287</t>
  </si>
  <si>
    <t>QL607.5 .J44 1986</t>
  </si>
  <si>
    <t>0                      QL 0607500J  44          1986</t>
  </si>
  <si>
    <t>The ancestry of the vertebrates / R.P.S. Jefferies.</t>
  </si>
  <si>
    <t>Jefferies, R. P. S. (Richard Peter Spencer), 1932-</t>
  </si>
  <si>
    <t>Cambridge ; New York : Cambridge University Press, 1986.</t>
  </si>
  <si>
    <t>1995-11-28</t>
  </si>
  <si>
    <t>1992-05-07</t>
  </si>
  <si>
    <t>8381190:eng</t>
  </si>
  <si>
    <t>17550530</t>
  </si>
  <si>
    <t>991001090819702656</t>
  </si>
  <si>
    <t>2268031600002656</t>
  </si>
  <si>
    <t>9780565008871</t>
  </si>
  <si>
    <t>32285001105682</t>
  </si>
  <si>
    <t>893702718</t>
  </si>
  <si>
    <t>QL607.5 .L63</t>
  </si>
  <si>
    <t>0                      QL 0607500L  63</t>
  </si>
  <si>
    <t>The phylogeny of vertebrata / Søren Løvtrup.</t>
  </si>
  <si>
    <t>Løvtrup, Søren.</t>
  </si>
  <si>
    <t>London ; New York : Wiley, c1977.</t>
  </si>
  <si>
    <t>1997-03-27</t>
  </si>
  <si>
    <t>1990-12-13</t>
  </si>
  <si>
    <t>4648621:eng</t>
  </si>
  <si>
    <t>2318084</t>
  </si>
  <si>
    <t>991004075949702656</t>
  </si>
  <si>
    <t>2263956420002656</t>
  </si>
  <si>
    <t>9780471994121</t>
  </si>
  <si>
    <t>32285000425123</t>
  </si>
  <si>
    <t>893331181</t>
  </si>
  <si>
    <t>QL607.5 .M36 2004</t>
  </si>
  <si>
    <t>0                      QL 0607500M  36          2004</t>
  </si>
  <si>
    <t>Missing links : evolutionary concepts &amp; transitions through time / Robert A. Martin.</t>
  </si>
  <si>
    <t>Martin, Robert A. (Robert Allen)</t>
  </si>
  <si>
    <t>Sudbury, Mass. : Jones and Bartlett Publishers, c2004.</t>
  </si>
  <si>
    <t>2004-11-17</t>
  </si>
  <si>
    <t>2004-04-21</t>
  </si>
  <si>
    <t>198984811:eng</t>
  </si>
  <si>
    <t>51022873</t>
  </si>
  <si>
    <t>991004275839702656</t>
  </si>
  <si>
    <t>2266398300002656</t>
  </si>
  <si>
    <t>9780763721961</t>
  </si>
  <si>
    <t>32285004901269</t>
  </si>
  <si>
    <t>893532210</t>
  </si>
  <si>
    <t>QL607.5 .N37 1976</t>
  </si>
  <si>
    <t>0                      QL 0607500N  37          1976</t>
  </si>
  <si>
    <t>Patterns in vertebrate evolution : [lectures] / edited by Max K. Hecht, Peter C. Goody, and Bessie M. Hecht.</t>
  </si>
  <si>
    <t>NATO Advanced Study Institute on Major Patterns in Vertebrate Evolution (1976 : Royal Holloway College)</t>
  </si>
  <si>
    <t>New York : Plenum Press, c1977.</t>
  </si>
  <si>
    <t>NATO advanced study institutes series. Series A, Life sciences ; v. 14</t>
  </si>
  <si>
    <t>355972231:eng</t>
  </si>
  <si>
    <t>2966045</t>
  </si>
  <si>
    <t>991004297429702656</t>
  </si>
  <si>
    <t>2269993230002656</t>
  </si>
  <si>
    <t>9780306356148</t>
  </si>
  <si>
    <t>32285000976364</t>
  </si>
  <si>
    <t>893247407</t>
  </si>
  <si>
    <t>QL607.5 .P49 1988</t>
  </si>
  <si>
    <t>0                      QL 0607500P  49          1988</t>
  </si>
  <si>
    <t>The Phylogeny and classification of the tetrapods / edited by M.J. Benton.</t>
  </si>
  <si>
    <t>Oxford [Oxfordshire] : Published for the Systematics Association by the Clarendon Press ; New York : Oxford University Press, 1988.</t>
  </si>
  <si>
    <t>8907398731:eng</t>
  </si>
  <si>
    <t>17300892</t>
  </si>
  <si>
    <t>991001200479702656</t>
  </si>
  <si>
    <t>2267670040002656</t>
  </si>
  <si>
    <t>9780198577126</t>
  </si>
  <si>
    <t>32285001105674</t>
  </si>
  <si>
    <t>893803434</t>
  </si>
  <si>
    <t>32285001105666</t>
  </si>
  <si>
    <t>893803435</t>
  </si>
  <si>
    <t>QL607.5 .R33 1987</t>
  </si>
  <si>
    <t>0                      QL 0607500R  33          1987</t>
  </si>
  <si>
    <t>The evolution of vertebrate design / Leonard B. Radinsky.</t>
  </si>
  <si>
    <t>Radinsky, Leonard B.</t>
  </si>
  <si>
    <t>1992-02-24</t>
  </si>
  <si>
    <t>10328267:eng</t>
  </si>
  <si>
    <t>15421853</t>
  </si>
  <si>
    <t>991001023429702656</t>
  </si>
  <si>
    <t>2258671110002656</t>
  </si>
  <si>
    <t>9780226702353</t>
  </si>
  <si>
    <t>32285000975531</t>
  </si>
  <si>
    <t>893509314</t>
  </si>
  <si>
    <t>QL61 .A53 1965</t>
  </si>
  <si>
    <t>0                      QL 0061000A  53          1965</t>
  </si>
  <si>
    <t>Methods of collecting and preserving vertebrate animals / by Rudolph Martin Anderson.</t>
  </si>
  <si>
    <t>Anderson, Rudolph Martin, 1876-1961.</t>
  </si>
  <si>
    <t>Ottawa : R. Duhamel, Queen's Printer, 1965.</t>
  </si>
  <si>
    <t>4th ed.,rev.</t>
  </si>
  <si>
    <t>|||</t>
  </si>
  <si>
    <t>National Museum of Canada. Bulletin, no.69. Biological series, no.18</t>
  </si>
  <si>
    <t>2004-12-17</t>
  </si>
  <si>
    <t>32524020:eng</t>
  </si>
  <si>
    <t>277128</t>
  </si>
  <si>
    <t>991002172269702656</t>
  </si>
  <si>
    <t>2260275820002656</t>
  </si>
  <si>
    <t>32285001686160</t>
  </si>
  <si>
    <t>893250903</t>
  </si>
  <si>
    <t>QL615 .G73 1997</t>
  </si>
  <si>
    <t>0                      QL 0615000G  73          1997</t>
  </si>
  <si>
    <t>Air-breathing fishes : evolution, diversity, and adaptation / Jeffrey B. Graham.</t>
  </si>
  <si>
    <t>Graham, Jeffrey B.</t>
  </si>
  <si>
    <t>San Diego : Academic Press, c1997.</t>
  </si>
  <si>
    <t>1998-03-26</t>
  </si>
  <si>
    <t>335552627:eng</t>
  </si>
  <si>
    <t>35808376</t>
  </si>
  <si>
    <t>991002730029702656</t>
  </si>
  <si>
    <t>2269831490002656</t>
  </si>
  <si>
    <t>9780122948602</t>
  </si>
  <si>
    <t>32285003381166</t>
  </si>
  <si>
    <t>893892909</t>
  </si>
  <si>
    <t>QL615 .H45</t>
  </si>
  <si>
    <t>0                      QL 0615000H  45</t>
  </si>
  <si>
    <t>Living fishes of the world / with photos. by Fritz Goro [and others]</t>
  </si>
  <si>
    <t>Herald, Earl S.</t>
  </si>
  <si>
    <t>Garden City, N.Y. : Doubleday, [1961]</t>
  </si>
  <si>
    <t>1992-02-20</t>
  </si>
  <si>
    <t>230583835:eng</t>
  </si>
  <si>
    <t>499272</t>
  </si>
  <si>
    <t>991002871139702656</t>
  </si>
  <si>
    <t>2271407640002656</t>
  </si>
  <si>
    <t>32285000972058</t>
  </si>
  <si>
    <t>893786671</t>
  </si>
  <si>
    <t>QL615 .L3 1977</t>
  </si>
  <si>
    <t>0                      QL 0615000L  3           1977</t>
  </si>
  <si>
    <t>Ichthyology / Karl F. Lagler ... [et al.] ; illustrated by William L. Brudon.</t>
  </si>
  <si>
    <t>New York : Wiley, c1977.</t>
  </si>
  <si>
    <t>2005-11-23</t>
  </si>
  <si>
    <t>1993-11-30</t>
  </si>
  <si>
    <t>195239355:eng</t>
  </si>
  <si>
    <t>2984721</t>
  </si>
  <si>
    <t>991004307929702656</t>
  </si>
  <si>
    <t>2258252810002656</t>
  </si>
  <si>
    <t>9780471511663</t>
  </si>
  <si>
    <t>32285001689438</t>
  </si>
  <si>
    <t>893718748</t>
  </si>
  <si>
    <t>QL615 .M34 1966</t>
  </si>
  <si>
    <t>0                      QL 0615000M  34          1966</t>
  </si>
  <si>
    <t>The life of fishes / [by] N. B. Marshall.</t>
  </si>
  <si>
    <t>Marshall, N. B. (Norman Bertram), 1915-1996.</t>
  </si>
  <si>
    <t>Cleveland : World Pub. Co., [1966]</t>
  </si>
  <si>
    <t>ohu</t>
  </si>
  <si>
    <t>2001-07-24</t>
  </si>
  <si>
    <t>1357071:eng</t>
  </si>
  <si>
    <t>556240</t>
  </si>
  <si>
    <t>991002983619702656</t>
  </si>
  <si>
    <t>2259707770002656</t>
  </si>
  <si>
    <t>32285000972041</t>
  </si>
  <si>
    <t>893774259</t>
  </si>
  <si>
    <t>QL615 .N513</t>
  </si>
  <si>
    <t>0                      QL 0615000N  513</t>
  </si>
  <si>
    <t>The ecology of fishes / translated from the Russian by L. Birkett.</t>
  </si>
  <si>
    <t>Nikolʹskiĭ, G. V. (Georgiĭ Vasilʹevich), 1910-1977.</t>
  </si>
  <si>
    <t>London ; New York : Academic Press, 1963.</t>
  </si>
  <si>
    <t>2009-03-05</t>
  </si>
  <si>
    <t>117215618:eng</t>
  </si>
  <si>
    <t>313564</t>
  </si>
  <si>
    <t>991002292179702656</t>
  </si>
  <si>
    <t>2269713140002656</t>
  </si>
  <si>
    <t>32285000972033</t>
  </si>
  <si>
    <t>893879738</t>
  </si>
  <si>
    <t>QL615 .N6 1975b</t>
  </si>
  <si>
    <t>0                      QL 0615000N  6           1975b</t>
  </si>
  <si>
    <t>A history of fishes / J. R. Norman ; illustrations by W. P. C. Tenison. --</t>
  </si>
  <si>
    <t>Norman, J. R. (John Roxborough), 1898-1944.</t>
  </si>
  <si>
    <t>London : E. Benn, 1975.</t>
  </si>
  <si>
    <t>3rd [revised] ed. / by P. H. Greenwood. --</t>
  </si>
  <si>
    <t>2006-03-23</t>
  </si>
  <si>
    <t>1993-02-11</t>
  </si>
  <si>
    <t>1617571:eng</t>
  </si>
  <si>
    <t>1831886</t>
  </si>
  <si>
    <t>991003903639702656</t>
  </si>
  <si>
    <t>2260090610002656</t>
  </si>
  <si>
    <t>9780510225001</t>
  </si>
  <si>
    <t>32285001532521</t>
  </si>
  <si>
    <t>893234804</t>
  </si>
  <si>
    <t>QL615 .S74 1976</t>
  </si>
  <si>
    <t>0                      QL 0615000S  74          1976</t>
  </si>
  <si>
    <t>An age of fishes : the development of the most successful vertebrate / Joy O. I. Spoczynska ; illustrated by Melchior Spoczynski.</t>
  </si>
  <si>
    <t>Spoczynska, Joy O. I.</t>
  </si>
  <si>
    <t>New York : Scribner, c1976.</t>
  </si>
  <si>
    <t>2004-03-16</t>
  </si>
  <si>
    <t>962095189:eng</t>
  </si>
  <si>
    <t>2176470</t>
  </si>
  <si>
    <t>991004037419702656</t>
  </si>
  <si>
    <t>2264863090002656</t>
  </si>
  <si>
    <t>9780684144955</t>
  </si>
  <si>
    <t>32285002981511</t>
  </si>
  <si>
    <t>893712075</t>
  </si>
  <si>
    <t>QL615 .S76</t>
  </si>
  <si>
    <t>0                      QL 0615000S  76</t>
  </si>
  <si>
    <t>Stress and fish / edited by A.D. Pickering.</t>
  </si>
  <si>
    <t>1994-01-04</t>
  </si>
  <si>
    <t>409565:eng</t>
  </si>
  <si>
    <t>8029096</t>
  </si>
  <si>
    <t>991005192759702656</t>
  </si>
  <si>
    <t>2266172560002656</t>
  </si>
  <si>
    <t>9780125545501</t>
  </si>
  <si>
    <t>32285001240133</t>
  </si>
  <si>
    <t>893326336</t>
  </si>
  <si>
    <t>QL617 .L34</t>
  </si>
  <si>
    <t>0                      QL 0617000L  34</t>
  </si>
  <si>
    <t>The fishes.</t>
  </si>
  <si>
    <t>New York, Columbia University Press, 1962.</t>
  </si>
  <si>
    <t>1591718:eng</t>
  </si>
  <si>
    <t>497611</t>
  </si>
  <si>
    <t>991002868539702656</t>
  </si>
  <si>
    <t>2271914050002656</t>
  </si>
  <si>
    <t>32285002981529</t>
  </si>
  <si>
    <t>893799111</t>
  </si>
  <si>
    <t>QL618 .E88 1990</t>
  </si>
  <si>
    <t>0                      QL 0618000E  88          1990</t>
  </si>
  <si>
    <t>Catalog of the genera of recent fishes / William N. Eschmeyer.</t>
  </si>
  <si>
    <t>Eschmeyer, William N.</t>
  </si>
  <si>
    <t>San Francisco : California Academy of Sciences, 1990.</t>
  </si>
  <si>
    <t>1998-04-29</t>
  </si>
  <si>
    <t>1992-08-12</t>
  </si>
  <si>
    <t>2864311966:eng</t>
  </si>
  <si>
    <t>22653716</t>
  </si>
  <si>
    <t>991001801549702656</t>
  </si>
  <si>
    <t>2256520870002656</t>
  </si>
  <si>
    <t>9780940228238</t>
  </si>
  <si>
    <t>32285001197226</t>
  </si>
  <si>
    <t>893414527</t>
  </si>
  <si>
    <t>QL618 .J36 1991</t>
  </si>
  <si>
    <t>0                      QL 0618000J  36          1991</t>
  </si>
  <si>
    <t>Fish evolution and systematics : evidence from spermatozoa : with a survey of lophophorate, echinoderm, and protochordate sperm and an account of gamete cryopreservation / Barrie G.M. Jamieson with contributions by L. K.-P. Leung.</t>
  </si>
  <si>
    <t>Cambridge ; New York : Cambridge University Press, 1991.</t>
  </si>
  <si>
    <t>2009-03-19</t>
  </si>
  <si>
    <t>1010956466:eng</t>
  </si>
  <si>
    <t>23219788</t>
  </si>
  <si>
    <t>991001850779702656</t>
  </si>
  <si>
    <t>2258741150002656</t>
  </si>
  <si>
    <t>9780521413046</t>
  </si>
  <si>
    <t>32285001856029</t>
  </si>
  <si>
    <t>893590691</t>
  </si>
  <si>
    <t>QL618 .N4 2006</t>
  </si>
  <si>
    <t>0                      QL 0618000N  4           2006</t>
  </si>
  <si>
    <t>Fishes of the world / Joseph S. Nelson.</t>
  </si>
  <si>
    <t>Nelson, Joseph S.</t>
  </si>
  <si>
    <t>Hoboken, N.J. : John Wiley, c2006.</t>
  </si>
  <si>
    <t>2006-05-15</t>
  </si>
  <si>
    <t>4286546:eng</t>
  </si>
  <si>
    <t>62324946</t>
  </si>
  <si>
    <t>991004781789702656</t>
  </si>
  <si>
    <t>2264578090002656</t>
  </si>
  <si>
    <t>9780471250319</t>
  </si>
  <si>
    <t>32285005187207</t>
  </si>
  <si>
    <t>893254088</t>
  </si>
  <si>
    <t>QL618.2 .E96 1984</t>
  </si>
  <si>
    <t>0                      QL 0618200E  96          1984</t>
  </si>
  <si>
    <t>Evolutionary genetics of fishes / edited by Bruce J. Turner.</t>
  </si>
  <si>
    <t>New York : Plenum Press, c1984.</t>
  </si>
  <si>
    <t>Monographs in evolutionary biology</t>
  </si>
  <si>
    <t>1999-07-01</t>
  </si>
  <si>
    <t>1991-12-20</t>
  </si>
  <si>
    <t>3343438:eng</t>
  </si>
  <si>
    <t>10323636</t>
  </si>
  <si>
    <t>991000354239702656</t>
  </si>
  <si>
    <t>2268692830002656</t>
  </si>
  <si>
    <t>9780306415203</t>
  </si>
  <si>
    <t>32285000908649</t>
  </si>
  <si>
    <t>893890593</t>
  </si>
  <si>
    <t>QL618.2 .L66 1995</t>
  </si>
  <si>
    <t>0                      QL 0618200L  66          1995</t>
  </si>
  <si>
    <t>The rise of fishes : 500 million years of evolution / John A. Long.</t>
  </si>
  <si>
    <t>Long, John A., 1957-</t>
  </si>
  <si>
    <t>Baltimore : Johns Hopkins University Press, 1995.</t>
  </si>
  <si>
    <t>1996-09-09</t>
  </si>
  <si>
    <t>796542935:eng</t>
  </si>
  <si>
    <t>31134242</t>
  </si>
  <si>
    <t>991002397159702656</t>
  </si>
  <si>
    <t>2272763400002656</t>
  </si>
  <si>
    <t>9780801849923</t>
  </si>
  <si>
    <t>32285002315892</t>
  </si>
  <si>
    <t>893341378</t>
  </si>
  <si>
    <t>QL618.2 .M37</t>
  </si>
  <si>
    <t>0                      QL 0618200M  37</t>
  </si>
  <si>
    <t>Explorations in the life of fishes [by] N. B. Marshall.</t>
  </si>
  <si>
    <t>Cambridge, Harvard University Press, 1971.</t>
  </si>
  <si>
    <t>Harvard books in biology ; no. 7</t>
  </si>
  <si>
    <t>521279:eng</t>
  </si>
  <si>
    <t>146289</t>
  </si>
  <si>
    <t>991000826669702656</t>
  </si>
  <si>
    <t>2256389720002656</t>
  </si>
  <si>
    <t>9780674279513</t>
  </si>
  <si>
    <t>32285002981537</t>
  </si>
  <si>
    <t>893772008</t>
  </si>
  <si>
    <t>QL618.2 .S95 1972</t>
  </si>
  <si>
    <t>0                      QL 0618200S  95          1972</t>
  </si>
  <si>
    <t>Interrelationships of fishes. Editors: P. H. Greenwood, R. S. Miles [and] Colin Patterson.</t>
  </si>
  <si>
    <t>Symposium on Interrelationships of Fishes (1972 : London, England)</t>
  </si>
  <si>
    <t>[London] Academic Press [c1973]</t>
  </si>
  <si>
    <t>2001-02-20</t>
  </si>
  <si>
    <t>364304624:eng</t>
  </si>
  <si>
    <t>915322</t>
  </si>
  <si>
    <t>991003379019702656</t>
  </si>
  <si>
    <t>2264999440002656</t>
  </si>
  <si>
    <t>9780123008503</t>
  </si>
  <si>
    <t>32285002981545</t>
  </si>
  <si>
    <t>893330258</t>
  </si>
  <si>
    <t>QL618.3 .E27 1978</t>
  </si>
  <si>
    <t>0                      QL 0618300E  27          1978</t>
  </si>
  <si>
    <t>Ecology of freshwater fish production / edited by Shelby D. Gerking.</t>
  </si>
  <si>
    <t>New York : Wiley ; distributed by Halsted Press, [1978] c1977.</t>
  </si>
  <si>
    <t>54201810:eng</t>
  </si>
  <si>
    <t>3516144</t>
  </si>
  <si>
    <t>991004451439702656</t>
  </si>
  <si>
    <t>2272256920002656</t>
  </si>
  <si>
    <t>9780470993620</t>
  </si>
  <si>
    <t>32285001532554</t>
  </si>
  <si>
    <t>893325397</t>
  </si>
  <si>
    <t>QL619 .B47</t>
  </si>
  <si>
    <t>0                      QL 0619000B  47</t>
  </si>
  <si>
    <t>An atlas of distribution of the freshwater fish families of the world / Tim M. Berra ; foreword by R.M. McDowall.</t>
  </si>
  <si>
    <t>Berra, Tim M., 1943-</t>
  </si>
  <si>
    <t>Lincoln : University of Nebraska Press, c1981.</t>
  </si>
  <si>
    <t>nbu</t>
  </si>
  <si>
    <t>1992-03-30</t>
  </si>
  <si>
    <t>455516:eng</t>
  </si>
  <si>
    <t>6813535</t>
  </si>
  <si>
    <t>991005043319702656</t>
  </si>
  <si>
    <t>2268482790002656</t>
  </si>
  <si>
    <t>9780803214118</t>
  </si>
  <si>
    <t>32285001041564</t>
  </si>
  <si>
    <t>893260469</t>
  </si>
  <si>
    <t>QL620 .R68 1986</t>
  </si>
  <si>
    <t>0                      QL 0620000R  68          1986</t>
  </si>
  <si>
    <t>Dynamics of marine fish populations / Brian J. Rothschild.</t>
  </si>
  <si>
    <t>Rothschild, Brian J., 1934-</t>
  </si>
  <si>
    <t>Cambridge, Mass. : Harvard University Press, 1986.</t>
  </si>
  <si>
    <t>1996-10-27</t>
  </si>
  <si>
    <t>7315838:eng</t>
  </si>
  <si>
    <t>13524524</t>
  </si>
  <si>
    <t>991000839089702656</t>
  </si>
  <si>
    <t>2264190680002656</t>
  </si>
  <si>
    <t>9780674218796</t>
  </si>
  <si>
    <t>32285001532562</t>
  </si>
  <si>
    <t>893608327</t>
  </si>
  <si>
    <t>QL624 .S713 1973</t>
  </si>
  <si>
    <t>0                      QL 0624000S  713         1973</t>
  </si>
  <si>
    <t>Freshwater fishes of the world / translated and rev. by Denys W. Tucker.</t>
  </si>
  <si>
    <t>Sterba, Günther, 1922-</t>
  </si>
  <si>
    <t>Hong Kong : T. F. H. Publications : Distributed in the U.S.A. by T. F. H. Publications, Neptune City, N.J., [1973, c1966]</t>
  </si>
  <si>
    <t>[Rev. ed.]</t>
  </si>
  <si>
    <t>1990-10-25</t>
  </si>
  <si>
    <t>1102274282:eng</t>
  </si>
  <si>
    <t>1484339</t>
  </si>
  <si>
    <t>991003776329702656</t>
  </si>
  <si>
    <t>2272329860002656</t>
  </si>
  <si>
    <t>32285000353952</t>
  </si>
  <si>
    <t>893318397</t>
  </si>
  <si>
    <t>32285000353960</t>
  </si>
  <si>
    <t>893343003</t>
  </si>
  <si>
    <t>QL625 .C373</t>
  </si>
  <si>
    <t>0                      QL 0625000C  373</t>
  </si>
  <si>
    <t>Handbook of freshwater fishery biology [by] Kenneth D. Carlander.</t>
  </si>
  <si>
    <t>Carlander, Kenneth D. (Kenneth Dixon), 1915-</t>
  </si>
  <si>
    <t>Ames, Iowa State University Press [1969-&lt;1977 &gt;</t>
  </si>
  <si>
    <t>1997-02-12</t>
  </si>
  <si>
    <t>1214995:eng</t>
  </si>
  <si>
    <t>45551</t>
  </si>
  <si>
    <t>991000103629702656</t>
  </si>
  <si>
    <t>2261630310002656</t>
  </si>
  <si>
    <t>9780813807096</t>
  </si>
  <si>
    <t>32285002436623</t>
  </si>
  <si>
    <t>893438007</t>
  </si>
  <si>
    <t>QL625 .C373 V.2</t>
  </si>
  <si>
    <t>0                      QL 0625000C  373                                                     V.2</t>
  </si>
  <si>
    <t>1996-10-22</t>
  </si>
  <si>
    <t>32285002364486</t>
  </si>
  <si>
    <t>893425430</t>
  </si>
  <si>
    <t>QL625 .D57 1984</t>
  </si>
  <si>
    <t>0                      QL 0625000D  57          1984</t>
  </si>
  <si>
    <t>Distribution, biology, and management of exotic fishes / edited by Walter R. Courtenay, Jr. and Jay R. Stauffer, Jr.</t>
  </si>
  <si>
    <t>Baltimore : Johns Hopkins University Press, 1984.</t>
  </si>
  <si>
    <t>1992-03-10</t>
  </si>
  <si>
    <t>428505292:eng</t>
  </si>
  <si>
    <t>9894378</t>
  </si>
  <si>
    <t>991000275129702656</t>
  </si>
  <si>
    <t>2262639390002656</t>
  </si>
  <si>
    <t>9780801830372</t>
  </si>
  <si>
    <t>32285000995604</t>
  </si>
  <si>
    <t>893237207</t>
  </si>
  <si>
    <t>QL625 .N33</t>
  </si>
  <si>
    <t>0                      QL 0625000N  33</t>
  </si>
  <si>
    <t>Wondrous world of fishes / [editor-in-chief, Melville Bell Grosvenor.</t>
  </si>
  <si>
    <t>Its Natural science library</t>
  </si>
  <si>
    <t>1994-04-05</t>
  </si>
  <si>
    <t>377231039:eng</t>
  </si>
  <si>
    <t>711371</t>
  </si>
  <si>
    <t>991003179079702656</t>
  </si>
  <si>
    <t>2264017450002656</t>
  </si>
  <si>
    <t>32285000353978</t>
  </si>
  <si>
    <t>893246095</t>
  </si>
  <si>
    <t>QL625 .S9 1978</t>
  </si>
  <si>
    <t>0                      QL 0625000S  9           1978</t>
  </si>
  <si>
    <t>Selected coolwater fishes of North America : proceedings of a symposium held in St. Paul, Minnesota March 7-9, 1978 / Robert L. Kendall, editor.</t>
  </si>
  <si>
    <t>Symposium on Selected Coolwater Fishes of North America (1978 : Saint Paul, Minn.)</t>
  </si>
  <si>
    <t>Washington : American Fisheries Society, 1978.</t>
  </si>
  <si>
    <t>Special publication ; no. 11</t>
  </si>
  <si>
    <t>1999-03-01</t>
  </si>
  <si>
    <t>819984652:eng</t>
  </si>
  <si>
    <t>15133326</t>
  </si>
  <si>
    <t>991004673809702656</t>
  </si>
  <si>
    <t>2272490150002656</t>
  </si>
  <si>
    <t>32285001532570</t>
  </si>
  <si>
    <t>893319511</t>
  </si>
  <si>
    <t>QL625 .Z66 1986</t>
  </si>
  <si>
    <t>0                      QL 0625000Z  66          1986</t>
  </si>
  <si>
    <t>The Zoogeography of North American freshwater fishes / edited by Charles H. Hocutt, E.O. Wiley.</t>
  </si>
  <si>
    <t>New York : Wiley, c1986.</t>
  </si>
  <si>
    <t>355965889:eng</t>
  </si>
  <si>
    <t>12052357</t>
  </si>
  <si>
    <t>991000630909702656</t>
  </si>
  <si>
    <t>2258225130002656</t>
  </si>
  <si>
    <t>9780471864196</t>
  </si>
  <si>
    <t>32285001532588</t>
  </si>
  <si>
    <t>893708551</t>
  </si>
  <si>
    <t>QL627 .E4</t>
  </si>
  <si>
    <t>0                      QL 0627000E  4</t>
  </si>
  <si>
    <t>How to know the freshwater fishes : pictured-keys for identifying all of the freshwater fishes of the United States, and also including a number of marine species which often enter freshwater.</t>
  </si>
  <si>
    <t>Dubuque, Iowa : W. C. Brown Co., [c1957]</t>
  </si>
  <si>
    <t>4097834961:eng</t>
  </si>
  <si>
    <t>416566</t>
  </si>
  <si>
    <t>991002731209702656</t>
  </si>
  <si>
    <t>2266447690002656</t>
  </si>
  <si>
    <t>32285001059665</t>
  </si>
  <si>
    <t>893409452</t>
  </si>
  <si>
    <t>QL627 .P34 1991</t>
  </si>
  <si>
    <t>0                      QL 0627000P  34          1991</t>
  </si>
  <si>
    <t>A field guide to freshwater fishes : North America north of Mexico / Lawrence M. Page, Brooks M. Burr ; illustrations by Eugene C. Beckham III, John Parker Sherrod, Craig W. Ronto.</t>
  </si>
  <si>
    <t>Page, Lawrence M.</t>
  </si>
  <si>
    <t>Boston : Houghton Mifflin, 1991.</t>
  </si>
  <si>
    <t>The Peterson field guide series ; 42</t>
  </si>
  <si>
    <t>2006-07-02</t>
  </si>
  <si>
    <t>1992-01-22</t>
  </si>
  <si>
    <t>364035821:eng</t>
  </si>
  <si>
    <t>21976263</t>
  </si>
  <si>
    <t>991001738879702656</t>
  </si>
  <si>
    <t>2270307160002656</t>
  </si>
  <si>
    <t>9780395539330</t>
  </si>
  <si>
    <t>32285000865740</t>
  </si>
  <si>
    <t>893250433</t>
  </si>
  <si>
    <t>QL627 .R48</t>
  </si>
  <si>
    <t>0                      QL 0627000R  48</t>
  </si>
  <si>
    <t>Reservoir fisheries and limnology. Gordon E. Hall, editor.</t>
  </si>
  <si>
    <t>Washington, American Fisheries Society [1971]</t>
  </si>
  <si>
    <t>American Fisheries Society. Special publication no. 8</t>
  </si>
  <si>
    <t>1999-02-25</t>
  </si>
  <si>
    <t>57509967:eng</t>
  </si>
  <si>
    <t>207487</t>
  </si>
  <si>
    <t>991001238639702656</t>
  </si>
  <si>
    <t>2267218140002656</t>
  </si>
  <si>
    <t>32285002981586</t>
  </si>
  <si>
    <t>893509496</t>
  </si>
  <si>
    <t>QL627 .S625 1994</t>
  </si>
  <si>
    <t>0                      QL 0627000S  625         1994</t>
  </si>
  <si>
    <t>Fish watching : an outdoor guide to freshwater fishes / C. Lavett Smith.</t>
  </si>
  <si>
    <t>Smith, C. Lavett, 1927-</t>
  </si>
  <si>
    <t>Ithaca : Comstock Pub. Associates, 1994.</t>
  </si>
  <si>
    <t>2001-03-13</t>
  </si>
  <si>
    <t>353809114:eng</t>
  </si>
  <si>
    <t>28964729</t>
  </si>
  <si>
    <t>991002245719702656</t>
  </si>
  <si>
    <t>2255401180002656</t>
  </si>
  <si>
    <t>9780801428272</t>
  </si>
  <si>
    <t>32285002000585</t>
  </si>
  <si>
    <t>893779589</t>
  </si>
  <si>
    <t>QL628.M6 E3 1947</t>
  </si>
  <si>
    <t>0                      QL 0628000M  6                  E  3           1947</t>
  </si>
  <si>
    <t>Northern fishes, with special reference to the Upper Mississippi Valley [by] Samuel Eddy and Thaddeus Surber.</t>
  </si>
  <si>
    <t>Minneapolis, University of Minnesota Press [1947]</t>
  </si>
  <si>
    <t>Rev. [i.e. 2d] ed.</t>
  </si>
  <si>
    <t>54030825:eng</t>
  </si>
  <si>
    <t>1167303</t>
  </si>
  <si>
    <t>991003586539702656</t>
  </si>
  <si>
    <t>2267927150002656</t>
  </si>
  <si>
    <t>32285002981594</t>
  </si>
  <si>
    <t>893705391</t>
  </si>
  <si>
    <t>QL628.M6 E6 no.1</t>
  </si>
  <si>
    <t>0                      QL 0628000M  6                  E  6                                 no.1</t>
  </si>
  <si>
    <t>Seasonal and distributional patterns of icthyoplankton in the Missouri River / by Lee G. Harrow, Igor Cherko, Allen B. Schlesinger. --</t>
  </si>
  <si>
    <t>no.1*</t>
  </si>
  <si>
    <t>Harrow, Lee G.</t>
  </si>
  <si>
    <t>[Omaha, Neb. : Omaha Public Power District], 1975.</t>
  </si>
  <si>
    <t>neu</t>
  </si>
  <si>
    <t>Environmental series bulletin ; no. 1</t>
  </si>
  <si>
    <t>1998-09-01</t>
  </si>
  <si>
    <t>10677705:eng</t>
  </si>
  <si>
    <t>3562805</t>
  </si>
  <si>
    <t>991004464979702656</t>
  </si>
  <si>
    <t>2268230470002656</t>
  </si>
  <si>
    <t>32285001532596</t>
  </si>
  <si>
    <t>893235520</t>
  </si>
  <si>
    <t>QL628.M6 E6 no.2</t>
  </si>
  <si>
    <t>0                      QL 0628000M  6                  E  6                                 no.2</t>
  </si>
  <si>
    <t>Missouri River monitoring : fisheries &amp; drift population effects of the Fort Calhoun Station ; [Annual report to Omaha Public Power District / prepared and submitted by NALCO Environmental Sciences ; Stephen R. Carter, editor]</t>
  </si>
  <si>
    <t>no.2*</t>
  </si>
  <si>
    <t>Omaha, Neb. : Omaha Public Power District, 1977.</t>
  </si>
  <si>
    <t>Environmental series bulletin ; no. 2</t>
  </si>
  <si>
    <t>1993-09-28</t>
  </si>
  <si>
    <t>14613761:eng</t>
  </si>
  <si>
    <t>4245363</t>
  </si>
  <si>
    <t>991004615039702656</t>
  </si>
  <si>
    <t>2263979450002656</t>
  </si>
  <si>
    <t>32285001532604</t>
  </si>
  <si>
    <t>893350203</t>
  </si>
  <si>
    <t>QL628.M6 E6 no.3</t>
  </si>
  <si>
    <t>0                      QL 0628000M  6                  E  6                                 no.3</t>
  </si>
  <si>
    <t>The effects of entrainment and impingement at the Fort Calhoun Station on the fisheries of the channelized Missouri River / edited by Lee G. Harrow; contributing authors, Ronald G. King...[et. al.].</t>
  </si>
  <si>
    <t>no.3*</t>
  </si>
  <si>
    <t>Harrow, Lee G., editor.</t>
  </si>
  <si>
    <t>[Omaha, Neb. : Omaha Public Power District], 1977.</t>
  </si>
  <si>
    <t>Environmental series bulletin ; no. 3</t>
  </si>
  <si>
    <t>2005-03-29</t>
  </si>
  <si>
    <t>1999-07-23</t>
  </si>
  <si>
    <t>10680676:eng</t>
  </si>
  <si>
    <t>3562916</t>
  </si>
  <si>
    <t>991004465009702656</t>
  </si>
  <si>
    <t>2268244280002656</t>
  </si>
  <si>
    <t>32285001532612</t>
  </si>
  <si>
    <t>893712629</t>
  </si>
  <si>
    <t>QL628.N42 F57 1987</t>
  </si>
  <si>
    <t>0                      QL 0628000N  42                 F  57          1987</t>
  </si>
  <si>
    <t>The Fish book.</t>
  </si>
  <si>
    <t>Lincoln : Nebraska Game and Parks Commission, 1987.</t>
  </si>
  <si>
    <t>Nebraskaland, 0028-1964 ; v. 65, no. 1</t>
  </si>
  <si>
    <t>1992-03-04</t>
  </si>
  <si>
    <t>10049983:eng</t>
  </si>
  <si>
    <t>15514171</t>
  </si>
  <si>
    <t>991001030729702656</t>
  </si>
  <si>
    <t>2271547940002656</t>
  </si>
  <si>
    <t>32285000992148</t>
  </si>
  <si>
    <t>893772242</t>
  </si>
  <si>
    <t>QL628.W39 S96 2004</t>
  </si>
  <si>
    <t>0                      QL 0628000W  39                 S  96          2004</t>
  </si>
  <si>
    <t>Status, distribution, and conservation of native freshwater fishes of western North America : a symposium proceedings / edited by Mark J. Brouder and Julie A. Scheurer.</t>
  </si>
  <si>
    <t>Symposium: "Status, Distribution, and Conservation of Native Freshwater Fishes of Western North America" (2004 : Salt Lake City, Utah)</t>
  </si>
  <si>
    <t>Bethesda, Md. : American Fisheries Society, 2007.</t>
  </si>
  <si>
    <t>American Fisheries Society symposium ; 53</t>
  </si>
  <si>
    <t>2008-03-24</t>
  </si>
  <si>
    <t>292594520:eng</t>
  </si>
  <si>
    <t>169899729</t>
  </si>
  <si>
    <t>991005183989702656</t>
  </si>
  <si>
    <t>2269760350002656</t>
  </si>
  <si>
    <t>9781888569896</t>
  </si>
  <si>
    <t>32285005398176</t>
  </si>
  <si>
    <t>893628604</t>
  </si>
  <si>
    <t>QL629 .M55 2005</t>
  </si>
  <si>
    <t>0                      QL 0629000M  55          2005</t>
  </si>
  <si>
    <t>Freshwater fishes of México / Robert Rush Miller ; with the collaboration of W.L. Minckley and Steven Mark Norris ; with maps by Martha Hall Gach.</t>
  </si>
  <si>
    <t>Miller, Robert Rush, 1916-2003.</t>
  </si>
  <si>
    <t>Chicago : University of Chicago Press, 2005.</t>
  </si>
  <si>
    <t>2008-04-15</t>
  </si>
  <si>
    <t>972055:eng</t>
  </si>
  <si>
    <t>55960747</t>
  </si>
  <si>
    <t>991005202759702656</t>
  </si>
  <si>
    <t>2265622780002656</t>
  </si>
  <si>
    <t>9780226526041</t>
  </si>
  <si>
    <t>32285005403075</t>
  </si>
  <si>
    <t>893260718</t>
  </si>
  <si>
    <t>QL629 .T56</t>
  </si>
  <si>
    <t>0                      QL 0629000T  56</t>
  </si>
  <si>
    <t>Reef fishes of the Sea of Cortez : the rocky-shore fishes of the Gulf of California / Donald A. Thomson, Lloyd T. Findley, Alex N. Kerstitch ; illustrated by Alex N. Kerstitch, Tor Hansen, Chris van Dyck.</t>
  </si>
  <si>
    <t>Thomson, Donald A.</t>
  </si>
  <si>
    <t>8820374:eng</t>
  </si>
  <si>
    <t>3933231</t>
  </si>
  <si>
    <t>991004550039702656</t>
  </si>
  <si>
    <t>2266539410002656</t>
  </si>
  <si>
    <t>9780471861621</t>
  </si>
  <si>
    <t>32285001532638</t>
  </si>
  <si>
    <t>893417765</t>
  </si>
  <si>
    <t>QL630.A1 H86 2004</t>
  </si>
  <si>
    <t>0                      QL 0630000A  1                  H  86          2004</t>
  </si>
  <si>
    <t>Reef fish identification : Baja to Panama / Paul Humann, Ned DeLoach.</t>
  </si>
  <si>
    <t>Humann, Paul.</t>
  </si>
  <si>
    <t>Jacksonville, Fla. : New World, 2004.</t>
  </si>
  <si>
    <t>2009-02-23</t>
  </si>
  <si>
    <t>2005-10-12</t>
  </si>
  <si>
    <t>3859595978:eng</t>
  </si>
  <si>
    <t>56980668</t>
  </si>
  <si>
    <t>991004627539702656</t>
  </si>
  <si>
    <t>2268243970002656</t>
  </si>
  <si>
    <t>9781878348388</t>
  </si>
  <si>
    <t>32285005088892</t>
  </si>
  <si>
    <t>893526323</t>
  </si>
  <si>
    <t>QL632.B8 G68</t>
  </si>
  <si>
    <t>0                      QL 0632000B  8                  G  68</t>
  </si>
  <si>
    <t>The fishes and the forest : explorations in Amazonian natural history / Michael Goulding.</t>
  </si>
  <si>
    <t>Goulding, Michael, 1949-</t>
  </si>
  <si>
    <t>2010-10-15</t>
  </si>
  <si>
    <t>1992-02-21</t>
  </si>
  <si>
    <t>365419107:eng</t>
  </si>
  <si>
    <t>6447800</t>
  </si>
  <si>
    <t>991004985709702656</t>
  </si>
  <si>
    <t>2257091110002656</t>
  </si>
  <si>
    <t>9780520041318</t>
  </si>
  <si>
    <t>32285000972892</t>
  </si>
  <si>
    <t>893707081</t>
  </si>
  <si>
    <t>QL633.R8 A73</t>
  </si>
  <si>
    <t>0                      QL 0633000R  8                  A  73</t>
  </si>
  <si>
    <t>Fishes of the northern seas of the U.S.S.R. (Ryby severnykh morei SSSR) [by] A.P. Andriyashev. Translated from Russian [by Michael Artman; edited by Derek Orlans].</t>
  </si>
  <si>
    <t>Andrii͡ashev, A. P.</t>
  </si>
  <si>
    <t>2806392:eng</t>
  </si>
  <si>
    <t>1877847</t>
  </si>
  <si>
    <t>991003923679702656</t>
  </si>
  <si>
    <t>2259878140002656</t>
  </si>
  <si>
    <t>32285002981602</t>
  </si>
  <si>
    <t>893869060</t>
  </si>
  <si>
    <t>QL633.R8 B52</t>
  </si>
  <si>
    <t>0                      QL 0633000R  8                  B  52</t>
  </si>
  <si>
    <t>Freshwater fishes of the U.S.S.R. and adjacent countries : Ryby presnykh vod SSSR i sopredelʹnykh stran.</t>
  </si>
  <si>
    <t>Berg, L. S. (Lev Semenovich), 1876-1950.</t>
  </si>
  <si>
    <t>Jerusalem : Israel Program for Scientific Translations; [available from the Office of Technical Services, U.S. Dept. of Commerce, Washington], 1962-65.</t>
  </si>
  <si>
    <t>4th ed., improved and augm., translated from Russian.</t>
  </si>
  <si>
    <t>3980242916:eng</t>
  </si>
  <si>
    <t>556373</t>
  </si>
  <si>
    <t>991002983929702656</t>
  </si>
  <si>
    <t>2259919860002656</t>
  </si>
  <si>
    <t>32285003659751</t>
  </si>
  <si>
    <t>893317512</t>
  </si>
  <si>
    <t>32285003659777</t>
  </si>
  <si>
    <t>893348199</t>
  </si>
  <si>
    <t>32285003659769</t>
  </si>
  <si>
    <t>893317511</t>
  </si>
  <si>
    <t>QL636 .L33</t>
  </si>
  <si>
    <t>0                      QL 0636000L  33</t>
  </si>
  <si>
    <t>Australian freshwater fishes : an illustrated field guide / John S. Lake.</t>
  </si>
  <si>
    <t>Lake, John S. (John Sydney)</t>
  </si>
  <si>
    <t>West Melbourne : Nelson, 1978.</t>
  </si>
  <si>
    <t>Nelson field guides</t>
  </si>
  <si>
    <t>1997-02-26</t>
  </si>
  <si>
    <t>1992-08-31</t>
  </si>
  <si>
    <t>30904006:eng</t>
  </si>
  <si>
    <t>5156889</t>
  </si>
  <si>
    <t>991004787859702656</t>
  </si>
  <si>
    <t>2272466350002656</t>
  </si>
  <si>
    <t>9780170052467</t>
  </si>
  <si>
    <t>32285001275220</t>
  </si>
  <si>
    <t>893229830</t>
  </si>
  <si>
    <t>QL638.12 .H37</t>
  </si>
  <si>
    <t>0                      QL 0638120H  37</t>
  </si>
  <si>
    <t>Biology of the cyclostomes / M. W. Hardisty.</t>
  </si>
  <si>
    <t>Hardisty, M. W.</t>
  </si>
  <si>
    <t>London : Chapman and Hall, 1979.</t>
  </si>
  <si>
    <t>2001-03-21</t>
  </si>
  <si>
    <t>18479684:eng</t>
  </si>
  <si>
    <t>5614145</t>
  </si>
  <si>
    <t>991004851489702656</t>
  </si>
  <si>
    <t>2259815210002656</t>
  </si>
  <si>
    <t>9780412141201</t>
  </si>
  <si>
    <t>32285001532679</t>
  </si>
  <si>
    <t>893418086</t>
  </si>
  <si>
    <t>QL638.9 .D33</t>
  </si>
  <si>
    <t>0                      QL 0638900D  33</t>
  </si>
  <si>
    <t>The elasmobranch fishes, by J. Frank Daniel.</t>
  </si>
  <si>
    <t>Daniel, J. Frank (John Franklin), 1873-1942.</t>
  </si>
  <si>
    <t>Berkeley, University of California Press, 1922.</t>
  </si>
  <si>
    <t>1922</t>
  </si>
  <si>
    <t>2008-02-21</t>
  </si>
  <si>
    <t>1801936:eng</t>
  </si>
  <si>
    <t>2562822</t>
  </si>
  <si>
    <t>991004164619702656</t>
  </si>
  <si>
    <t>2259443970002656</t>
  </si>
  <si>
    <t>32285002981644</t>
  </si>
  <si>
    <t>893888370</t>
  </si>
  <si>
    <t>QL638.9 .L38</t>
  </si>
  <si>
    <t>0                      QL 0638900L  38</t>
  </si>
  <si>
    <t>Anatomy of the dogfish / by E. L. Lazier.</t>
  </si>
  <si>
    <t>Lazier, Edgar Locke, 1899-1973.</t>
  </si>
  <si>
    <t>Stanford University, Calif. : Stanford university press, [c1943]</t>
  </si>
  <si>
    <t>1994-02-15</t>
  </si>
  <si>
    <t>2454200:eng</t>
  </si>
  <si>
    <t>1547695</t>
  </si>
  <si>
    <t>991003815529702656</t>
  </si>
  <si>
    <t>2271736810002656</t>
  </si>
  <si>
    <t>32285001838340</t>
  </si>
  <si>
    <t>893349181</t>
  </si>
  <si>
    <t>QL638.C3 S66 2007</t>
  </si>
  <si>
    <t>0                      QL 0638000C  3                  S  66          2007</t>
  </si>
  <si>
    <t>Bluegills : biology and behavior / Stephen Spotte.</t>
  </si>
  <si>
    <t>Spotte, Stephen.</t>
  </si>
  <si>
    <t>2008-05-05</t>
  </si>
  <si>
    <t>304531325:eng</t>
  </si>
  <si>
    <t>163126390</t>
  </si>
  <si>
    <t>991005183579702656</t>
  </si>
  <si>
    <t>2259982020002656</t>
  </si>
  <si>
    <t>9781888569933</t>
  </si>
  <si>
    <t>32285005405195</t>
  </si>
  <si>
    <t>893905282</t>
  </si>
  <si>
    <t>QL638.C55 B37 2000</t>
  </si>
  <si>
    <t>0                      QL 0638000C  55                 B  37          2000</t>
  </si>
  <si>
    <t>The cichlid fishes : nature's grand experiment in evolution / George W. Barlow.</t>
  </si>
  <si>
    <t>Barlow, George W.</t>
  </si>
  <si>
    <t>Cambridge, Mass. : Perseus Pub., c2000.</t>
  </si>
  <si>
    <t>2006-03-08</t>
  </si>
  <si>
    <t>48650:eng</t>
  </si>
  <si>
    <t>59522242</t>
  </si>
  <si>
    <t>991003666169702656</t>
  </si>
  <si>
    <t>2270052880002656</t>
  </si>
  <si>
    <t>9780738203768</t>
  </si>
  <si>
    <t>32285004425723</t>
  </si>
  <si>
    <t>893435258</t>
  </si>
  <si>
    <t>QL638.G27 A8 1967</t>
  </si>
  <si>
    <t>0                      QL 0638000G  27                 A  8           1967</t>
  </si>
  <si>
    <t>Territory in the three-spined stickleback Gasterosteus aculeatus L. : an experimental study in intra-specific competition / by J. van den Assem.</t>
  </si>
  <si>
    <t>Assem, J. van den (Jan van den)</t>
  </si>
  <si>
    <t>Leiden : E. J. Brill, 1967.</t>
  </si>
  <si>
    <t>Behaviour : an international journal of comparative ethology. Supplement ; 16</t>
  </si>
  <si>
    <t>2002-02-22</t>
  </si>
  <si>
    <t>1510419:eng</t>
  </si>
  <si>
    <t>463290</t>
  </si>
  <si>
    <t>991002818129702656</t>
  </si>
  <si>
    <t>2260970490002656</t>
  </si>
  <si>
    <t>32285001094134</t>
  </si>
  <si>
    <t>893251652</t>
  </si>
  <si>
    <t>QL638.G27 E96 1994</t>
  </si>
  <si>
    <t>0                      QL 0638000G  27                 E  96          1994</t>
  </si>
  <si>
    <t>The Evolutionary biology of the threespine stickleback / edited by Michael A. Bell and Susan A. Foster.</t>
  </si>
  <si>
    <t>2006-02-08</t>
  </si>
  <si>
    <t>353145756:eng</t>
  </si>
  <si>
    <t>26852765</t>
  </si>
  <si>
    <t>991002092629702656</t>
  </si>
  <si>
    <t>2264930150002656</t>
  </si>
  <si>
    <t>9780198577287</t>
  </si>
  <si>
    <t>32285002003837</t>
  </si>
  <si>
    <t>893250813</t>
  </si>
  <si>
    <t>QL638.L26 B56 1979</t>
  </si>
  <si>
    <t>0                      QL 0638000L  26                 B  56          1979</t>
  </si>
  <si>
    <t>The Biology and physiology of the living coelacanth / edited by John E. McCosker and Michael D. Lagios.</t>
  </si>
  <si>
    <t>San Francisco : California Academy of Sciences, 1979.</t>
  </si>
  <si>
    <t>Occasional papers of the California Academy of Sciences, 0068-5461 ; no. 134 (Dec. 22, 1979)</t>
  </si>
  <si>
    <t>21686763:eng</t>
  </si>
  <si>
    <t>6237940</t>
  </si>
  <si>
    <t>991004950199702656</t>
  </si>
  <si>
    <t>2262889790002656</t>
  </si>
  <si>
    <t>32285001532646</t>
  </si>
  <si>
    <t>893242012</t>
  </si>
  <si>
    <t>QL638.L26 B565 1991</t>
  </si>
  <si>
    <t>0                      QL 0638000L  26                 B  565         1991</t>
  </si>
  <si>
    <t>The Biology of Latimeria chalumnae and evolution of coelacanths / editors, John A. Musick, Michael N. Bruton &amp; Eugene K. Balon.</t>
  </si>
  <si>
    <t>Dordrecht ; Boston : Kluwer Academic Publishers, c1991.</t>
  </si>
  <si>
    <t>Developments in environmental biology of fishes ; 12</t>
  </si>
  <si>
    <t>355887388:eng</t>
  </si>
  <si>
    <t>23463537</t>
  </si>
  <si>
    <t>991001866509702656</t>
  </si>
  <si>
    <t>2256022020002656</t>
  </si>
  <si>
    <t>9780792312895</t>
  </si>
  <si>
    <t>32285001446912</t>
  </si>
  <si>
    <t>893779153</t>
  </si>
  <si>
    <t>QL638.L26 T46 1991</t>
  </si>
  <si>
    <t>0                      QL 0638000L  26                 T  46          1991</t>
  </si>
  <si>
    <t>Living fossil : the story of the coelacanth / Keith Stewart Thomson.</t>
  </si>
  <si>
    <t>Thomson, Keith Stewart.</t>
  </si>
  <si>
    <t>New York : W.W. Norton, c1991.</t>
  </si>
  <si>
    <t>1992-05-05</t>
  </si>
  <si>
    <t>23951512:eng</t>
  </si>
  <si>
    <t>22210174</t>
  </si>
  <si>
    <t>991001756599702656</t>
  </si>
  <si>
    <t>2261904340002656</t>
  </si>
  <si>
    <t>9780393029567</t>
  </si>
  <si>
    <t>32285001038040</t>
  </si>
  <si>
    <t>893872773</t>
  </si>
  <si>
    <t>QL638.L26 W45 2000</t>
  </si>
  <si>
    <t>0                      QL 0638000L  26                 W  45          2000</t>
  </si>
  <si>
    <t>A fish caught in time : the search for the coelacanth / Samantha Weinberg.</t>
  </si>
  <si>
    <t>Weinberg, Samantha, 1966-</t>
  </si>
  <si>
    <t>New York : HarperCollins, c2000.</t>
  </si>
  <si>
    <t>2000-09-26</t>
  </si>
  <si>
    <t>39158406:eng</t>
  </si>
  <si>
    <t>42290224</t>
  </si>
  <si>
    <t>991003262029702656</t>
  </si>
  <si>
    <t>2259333960002656</t>
  </si>
  <si>
    <t>9780060194956</t>
  </si>
  <si>
    <t>32285003764858</t>
  </si>
  <si>
    <t>893874591</t>
  </si>
  <si>
    <t>QL638.P73 H67 1997</t>
  </si>
  <si>
    <t>0                      QL 0638000P  73                 H  67          1997</t>
  </si>
  <si>
    <t>Sex, color, and mate choice in guppies / Anne E. Houde.</t>
  </si>
  <si>
    <t>Houde, Anne E., 1959-</t>
  </si>
  <si>
    <t>Princeton, N.J. : Princeton University Press, c1997.</t>
  </si>
  <si>
    <t>1998-03-23</t>
  </si>
  <si>
    <t>10076467007:eng</t>
  </si>
  <si>
    <t>36017152</t>
  </si>
  <si>
    <t>991002743889702656</t>
  </si>
  <si>
    <t>2262340240002656</t>
  </si>
  <si>
    <t>9780691027890</t>
  </si>
  <si>
    <t>32285003359683</t>
  </si>
  <si>
    <t>893341789</t>
  </si>
  <si>
    <t>QL638.S2 B432 2002</t>
  </si>
  <si>
    <t>0                      QL 0638000S  2                  B  432         2002</t>
  </si>
  <si>
    <t>Trout and salmon of North America / Robert J. Behnke ; illustrated by Joseph R. Tomelleri ; foreword by Thomas McGuane ; introduction by Donald S. Proebstel ; edited by George Scott.</t>
  </si>
  <si>
    <t>Behnke, Robert J.</t>
  </si>
  <si>
    <t>New York : Free Press, 2002.</t>
  </si>
  <si>
    <t>Chanticleer Press ed., 1st ed.</t>
  </si>
  <si>
    <t>2010-04-14</t>
  </si>
  <si>
    <t>2010-04-07</t>
  </si>
  <si>
    <t>5614358446:eng</t>
  </si>
  <si>
    <t>49626102</t>
  </si>
  <si>
    <t>991005379399702656</t>
  </si>
  <si>
    <t>2269207880002656</t>
  </si>
  <si>
    <t>9780743222204</t>
  </si>
  <si>
    <t>32285005562128</t>
  </si>
  <si>
    <t>893701490</t>
  </si>
  <si>
    <t>QL638.S2 B76 1982</t>
  </si>
  <si>
    <t>0                      QL 0638000S  2                  B  76          1982</t>
  </si>
  <si>
    <t>Mountain in the clouds : a search for the wild salmon / Bruce Brown.</t>
  </si>
  <si>
    <t>Brown, Bruce.</t>
  </si>
  <si>
    <t>New York : Simon and Schuster, c1982.</t>
  </si>
  <si>
    <t>23784555:eng</t>
  </si>
  <si>
    <t>8283707</t>
  </si>
  <si>
    <t>991005227279702656</t>
  </si>
  <si>
    <t>2268615090002656</t>
  </si>
  <si>
    <t>9780671435837</t>
  </si>
  <si>
    <t>32285001532653</t>
  </si>
  <si>
    <t>893720022</t>
  </si>
  <si>
    <t>QL638.S2 C3</t>
  </si>
  <si>
    <t>0                      QL 0638000S  2                  C  3</t>
  </si>
  <si>
    <t>The sockeye salmon, Oncorhynchus nerka / by R. E. Foerster.</t>
  </si>
  <si>
    <t>Foerster, Russell Earle, 1899-</t>
  </si>
  <si>
    <t>Ottawa, Fisheries Research Board of Canada, 1968.</t>
  </si>
  <si>
    <t>[Canada. Fisheries Research Board.] Bulletin 162</t>
  </si>
  <si>
    <t>1998-02-21</t>
  </si>
  <si>
    <t>1213276:eng</t>
  </si>
  <si>
    <t>43957</t>
  </si>
  <si>
    <t>991000098909702656</t>
  </si>
  <si>
    <t>2258361890002656</t>
  </si>
  <si>
    <t>32285003337010</t>
  </si>
  <si>
    <t>893224727</t>
  </si>
  <si>
    <t>QL638.S2 C658 1995</t>
  </si>
  <si>
    <t>0                      QL 0638000S  2                  C  658         1995</t>
  </si>
  <si>
    <t>A common fate : endangered salmon and the people of the Pacific Northwest / Joseph Cone.</t>
  </si>
  <si>
    <t>Cone, Joseph.</t>
  </si>
  <si>
    <t>New York : H. Holt, 1995.</t>
  </si>
  <si>
    <t>1996-02-15</t>
  </si>
  <si>
    <t>796264224:eng</t>
  </si>
  <si>
    <t>30399082</t>
  </si>
  <si>
    <t>991002335629702656</t>
  </si>
  <si>
    <t>2256238460002656</t>
  </si>
  <si>
    <t>9780805023886</t>
  </si>
  <si>
    <t>32285002135985</t>
  </si>
  <si>
    <t>893703952</t>
  </si>
  <si>
    <t>QL638.S2 M48 1991</t>
  </si>
  <si>
    <t>0                      QL 0638000S  2                  M  48          1991</t>
  </si>
  <si>
    <t>Ecology and management of Atlantic salmon / Derek Mills.</t>
  </si>
  <si>
    <t>Mills, Derek Henry.</t>
  </si>
  <si>
    <t>Paperback edition 1991.</t>
  </si>
  <si>
    <t>350454498:eng</t>
  </si>
  <si>
    <t>26628357</t>
  </si>
  <si>
    <t>991002076259702656</t>
  </si>
  <si>
    <t>2257239030002656</t>
  </si>
  <si>
    <t>9780412460203</t>
  </si>
  <si>
    <t>32285002495611</t>
  </si>
  <si>
    <t>893516861</t>
  </si>
  <si>
    <t>QL638.S35 E45 2008</t>
  </si>
  <si>
    <t>0                      QL 0638000S  35                 E  45          2008</t>
  </si>
  <si>
    <t>Tuna : a love story / Richard Ellis.</t>
  </si>
  <si>
    <t>New York : Alfred A. Knopf, 2008.</t>
  </si>
  <si>
    <t>2009-02-18</t>
  </si>
  <si>
    <t>2008-10-07</t>
  </si>
  <si>
    <t>3856093721:eng</t>
  </si>
  <si>
    <t>179833883</t>
  </si>
  <si>
    <t>991005269129702656</t>
  </si>
  <si>
    <t>2262288380002656</t>
  </si>
  <si>
    <t>9780307267153</t>
  </si>
  <si>
    <t>32285005461768</t>
  </si>
  <si>
    <t>893514365</t>
  </si>
  <si>
    <t>QL639 .A42513</t>
  </si>
  <si>
    <t>0                      QL 0639000A  42513</t>
  </si>
  <si>
    <t>Function and gross morphology in fish [by] Yu. G. Aleev. Edited by V. A. Vodyanitskii. Translated from Russian [by M. Raveh. Edited by H. Mills].</t>
  </si>
  <si>
    <t>Aleev, I͡U. G. (I͡Uriĭ Glebovich)</t>
  </si>
  <si>
    <t>Jerusalem, Israel Program for Scientific Translations; [available from the U.S. Dept. of Commerce, Clearinghouse for Federal Scientific and Technical Information, Springfield, Va.] 1969.</t>
  </si>
  <si>
    <t>49598452:eng</t>
  </si>
  <si>
    <t>4436380</t>
  </si>
  <si>
    <t>991004638339702656</t>
  </si>
  <si>
    <t>2265044480002656</t>
  </si>
  <si>
    <t>32285001532687</t>
  </si>
  <si>
    <t>893229576</t>
  </si>
  <si>
    <t>QL639 .B77</t>
  </si>
  <si>
    <t>0                      QL 0639000B  77</t>
  </si>
  <si>
    <t>The physiology of fishes.</t>
  </si>
  <si>
    <t>Varley, Margaret E. (Margaret Elizabeth), 1918-2009, editor.</t>
  </si>
  <si>
    <t>New York, Academic Press, 1957.</t>
  </si>
  <si>
    <t>9593628491:eng</t>
  </si>
  <si>
    <t>556377</t>
  </si>
  <si>
    <t>991002983959702656</t>
  </si>
  <si>
    <t>2259900550002656</t>
  </si>
  <si>
    <t>32285003204616</t>
  </si>
  <si>
    <t>893227544</t>
  </si>
  <si>
    <t>32285001068807</t>
  </si>
  <si>
    <t>893233690</t>
  </si>
  <si>
    <t>QL639 .L3 1956</t>
  </si>
  <si>
    <t>0                      QL 0639000L  3           1956</t>
  </si>
  <si>
    <t>Freshwater fishery biology, by Karl F. Lagler.</t>
  </si>
  <si>
    <t>Lagler, Karl F. (Karl Frank), 1912-1985.</t>
  </si>
  <si>
    <t>Dubuque, Iowa, W.C. Brown Co. [1956]</t>
  </si>
  <si>
    <t>195239354:eng</t>
  </si>
  <si>
    <t>1023016</t>
  </si>
  <si>
    <t>991003477609702656</t>
  </si>
  <si>
    <t>2272069660002656</t>
  </si>
  <si>
    <t>32285002981677</t>
  </si>
  <si>
    <t>893240234</t>
  </si>
  <si>
    <t>QL639.1 .B47 1991, v.5</t>
  </si>
  <si>
    <t>0                      QL 0639100B  47          1991                                        v.5</t>
  </si>
  <si>
    <t>Environmental and ecological biochemistry / edited by P.W. Hochachka and T.P. Mommsen.</t>
  </si>
  <si>
    <t>Amsterdam ; New York : Elsevier, c1995.</t>
  </si>
  <si>
    <t>Biochemistry and molecular biology of fishes ; 5</t>
  </si>
  <si>
    <t>2000-09-28</t>
  </si>
  <si>
    <t>1996-06-26</t>
  </si>
  <si>
    <t>353686759:eng</t>
  </si>
  <si>
    <t>33401132</t>
  </si>
  <si>
    <t>991002569089702656</t>
  </si>
  <si>
    <t>2271446820002656</t>
  </si>
  <si>
    <t>9780444821775</t>
  </si>
  <si>
    <t>32285002173689</t>
  </si>
  <si>
    <t>893434033</t>
  </si>
  <si>
    <t>QL639.1 .C48</t>
  </si>
  <si>
    <t>0                      QL 0639100C  48</t>
  </si>
  <si>
    <t>Chemoreception in fishes / edited by Toshiaki J. Hara.</t>
  </si>
  <si>
    <t>Amsterdam ; New York : Elsevier Scientific Pub. Co., 1982.</t>
  </si>
  <si>
    <t>Developments in aquaculture and fisheries science ; 8</t>
  </si>
  <si>
    <t>2002-12-02</t>
  </si>
  <si>
    <t>482958:eng</t>
  </si>
  <si>
    <t>7924755</t>
  </si>
  <si>
    <t>991005177379702656</t>
  </si>
  <si>
    <t>2270738140002656</t>
  </si>
  <si>
    <t>9780444420404</t>
  </si>
  <si>
    <t>32285001532695</t>
  </si>
  <si>
    <t>893536441</t>
  </si>
  <si>
    <t>QL639.1 .F552 1992</t>
  </si>
  <si>
    <t>0                      QL 0639100F  552         1992</t>
  </si>
  <si>
    <t>Fish chemoreception / edited by Toshiaki J. Hara.</t>
  </si>
  <si>
    <t>Fish and fisheries series ; 6</t>
  </si>
  <si>
    <t>1996-08-09</t>
  </si>
  <si>
    <t>28900438:eng</t>
  </si>
  <si>
    <t>25788402</t>
  </si>
  <si>
    <t>991002027069702656</t>
  </si>
  <si>
    <t>2255180260002656</t>
  </si>
  <si>
    <t>9780412351402</t>
  </si>
  <si>
    <t>32285002273406</t>
  </si>
  <si>
    <t>893328603</t>
  </si>
  <si>
    <t>QL639.1 .F554 1985</t>
  </si>
  <si>
    <t>0                      QL 0639100F  554         1985</t>
  </si>
  <si>
    <t>Fish energetics : new perspectives / edited by Peter Tytler &amp; Peter Calow.</t>
  </si>
  <si>
    <t>Baltimore, Md. : Johns Hopkins University Press, 1985.</t>
  </si>
  <si>
    <t>2001-07-25</t>
  </si>
  <si>
    <t>1993-01-07</t>
  </si>
  <si>
    <t>796043780:eng</t>
  </si>
  <si>
    <t>11676037</t>
  </si>
  <si>
    <t>991000573629702656</t>
  </si>
  <si>
    <t>2256830090002656</t>
  </si>
  <si>
    <t>9780801827921</t>
  </si>
  <si>
    <t>32285001473973</t>
  </si>
  <si>
    <t>893884538</t>
  </si>
  <si>
    <t>QL639.1 .G47 1994</t>
  </si>
  <si>
    <t>0                      QL 0639100G  47          1994</t>
  </si>
  <si>
    <t>Feeding ecology of fish / Shelby D. Gerking.</t>
  </si>
  <si>
    <t>Gerking, Shelby Delos, 1918-</t>
  </si>
  <si>
    <t>San Diego : Academic Press, c1994.</t>
  </si>
  <si>
    <t>2003-02-23</t>
  </si>
  <si>
    <t>144048374:eng</t>
  </si>
  <si>
    <t>29390160</t>
  </si>
  <si>
    <t>991002266509702656</t>
  </si>
  <si>
    <t>2262613840002656</t>
  </si>
  <si>
    <t>9780122807800</t>
  </si>
  <si>
    <t>32285002404019</t>
  </si>
  <si>
    <t>893523400</t>
  </si>
  <si>
    <t>QL639.1 .H4</t>
  </si>
  <si>
    <t>0                      QL 0639100H  4</t>
  </si>
  <si>
    <t>Hearing and sound communication in fishes / edited by William N. Tavolga, Arthur N. Popper, Richard R. Fay.</t>
  </si>
  <si>
    <t>1990-02-22</t>
  </si>
  <si>
    <t>347076006:eng</t>
  </si>
  <si>
    <t>7462981</t>
  </si>
  <si>
    <t>991005116479702656</t>
  </si>
  <si>
    <t>2262886590002656</t>
  </si>
  <si>
    <t>32285000050004</t>
  </si>
  <si>
    <t>893594496</t>
  </si>
  <si>
    <t>QL639.1 .H6 v.1</t>
  </si>
  <si>
    <t>0                      QL 0639100H  6                                                       v.1</t>
  </si>
  <si>
    <t>Excretion, ionic regulation, and metabolism / edited by W.S. Hoar and D.J. Randall.</t>
  </si>
  <si>
    <t>New York : Academic Press, 1969.</t>
  </si>
  <si>
    <t xml:space="preserve">gb </t>
  </si>
  <si>
    <t>Fish physiology ; v. 1</t>
  </si>
  <si>
    <t>2005-01-22</t>
  </si>
  <si>
    <t>766079944:eng</t>
  </si>
  <si>
    <t>24080560</t>
  </si>
  <si>
    <t>991003185399702656</t>
  </si>
  <si>
    <t>2270055430002656</t>
  </si>
  <si>
    <t>32285001133817</t>
  </si>
  <si>
    <t>893505286</t>
  </si>
  <si>
    <t>QL639.1 .H6 v.10</t>
  </si>
  <si>
    <t>0                      QL 0639100H  6                                                       v.10</t>
  </si>
  <si>
    <t>Gills / edited by W.S. Hoar, D.J. Randall.</t>
  </si>
  <si>
    <t>V. 10 PT. B</t>
  </si>
  <si>
    <t>Fish physiology ; v. 10</t>
  </si>
  <si>
    <t>3373585786:eng</t>
  </si>
  <si>
    <t>38318138</t>
  </si>
  <si>
    <t>991003531799702656</t>
  </si>
  <si>
    <t>2258901860002656</t>
  </si>
  <si>
    <t>9780123504302</t>
  </si>
  <si>
    <t>32285001133833</t>
  </si>
  <si>
    <t>893324159</t>
  </si>
  <si>
    <t>V. 10 PT. A</t>
  </si>
  <si>
    <t>32285001532778</t>
  </si>
  <si>
    <t>893324160</t>
  </si>
  <si>
    <t>QL639.1 .H6 v.14</t>
  </si>
  <si>
    <t>0                      QL 0639100H  6                                                       v.14</t>
  </si>
  <si>
    <t>Cellular and molecular approaches to fish ionic regulation / edited by Chris M. Wood, Trevor J. Shuttleworth.</t>
  </si>
  <si>
    <t>San Diego : Academic Press, c1995.</t>
  </si>
  <si>
    <t>Fish physiology ; v. 14</t>
  </si>
  <si>
    <t>2006-06-16</t>
  </si>
  <si>
    <t>2000-06-16</t>
  </si>
  <si>
    <t>2864428191:eng</t>
  </si>
  <si>
    <t>32774118</t>
  </si>
  <si>
    <t>991003188509702656</t>
  </si>
  <si>
    <t>2264256690002656</t>
  </si>
  <si>
    <t>9780123504388</t>
  </si>
  <si>
    <t>32285003548566</t>
  </si>
  <si>
    <t>893342303</t>
  </si>
  <si>
    <t>QL639.1 .H6 v.5</t>
  </si>
  <si>
    <t>0                      QL 0639100H  6                                                       v.5</t>
  </si>
  <si>
    <t>Sensory systems and electric organs / by W.S. Hoar and D.J. Randall.</t>
  </si>
  <si>
    <t>New York ; London : Academic Press, 1971.</t>
  </si>
  <si>
    <t>Fish physiology ; v. 5</t>
  </si>
  <si>
    <t>4163682062:eng</t>
  </si>
  <si>
    <t>24152018</t>
  </si>
  <si>
    <t>991003185489702656</t>
  </si>
  <si>
    <t>2256447330002656</t>
  </si>
  <si>
    <t>32285000060615</t>
  </si>
  <si>
    <t>893793391</t>
  </si>
  <si>
    <t>QL639.1 .H6 v.7</t>
  </si>
  <si>
    <t>0                      QL 0639100H  6                                                       v.7</t>
  </si>
  <si>
    <t>Locomotion / edited by W.S. Hoar and D.J. Randall.</t>
  </si>
  <si>
    <t>New York : Academic Press, 1978.</t>
  </si>
  <si>
    <t>Fish physiology ; v. 7</t>
  </si>
  <si>
    <t>2008-08-12</t>
  </si>
  <si>
    <t>766085582:eng</t>
  </si>
  <si>
    <t>24080825</t>
  </si>
  <si>
    <t>991003185459702656</t>
  </si>
  <si>
    <t>2270035450002656</t>
  </si>
  <si>
    <t>9780123504074</t>
  </si>
  <si>
    <t>32285001532745</t>
  </si>
  <si>
    <t>893262658</t>
  </si>
  <si>
    <t>QL639.1 .K49</t>
  </si>
  <si>
    <t>0                      QL 0639100K  49</t>
  </si>
  <si>
    <t>Olfaction in fishes.</t>
  </si>
  <si>
    <t>Kleerekoper, Herman, 1910-2005.</t>
  </si>
  <si>
    <t>Bloomington : Indiana University Press, [1969]</t>
  </si>
  <si>
    <t>1995-05-09</t>
  </si>
  <si>
    <t>1135375:eng</t>
  </si>
  <si>
    <t>12459</t>
  </si>
  <si>
    <t>991000004089702656</t>
  </si>
  <si>
    <t>2265022430002656</t>
  </si>
  <si>
    <t>32285002032844</t>
  </si>
  <si>
    <t>893902870</t>
  </si>
  <si>
    <t>QL639.1 .L3</t>
  </si>
  <si>
    <t>0                      QL 0639100L  3</t>
  </si>
  <si>
    <t>Lateral line detectors; proceedings of a conference held at Yeshiva University, New York, April 16-18, 1966. Edited by Phyllis H. Cahn.</t>
  </si>
  <si>
    <t>Bloomington, Indiana University Press [1967]</t>
  </si>
  <si>
    <t>2001-02-19</t>
  </si>
  <si>
    <t>836667599:eng</t>
  </si>
  <si>
    <t>757732</t>
  </si>
  <si>
    <t>991003233339702656</t>
  </si>
  <si>
    <t>2272537890002656</t>
  </si>
  <si>
    <t>32285002981693</t>
  </si>
  <si>
    <t>893809884</t>
  </si>
  <si>
    <t>QL639.1 .M64 1995</t>
  </si>
  <si>
    <t>0                      QL 0639100M  64          1995</t>
  </si>
  <si>
    <t>Electric fishes : history and behavior / Peter Moller ; with a foreword by Hans W. Lissmann ; illustrations by Jacques Serrier.</t>
  </si>
  <si>
    <t>Moller, Peter, 1941-</t>
  </si>
  <si>
    <t>Chapman &amp; Hall fish and fisheries series ; 17</t>
  </si>
  <si>
    <t>1996-06-04</t>
  </si>
  <si>
    <t>364536763:eng</t>
  </si>
  <si>
    <t>33100429</t>
  </si>
  <si>
    <t>991002547149702656</t>
  </si>
  <si>
    <t>2271280200002656</t>
  </si>
  <si>
    <t>9780412373800</t>
  </si>
  <si>
    <t>32285002187317</t>
  </si>
  <si>
    <t>893721515</t>
  </si>
  <si>
    <t>QL639.1 .N35 1979</t>
  </si>
  <si>
    <t>0                      QL 0639100N  35          1979</t>
  </si>
  <si>
    <t>Environmental physiology of fishes / edited by M. A. Ali.</t>
  </si>
  <si>
    <t>NATO Advanced Study Institute on Environmental Physiology of Fishes (1979 : Bishop's University)</t>
  </si>
  <si>
    <t>NATO advanced study institutes series. Series A, Life sciences ; v. 35</t>
  </si>
  <si>
    <t>2002-01-24</t>
  </si>
  <si>
    <t>147053961:eng</t>
  </si>
  <si>
    <t>6762754</t>
  </si>
  <si>
    <t>991005037879702656</t>
  </si>
  <si>
    <t>2262894050002656</t>
  </si>
  <si>
    <t>9780306405747</t>
  </si>
  <si>
    <t>32285001532810</t>
  </si>
  <si>
    <t>893883242</t>
  </si>
  <si>
    <t>QL639.1 .R5</t>
  </si>
  <si>
    <t>0                      QL 0639100R  5</t>
  </si>
  <si>
    <t>Rhythmic activity of fishes / edited by J. E. Thorpe.</t>
  </si>
  <si>
    <t>London ; New York : Academic Press, 1978.</t>
  </si>
  <si>
    <t>1998-06-03</t>
  </si>
  <si>
    <t>352419440:eng</t>
  </si>
  <si>
    <t>4578183</t>
  </si>
  <si>
    <t>991004682799702656</t>
  </si>
  <si>
    <t>2261911610002656</t>
  </si>
  <si>
    <t>9780126906509</t>
  </si>
  <si>
    <t>32285001532828</t>
  </si>
  <si>
    <t>893235814</t>
  </si>
  <si>
    <t>QL639.1 .S46 2004</t>
  </si>
  <si>
    <t>0                      QL 0639100S  46          2004</t>
  </si>
  <si>
    <t>The senses of fish : adaptations for the reception of natural stimuli / editors, Gerhard von der Emde, Joachim Mogdans, B.G. Kapoor.</t>
  </si>
  <si>
    <t>Boston : Kluwer ; New Delhi : Narosa Pub., c2004.</t>
  </si>
  <si>
    <t>2005-05-25</t>
  </si>
  <si>
    <t>364545789:eng</t>
  </si>
  <si>
    <t>55997983</t>
  </si>
  <si>
    <t>991004518559702656</t>
  </si>
  <si>
    <t>2260281150002656</t>
  </si>
  <si>
    <t>9781402018206</t>
  </si>
  <si>
    <t>32285005090567</t>
  </si>
  <si>
    <t>893247670</t>
  </si>
  <si>
    <t>QL639.1 .S66</t>
  </si>
  <si>
    <t>0                      QL 0639100S  66</t>
  </si>
  <si>
    <t>Sound reception in fishes / edited by William N. Tavolga.</t>
  </si>
  <si>
    <t>Stroudsburg, Pa. : Dowden, Hutchinson &amp; Ross ; [New York] : distributed by Halsted Press, c1976.</t>
  </si>
  <si>
    <t>Benchmark papers in animal behavior ; 7</t>
  </si>
  <si>
    <t>2007-02-04</t>
  </si>
  <si>
    <t>4646612:eng</t>
  </si>
  <si>
    <t>2317975</t>
  </si>
  <si>
    <t>991004075509702656</t>
  </si>
  <si>
    <t>2264211210002656</t>
  </si>
  <si>
    <t>9780879332396</t>
  </si>
  <si>
    <t>32285000065010</t>
  </si>
  <si>
    <t>893869249</t>
  </si>
  <si>
    <t>QL639.1 .W4 1972</t>
  </si>
  <si>
    <t>0                      QL 0639100W  4           1972</t>
  </si>
  <si>
    <t>Growth and ecology of fish populations [by] A. H. Weatherley.</t>
  </si>
  <si>
    <t>Weatherley, A. H.</t>
  </si>
  <si>
    <t>London, New York, Academic Press, 1972.</t>
  </si>
  <si>
    <t>1490791:eng</t>
  </si>
  <si>
    <t>417983</t>
  </si>
  <si>
    <t>991002733069702656</t>
  </si>
  <si>
    <t>2258359780002656</t>
  </si>
  <si>
    <t>9780127390505</t>
  </si>
  <si>
    <t>32285002981719</t>
  </si>
  <si>
    <t>893257641</t>
  </si>
  <si>
    <t>QL639.2 .F58 1984</t>
  </si>
  <si>
    <t>0                      QL 0639200F  58          1984</t>
  </si>
  <si>
    <t>Fish reproduction : strategies and tactics / edited by G.W. Potts, R.J. Wootton.</t>
  </si>
  <si>
    <t>London ; New York : Academic Press, 1984.</t>
  </si>
  <si>
    <t>2006-02-04</t>
  </si>
  <si>
    <t>796044093:eng</t>
  </si>
  <si>
    <t>10636786</t>
  </si>
  <si>
    <t>991000402819702656</t>
  </si>
  <si>
    <t>2269229450002656</t>
  </si>
  <si>
    <t>9780125636605</t>
  </si>
  <si>
    <t>32285001532836</t>
  </si>
  <si>
    <t>893902986</t>
  </si>
  <si>
    <t>QL639.2 .I58 1995</t>
  </si>
  <si>
    <t>0                      QL 0639200I  58          1995</t>
  </si>
  <si>
    <t>Proceedings of the Fifth International Symposium on the Reproductive Physiology of Fish : the University of Texas at Austin, Austin, Texas U.S.A., 2-8 July 1995 / edited by F.W. Goetz and P. Thomas.</t>
  </si>
  <si>
    <t>International Symposium on Reproductive Physiology of Fish (5th : 1995 : University of Texas at Austin)</t>
  </si>
  <si>
    <t>Austin : Fish Symposium 95, c1995.</t>
  </si>
  <si>
    <t>1996-08-01</t>
  </si>
  <si>
    <t>150519357:eng</t>
  </si>
  <si>
    <t>34521762</t>
  </si>
  <si>
    <t>991002635549702656</t>
  </si>
  <si>
    <t>2257889650002656</t>
  </si>
  <si>
    <t>32285002209087</t>
  </si>
  <si>
    <t>893262385</t>
  </si>
  <si>
    <t>QL639.2 .T5 1984</t>
  </si>
  <si>
    <t>0                      QL 0639200T  5           1984</t>
  </si>
  <si>
    <t>Reproduction in reef fishes / R.E. Thresher.</t>
  </si>
  <si>
    <t>Thresher, Ronald E., 1949-</t>
  </si>
  <si>
    <t>Neptune City, N.J. : T.F.H. Publications, Inc., c1984.</t>
  </si>
  <si>
    <t>2008-07-10</t>
  </si>
  <si>
    <t>1992-03-12</t>
  </si>
  <si>
    <t>4113267:eng</t>
  </si>
  <si>
    <t>11137349</t>
  </si>
  <si>
    <t>991000496289702656</t>
  </si>
  <si>
    <t>2264005080002656</t>
  </si>
  <si>
    <t>9780876668085</t>
  </si>
  <si>
    <t>32285000998210</t>
  </si>
  <si>
    <t>893796706</t>
  </si>
  <si>
    <t>QL639.3 .B43</t>
  </si>
  <si>
    <t>0                      QL 0639300B  43</t>
  </si>
  <si>
    <t>The Behavior of fish and other aquatic animals / edited by David I. Mostofsky.</t>
  </si>
  <si>
    <t>2000-12-15</t>
  </si>
  <si>
    <t>54199924:eng</t>
  </si>
  <si>
    <t>3480658</t>
  </si>
  <si>
    <t>991004444489702656</t>
  </si>
  <si>
    <t>2265140230002656</t>
  </si>
  <si>
    <t>9780125092500</t>
  </si>
  <si>
    <t>32285001068799</t>
  </si>
  <si>
    <t>893599844</t>
  </si>
  <si>
    <t>QL639.3 .B44 1993</t>
  </si>
  <si>
    <t>0                      QL 0639300B  44          1993</t>
  </si>
  <si>
    <t>Behaviour of teleost fishes / edited by Tony J. Pitcher.</t>
  </si>
  <si>
    <t>London ; New York : Chapman &amp; Hall, 1993.</t>
  </si>
  <si>
    <t>Fish and fisheries series ; 7</t>
  </si>
  <si>
    <t>2008-05-20</t>
  </si>
  <si>
    <t>1996-06-06</t>
  </si>
  <si>
    <t>2789059482:eng</t>
  </si>
  <si>
    <t>26672472</t>
  </si>
  <si>
    <t>991002079449702656</t>
  </si>
  <si>
    <t>2268586680002656</t>
  </si>
  <si>
    <t>9780412429309</t>
  </si>
  <si>
    <t>32285002188927</t>
  </si>
  <si>
    <t>893809296</t>
  </si>
  <si>
    <t>QL639.3 .S68</t>
  </si>
  <si>
    <t>0                      QL 0639300S  68</t>
  </si>
  <si>
    <t>Sound production in fishes / edited by William N. Tavolga. --</t>
  </si>
  <si>
    <t>Stroudsburg, Pa. : Dowden, Hutchinson &amp; Ross ; [New York] : distributed by Halsted Press, c1977.</t>
  </si>
  <si>
    <t>Benchmark papers in animal behavior ; 9</t>
  </si>
  <si>
    <t>1990-02-21</t>
  </si>
  <si>
    <t>54128833:eng</t>
  </si>
  <si>
    <t>2388278</t>
  </si>
  <si>
    <t>991004108199702656</t>
  </si>
  <si>
    <t>2259324120002656</t>
  </si>
  <si>
    <t>9780879332617</t>
  </si>
  <si>
    <t>32285000055441</t>
  </si>
  <si>
    <t>893337331</t>
  </si>
  <si>
    <t>QL639.5 .H29 1968</t>
  </si>
  <si>
    <t>0                      QL 0639500H  29          1968</t>
  </si>
  <si>
    <t>Fish migration [by] F. R. Harden Jones. Illustrated by H. E. Jenner.</t>
  </si>
  <si>
    <t>Harden Jones, F. R.</t>
  </si>
  <si>
    <t>New York, St. Martin's Press, 1968.</t>
  </si>
  <si>
    <t>2008-07-15</t>
  </si>
  <si>
    <t>1331006:eng</t>
  </si>
  <si>
    <t>442748</t>
  </si>
  <si>
    <t>991002789049702656</t>
  </si>
  <si>
    <t>2255994790002656</t>
  </si>
  <si>
    <t>32285002981743</t>
  </si>
  <si>
    <t>893440526</t>
  </si>
  <si>
    <t>QL639.5 .M42 1984</t>
  </si>
  <si>
    <t>0                      QL 0639500M  42          1984</t>
  </si>
  <si>
    <t>Fish migration / Brian A. McKeown.</t>
  </si>
  <si>
    <t>McKeown, Brian A.</t>
  </si>
  <si>
    <t>London : Croom Helm, c1984.</t>
  </si>
  <si>
    <t>4425805:eng</t>
  </si>
  <si>
    <t>11569944</t>
  </si>
  <si>
    <t>991000557059702656</t>
  </si>
  <si>
    <t>2263387920002656</t>
  </si>
  <si>
    <t>9780917304996</t>
  </si>
  <si>
    <t>32285001532869</t>
  </si>
  <si>
    <t>893683533</t>
  </si>
  <si>
    <t>QL639.5 .S65 1985</t>
  </si>
  <si>
    <t>0                      QL 0639500S  65          1985</t>
  </si>
  <si>
    <t>The control of fish migration / R.J.F. Smith.</t>
  </si>
  <si>
    <t>Smith, R. J. F. (Reginald Jan Frederick), 1940-</t>
  </si>
  <si>
    <t>Berlin ; New York : Springer-Verlag, 1985.</t>
  </si>
  <si>
    <t>Zoophysiology ; v. 17</t>
  </si>
  <si>
    <t>4061876:eng</t>
  </si>
  <si>
    <t>11090101</t>
  </si>
  <si>
    <t>991000487889702656</t>
  </si>
  <si>
    <t>2269232200002656</t>
  </si>
  <si>
    <t>9780387137070</t>
  </si>
  <si>
    <t>32285001532877</t>
  </si>
  <si>
    <t>893771674</t>
  </si>
  <si>
    <t>QL640 .M67</t>
  </si>
  <si>
    <t>0                      QL 0640000M  67</t>
  </si>
  <si>
    <t>Morphology and biology of reptiles / edited by A. d'A. Bellairs and C. Barry Cox.</t>
  </si>
  <si>
    <t>London : Published for the Linnean Society of London by Academic Press, c1976.</t>
  </si>
  <si>
    <t>Linnean Society symposium series ; no. 3</t>
  </si>
  <si>
    <t>363756342:eng</t>
  </si>
  <si>
    <t>2846860</t>
  </si>
  <si>
    <t>991004261669702656</t>
  </si>
  <si>
    <t>2263592990002656</t>
  </si>
  <si>
    <t>9780120858507</t>
  </si>
  <si>
    <t>32285002981768</t>
  </si>
  <si>
    <t>893693722</t>
  </si>
  <si>
    <t>QL640 .V48 1984</t>
  </si>
  <si>
    <t>0                      QL 0640000V  48          1984</t>
  </si>
  <si>
    <t>Vertebrate ecology and systematics : a tribute to Henry S. Fitch / edited by Richard A. Seigel ... [et al].</t>
  </si>
  <si>
    <t>Lawrence : University of Kansas, Museum of Natural History, 1984.</t>
  </si>
  <si>
    <t>Special publication (University of Kansas. Museum of Natural History) ; no. 10</t>
  </si>
  <si>
    <t>1999-10-06</t>
  </si>
  <si>
    <t>898223377:eng</t>
  </si>
  <si>
    <t>10911912</t>
  </si>
  <si>
    <t>991000453359702656</t>
  </si>
  <si>
    <t>2257595570002656</t>
  </si>
  <si>
    <t>32285001532901</t>
  </si>
  <si>
    <t>893438265</t>
  </si>
  <si>
    <t>QL641 .A35 1983</t>
  </si>
  <si>
    <t>0                      QL 0641000A  35          1983</t>
  </si>
  <si>
    <t>Advances in herpetology and evolutionary biology : essays in honor of Ernest E. Williams / edited by Anders G.J. Rhodin, Kenneth Miyata.</t>
  </si>
  <si>
    <t>Cambridge, Mass. : Museum of Comparative Zoology, 1983.</t>
  </si>
  <si>
    <t>796082881:eng</t>
  </si>
  <si>
    <t>10270558</t>
  </si>
  <si>
    <t>991000340939702656</t>
  </si>
  <si>
    <t>2271952070002656</t>
  </si>
  <si>
    <t>9780910999007</t>
  </si>
  <si>
    <t>32285001532919</t>
  </si>
  <si>
    <t>893777856</t>
  </si>
  <si>
    <t>QL641 .B38 1970</t>
  </si>
  <si>
    <t>0                      QL 0641000B  38          1970</t>
  </si>
  <si>
    <t>The life of reptiles [by] Angus Bellairs.</t>
  </si>
  <si>
    <t>Bellairs, Angus d'A.</t>
  </si>
  <si>
    <t>New York, Universe Books [1970]</t>
  </si>
  <si>
    <t>The Universe natural history series</t>
  </si>
  <si>
    <t>2003-02-27</t>
  </si>
  <si>
    <t>10628319111:eng</t>
  </si>
  <si>
    <t>74606</t>
  </si>
  <si>
    <t>991000424629702656</t>
  </si>
  <si>
    <t>2272176750002656</t>
  </si>
  <si>
    <t>9780876631133</t>
  </si>
  <si>
    <t>32285002981776</t>
  </si>
  <si>
    <t>893345644</t>
  </si>
  <si>
    <t>QL641 .B38 1970 V.2</t>
  </si>
  <si>
    <t>0                      QL 0641000B  38          1970                                        V.2</t>
  </si>
  <si>
    <t>32285002981784</t>
  </si>
  <si>
    <t>893351517</t>
  </si>
  <si>
    <t>QL641 .B4 1968</t>
  </si>
  <si>
    <t>0                      QL 0641000B  4           1968</t>
  </si>
  <si>
    <t>Reptiles.</t>
  </si>
  <si>
    <t>London, Hutchinson, 1968.</t>
  </si>
  <si>
    <t>2001-03-19</t>
  </si>
  <si>
    <t>4928079414:eng</t>
  </si>
  <si>
    <t>459886</t>
  </si>
  <si>
    <t>991002816209702656</t>
  </si>
  <si>
    <t>2264364270002656</t>
  </si>
  <si>
    <t>9780090399420</t>
  </si>
  <si>
    <t>32285002981792</t>
  </si>
  <si>
    <t>893245682</t>
  </si>
  <si>
    <t>QL641 .C6</t>
  </si>
  <si>
    <t>0                      QL 0641000C  6</t>
  </si>
  <si>
    <t>Living amphibians of the world. With photos. by Robert S. Simmons, and others.</t>
  </si>
  <si>
    <t>Cochran, Doris M. (Doris Mable), 1898-1968.</t>
  </si>
  <si>
    <t>Garden City, N.Y., Doubleday [1961]</t>
  </si>
  <si>
    <t>2006-02-24</t>
  </si>
  <si>
    <t>197547046:eng</t>
  </si>
  <si>
    <t>567566</t>
  </si>
  <si>
    <t>991002999389702656</t>
  </si>
  <si>
    <t>2257690670002656</t>
  </si>
  <si>
    <t>32285002981800</t>
  </si>
  <si>
    <t>893434545</t>
  </si>
  <si>
    <t>QL641 .D6 1933</t>
  </si>
  <si>
    <t>0                      QL 0641000D  6           1933</t>
  </si>
  <si>
    <t>Reptiles of the world : the crocodilians, lizards, snakes, turtles and tortoises of the eastern and western hemispheres / by Raymond L. Ditmars.</t>
  </si>
  <si>
    <t>Ditmars, Raymond Lee, 1876-1942.</t>
  </si>
  <si>
    <t>New York, The Macmillan company, 1933.</t>
  </si>
  <si>
    <t>1933</t>
  </si>
  <si>
    <t>New rev. ed.</t>
  </si>
  <si>
    <t>1618067:eng</t>
  </si>
  <si>
    <t>556381</t>
  </si>
  <si>
    <t>991002983999702656</t>
  </si>
  <si>
    <t>2259902080002656</t>
  </si>
  <si>
    <t>32285001532927</t>
  </si>
  <si>
    <t>893317513</t>
  </si>
  <si>
    <t>QL641 .P6 1955</t>
  </si>
  <si>
    <t>0                      QL 0641000P  6           1955</t>
  </si>
  <si>
    <t>The reptile world : a natural history of the snakes, lizards, turtles, and crocodilians.</t>
  </si>
  <si>
    <t>Pope, Clifford H. (Clifford Hillhouse), 1899-1974.</t>
  </si>
  <si>
    <t>New York : Knopf, 1955.</t>
  </si>
  <si>
    <t>1993-04-01</t>
  </si>
  <si>
    <t>196687105:eng</t>
  </si>
  <si>
    <t>305269</t>
  </si>
  <si>
    <t>991002262839702656</t>
  </si>
  <si>
    <t>2265620420002656</t>
  </si>
  <si>
    <t>32285001597797</t>
  </si>
  <si>
    <t>893244959</t>
  </si>
  <si>
    <t>QL644 .C3</t>
  </si>
  <si>
    <t>0                      QL 0644000C  3</t>
  </si>
  <si>
    <t>The reptiles / by Archie Carr and the editors of Life.</t>
  </si>
  <si>
    <t>Carr, Archie, 1909-1987.</t>
  </si>
  <si>
    <t>New York : Time, inc., [1963]</t>
  </si>
  <si>
    <t>68813918:eng</t>
  </si>
  <si>
    <t>966452</t>
  </si>
  <si>
    <t>991003431709702656</t>
  </si>
  <si>
    <t>2262157510002656</t>
  </si>
  <si>
    <t>32285001851210</t>
  </si>
  <si>
    <t>893445655</t>
  </si>
  <si>
    <t>QL644 .C6</t>
  </si>
  <si>
    <t>0                      QL 0644000C  6</t>
  </si>
  <si>
    <t>The new field book of reptiles and amphibians / [by] Doris M. Cochran [and] Coleman J. Goin.</t>
  </si>
  <si>
    <t>New York : Putnam, [1970]</t>
  </si>
  <si>
    <t>2007-03-18</t>
  </si>
  <si>
    <t>1249101:eng</t>
  </si>
  <si>
    <t>75884</t>
  </si>
  <si>
    <t>991000431499702656</t>
  </si>
  <si>
    <t>2255781850002656</t>
  </si>
  <si>
    <t>32285001986768</t>
  </si>
  <si>
    <t>893620479</t>
  </si>
  <si>
    <t>QL644 .S35</t>
  </si>
  <si>
    <t>0                      QL 0644000S  35</t>
  </si>
  <si>
    <t>Living reptiles of the world, by Karl P. Schmidt and Robert F. Inger. Photos. by Roy Pinney [and others]</t>
  </si>
  <si>
    <t>Schmidt, Karl Patterson, 1890-1957.</t>
  </si>
  <si>
    <t>Garden City, N.Y., Hanover House [1957]</t>
  </si>
  <si>
    <t>2004-03-21</t>
  </si>
  <si>
    <t>4494927850:eng</t>
  </si>
  <si>
    <t>555533</t>
  </si>
  <si>
    <t>991002982339702656</t>
  </si>
  <si>
    <t>2260491820002656</t>
  </si>
  <si>
    <t>32285001053452</t>
  </si>
  <si>
    <t>893598134</t>
  </si>
  <si>
    <t>QL645 .G68 1986</t>
  </si>
  <si>
    <t>0                      QL 0645000G  68          1986</t>
  </si>
  <si>
    <t>Reptiles, their Latin names explained : a guide to animal classification / A.F. Gotch.</t>
  </si>
  <si>
    <t>Gotch, A. F. (Arthur Frederick)</t>
  </si>
  <si>
    <t>Poole, Dorset ; New York : Blandford Press ; New York, NY : Distributed in the U.S. by Sterling Pub., c1986.</t>
  </si>
  <si>
    <t>1990-11-26</t>
  </si>
  <si>
    <t>8326102:eng</t>
  </si>
  <si>
    <t>14412159</t>
  </si>
  <si>
    <t>991000941239702656</t>
  </si>
  <si>
    <t>2261957830002656</t>
  </si>
  <si>
    <t>9780713717044</t>
  </si>
  <si>
    <t>32285000356625</t>
  </si>
  <si>
    <t>893515765</t>
  </si>
  <si>
    <t>QL645 .W4</t>
  </si>
  <si>
    <t>0                      QL 0645000W  4</t>
  </si>
  <si>
    <t>Guide to living reptiles / J.E. Webb, J.A. Wallwork, J.H. Elgood.</t>
  </si>
  <si>
    <t>Webb, J. E.</t>
  </si>
  <si>
    <t>London : Macmillan, 1978.</t>
  </si>
  <si>
    <t>1996-06-12</t>
  </si>
  <si>
    <t>17917837:eng</t>
  </si>
  <si>
    <t>5338533</t>
  </si>
  <si>
    <t>991004823209702656</t>
  </si>
  <si>
    <t>2268193470002656</t>
  </si>
  <si>
    <t>9780333256534</t>
  </si>
  <si>
    <t>32285001532943</t>
  </si>
  <si>
    <t>893241877</t>
  </si>
  <si>
    <t>QL651 .B37</t>
  </si>
  <si>
    <t>0                      QL 0651000B  37</t>
  </si>
  <si>
    <t>Familiar reptiles and amphibians of America / drawings by John Cameron Yrizarry.</t>
  </si>
  <si>
    <t>Barker, Will.</t>
  </si>
  <si>
    <t>New York : Harper &amp; Row, [1964]</t>
  </si>
  <si>
    <t>2001-03-11</t>
  </si>
  <si>
    <t>1532720:eng</t>
  </si>
  <si>
    <t>469406</t>
  </si>
  <si>
    <t>991002823259702656</t>
  </si>
  <si>
    <t>2262147550002656</t>
  </si>
  <si>
    <t>32285000773704</t>
  </si>
  <si>
    <t>893227326</t>
  </si>
  <si>
    <t>QL651 .C65 1975</t>
  </si>
  <si>
    <t>0                      QL 0651000C  65          1975</t>
  </si>
  <si>
    <t>A field guide to reptiles and amphibians of Eastern and Central North America / illustrated by Isabelle Hunt Conant.</t>
  </si>
  <si>
    <t>Conant, Roger, 1909-2003.</t>
  </si>
  <si>
    <t>Boston : Houghton Mifflin, 1975.</t>
  </si>
  <si>
    <t>The Peterson field guide series, 12</t>
  </si>
  <si>
    <t>2001-03-25</t>
  </si>
  <si>
    <t>1998-01-07</t>
  </si>
  <si>
    <t>3855351827:eng</t>
  </si>
  <si>
    <t>1423604</t>
  </si>
  <si>
    <t>991001408469702656</t>
  </si>
  <si>
    <t>2269589190002656</t>
  </si>
  <si>
    <t>9780395199794</t>
  </si>
  <si>
    <t>32285003308243</t>
  </si>
  <si>
    <t>893690597</t>
  </si>
  <si>
    <t>QL651 .D54 1969</t>
  </si>
  <si>
    <t>0                      QL 0651000D  54          1969</t>
  </si>
  <si>
    <t>The frog book; North American toads and frogs, with a study of the habits and life histories of those of the northeastern States. With a new pref. and appendix of nomenclatural changes by James D. Anderson.</t>
  </si>
  <si>
    <t>Dickerson, Mary Cynthia, 1866-1923.</t>
  </si>
  <si>
    <t>New York, Dover Publications [1969]</t>
  </si>
  <si>
    <t>2009-04-08</t>
  </si>
  <si>
    <t>492208:eng</t>
  </si>
  <si>
    <t>12443</t>
  </si>
  <si>
    <t>991000004029702656</t>
  </si>
  <si>
    <t>2265026290002656</t>
  </si>
  <si>
    <t>9780486219738</t>
  </si>
  <si>
    <t>32285001532976</t>
  </si>
  <si>
    <t>893708008</t>
  </si>
  <si>
    <t>QL651 .D6 1936</t>
  </si>
  <si>
    <t>0                      QL 0651000D  6           1936</t>
  </si>
  <si>
    <t>The reptiles of North America : a review of the crocodilians, lizard, snakes, turtles and tortoises inhabiting the United States and northern Mexico / by Raymond L. Ditmars ... Eight plates in color and more than four hundred photographs from life.</t>
  </si>
  <si>
    <t>Garden City, N.Y. : Doubleday, Doran &amp; Company, inc., 1936.</t>
  </si>
  <si>
    <t>1992-04-01</t>
  </si>
  <si>
    <t>6557513:eng</t>
  </si>
  <si>
    <t>1861610</t>
  </si>
  <si>
    <t>991003916719702656</t>
  </si>
  <si>
    <t>2261792410002656</t>
  </si>
  <si>
    <t>32285001030732</t>
  </si>
  <si>
    <t>893499884</t>
  </si>
  <si>
    <t>QL651 .H37 1983</t>
  </si>
  <si>
    <t>0                      QL 0651000H  37          1983</t>
  </si>
  <si>
    <t>Catalogue of New World amphibians / by Keith A. Harding.</t>
  </si>
  <si>
    <t>Harding, Keith A.</t>
  </si>
  <si>
    <t>Oxford [Oxfordshire] ; New York : Pergamon Press, 1983.</t>
  </si>
  <si>
    <t>43708529:eng</t>
  </si>
  <si>
    <t>9644553</t>
  </si>
  <si>
    <t>991000232149702656</t>
  </si>
  <si>
    <t>2267402930002656</t>
  </si>
  <si>
    <t>9780080288994</t>
  </si>
  <si>
    <t>32285001532984</t>
  </si>
  <si>
    <t>893614038</t>
  </si>
  <si>
    <t>QL651 .O4</t>
  </si>
  <si>
    <t>0                      QL 0651000O  4</t>
  </si>
  <si>
    <t>The natural history of North American amphibians and reptiles.</t>
  </si>
  <si>
    <t>Oliver, James A. (James Arthur), 1914-1981.</t>
  </si>
  <si>
    <t>Princeton, N.J., Van Nostrand [1955]</t>
  </si>
  <si>
    <t>The New illustrated naturalist</t>
  </si>
  <si>
    <t>20051675:eng</t>
  </si>
  <si>
    <t>558672</t>
  </si>
  <si>
    <t>991002988099702656</t>
  </si>
  <si>
    <t>2258418530002656</t>
  </si>
  <si>
    <t>32285002981818</t>
  </si>
  <si>
    <t>893704766</t>
  </si>
  <si>
    <t>QL651 .S59 1982</t>
  </si>
  <si>
    <t>0                      QL 0651000S  59          1982</t>
  </si>
  <si>
    <t>Reptiles of North America : a guide to field identification / by Hobart M. Smith and Edmund D. Brodie, Jr. ; illustrated by David M. Dennis and Sy Barlowe.</t>
  </si>
  <si>
    <t>Smith, Hobart M. (Hobart Muir), 1912-2013.</t>
  </si>
  <si>
    <t>New York : Golden Press, c1982.</t>
  </si>
  <si>
    <t>The Golden field guide series</t>
  </si>
  <si>
    <t>2001-08-01</t>
  </si>
  <si>
    <t>905706307:eng</t>
  </si>
  <si>
    <t>8785374</t>
  </si>
  <si>
    <t>991001915129702656</t>
  </si>
  <si>
    <t>2266893640002656</t>
  </si>
  <si>
    <t>9780307136664</t>
  </si>
  <si>
    <t>32285003308250</t>
  </si>
  <si>
    <t>893334716</t>
  </si>
  <si>
    <t>QL653.A7 M5 1982</t>
  </si>
  <si>
    <t>0                      QL 0653000A  7                  M  5           1982</t>
  </si>
  <si>
    <t>Amphibians and reptiles of the Grand Canyon National Park / by Donald M. Miller ... [et al.]</t>
  </si>
  <si>
    <t>Miller, Donald M.</t>
  </si>
  <si>
    <t>[Grand Canyon, Ariz.] : Grand Canyon Natural History Association, c1982.</t>
  </si>
  <si>
    <t>azu</t>
  </si>
  <si>
    <t>Monograph (Grand Canyon Natural History Association) ; no. 4</t>
  </si>
  <si>
    <t>1997-02-05</t>
  </si>
  <si>
    <t>7474493:eng</t>
  </si>
  <si>
    <t>13580466</t>
  </si>
  <si>
    <t>991000159519702656</t>
  </si>
  <si>
    <t>2256617440002656</t>
  </si>
  <si>
    <t>9780938216179</t>
  </si>
  <si>
    <t>32285001532992</t>
  </si>
  <si>
    <t>893413137</t>
  </si>
  <si>
    <t>QL653.G4 M3 1956</t>
  </si>
  <si>
    <t>0                      QL 0653000G  4                  M  3           1956</t>
  </si>
  <si>
    <t>Amphibians and reptiles of Georgia, a guide / by Bernard S. Martof.</t>
  </si>
  <si>
    <t>Martof, Bernard S. (Bernard Stephen), 1920-</t>
  </si>
  <si>
    <t>Athens : University of Georgia Press, c1956.</t>
  </si>
  <si>
    <t>1623187:eng</t>
  </si>
  <si>
    <t>557717</t>
  </si>
  <si>
    <t>991002986139702656</t>
  </si>
  <si>
    <t>2261489720002656</t>
  </si>
  <si>
    <t>32285001533008</t>
  </si>
  <si>
    <t>893686049</t>
  </si>
  <si>
    <t>QL653.I5 S65</t>
  </si>
  <si>
    <t>0                      QL 0653000I  5                  S  65</t>
  </si>
  <si>
    <t>The amphibians and reptiles of Illinois / Philip W. Smith.</t>
  </si>
  <si>
    <t>Smith, Philip W. (Philip Wayne), 1921-1986.</t>
  </si>
  <si>
    <t>Urbana : Illinois Dept. of Registration and Education, Natural History Survey Division, 1961.</t>
  </si>
  <si>
    <t>Illinois. Natural History Survey Division. Bulletin, v. 28, article 1</t>
  </si>
  <si>
    <t>1993-04-22</t>
  </si>
  <si>
    <t>3372179896:eng</t>
  </si>
  <si>
    <t>961212</t>
  </si>
  <si>
    <t>991003420399702656</t>
  </si>
  <si>
    <t>2258529040002656</t>
  </si>
  <si>
    <t>32285001533016</t>
  </si>
  <si>
    <t>893711360</t>
  </si>
  <si>
    <t>QL653.K3 C64 1982</t>
  </si>
  <si>
    <t>0                      QL 0653000K  3                  C  64          1982</t>
  </si>
  <si>
    <t>Amphibians and reptiles in Kansas / by Joseph T. Collins.</t>
  </si>
  <si>
    <t>Collins, Joseph T.</t>
  </si>
  <si>
    <t>Lawrence, Kan. : University of Kansas, 1982.</t>
  </si>
  <si>
    <t>2nd (Revised) ed.</t>
  </si>
  <si>
    <t>Public education series ; no. 8</t>
  </si>
  <si>
    <t>379062:eng</t>
  </si>
  <si>
    <t>8751430</t>
  </si>
  <si>
    <t>991000063129702656</t>
  </si>
  <si>
    <t>2264953430002656</t>
  </si>
  <si>
    <t>9780893380120</t>
  </si>
  <si>
    <t>32285001533024</t>
  </si>
  <si>
    <t>893695556</t>
  </si>
  <si>
    <t>QL653.K3 S5</t>
  </si>
  <si>
    <t>0                      QL 0653000K  3                  S  5</t>
  </si>
  <si>
    <t>Handbook of amphibians and reptiles of Kansas.</t>
  </si>
  <si>
    <t>Lawrence : University of Kansas, 1950.</t>
  </si>
  <si>
    <t>University of Kansas Museum of Natural History. Miscellaneous publication, no.2</t>
  </si>
  <si>
    <t>1999-02-23</t>
  </si>
  <si>
    <t>1928956:eng</t>
  </si>
  <si>
    <t>971197</t>
  </si>
  <si>
    <t>991003435689702656</t>
  </si>
  <si>
    <t>2257024320002656</t>
  </si>
  <si>
    <t>32285001533032</t>
  </si>
  <si>
    <t>893531184</t>
  </si>
  <si>
    <t>QL653.M55 B7</t>
  </si>
  <si>
    <t>0                      QL 0653000M  55                 B  7</t>
  </si>
  <si>
    <t>Reptiles and amphibians of Minnesota / by W. J. Breckenridge.</t>
  </si>
  <si>
    <t>Breckenridge, W. J. (Walter John), 1903-2003.</t>
  </si>
  <si>
    <t>Minneapolis, The University of Minnesota press [1944, 1970 printing]</t>
  </si>
  <si>
    <t>1944</t>
  </si>
  <si>
    <t>1998-02-22</t>
  </si>
  <si>
    <t>131333844:eng</t>
  </si>
  <si>
    <t>2997146</t>
  </si>
  <si>
    <t>991004311609702656</t>
  </si>
  <si>
    <t>2260310100002656</t>
  </si>
  <si>
    <t>32285001533040</t>
  </si>
  <si>
    <t>893888548</t>
  </si>
  <si>
    <t>QL653.P4 H86 2001</t>
  </si>
  <si>
    <t>0                      QL 0653000P  4                  H  86          2001</t>
  </si>
  <si>
    <t>Amphibians and reptiles of Pennsylvania and the Northeast / Arthur C. Hulse, C.J. McCoy, and Ellen Censky ; illustrated by Linda Witt Fries.</t>
  </si>
  <si>
    <t>Hulse, Arthur C.</t>
  </si>
  <si>
    <t>Ithaca : Comstock Publishing Associates, 2001.</t>
  </si>
  <si>
    <t>Comstock books in herpetology</t>
  </si>
  <si>
    <t>2002-08-22</t>
  </si>
  <si>
    <t>34694898:eng</t>
  </si>
  <si>
    <t>45123228</t>
  </si>
  <si>
    <t>991003859659702656</t>
  </si>
  <si>
    <t>2254810000002656</t>
  </si>
  <si>
    <t>9780801437687</t>
  </si>
  <si>
    <t>32285004644760</t>
  </si>
  <si>
    <t>893349286</t>
  </si>
  <si>
    <t>QL654 .A46 1997</t>
  </si>
  <si>
    <t>0                      QL 0654000A  46          1997</t>
  </si>
  <si>
    <t>Amphibians in decline : Canadian studies of a global problem / edited by David M. Green.</t>
  </si>
  <si>
    <t>Saint Louis, Mo., U.S.A. : Society for the Study of Amphibians and Reptiles, c1997.</t>
  </si>
  <si>
    <t>Herpetological conservation ; no. 1</t>
  </si>
  <si>
    <t>1998-03-12</t>
  </si>
  <si>
    <t>902444772:eng</t>
  </si>
  <si>
    <t>37968162</t>
  </si>
  <si>
    <t>991002880759702656</t>
  </si>
  <si>
    <t>2258929500002656</t>
  </si>
  <si>
    <t>9780916984403</t>
  </si>
  <si>
    <t>32285003357737</t>
  </si>
  <si>
    <t>893598012</t>
  </si>
  <si>
    <t>QL655 .L424 1996</t>
  </si>
  <si>
    <t>0                      QL 0655000L  424         1996</t>
  </si>
  <si>
    <t>The amphibians and reptiles of the Yucatán Peninsula / Julian C. Lee ; drawings by Julian C. Lee.</t>
  </si>
  <si>
    <t>Lee, Julian C.</t>
  </si>
  <si>
    <t>Ithaca : Comstock, 1996.</t>
  </si>
  <si>
    <t>2006-02-15</t>
  </si>
  <si>
    <t>20537913:eng</t>
  </si>
  <si>
    <t>32666782</t>
  </si>
  <si>
    <t>991002513139702656</t>
  </si>
  <si>
    <t>2265053500002656</t>
  </si>
  <si>
    <t>9780801424502</t>
  </si>
  <si>
    <t>32285002414117</t>
  </si>
  <si>
    <t>893421466</t>
  </si>
  <si>
    <t>QL655 .L44 2000</t>
  </si>
  <si>
    <t>0                      QL 0655000L  44          2000</t>
  </si>
  <si>
    <t>A field guide to the amphibians and reptiles of the Maya world : the lowlands of Mexico, Northern Guatemala, and Belize / Julian C. Lee.</t>
  </si>
  <si>
    <t>Ithaca, NY : Comstock Pub. Associates, 2000.</t>
  </si>
  <si>
    <t>2001-10-17</t>
  </si>
  <si>
    <t>1055948:eng</t>
  </si>
  <si>
    <t>47089183</t>
  </si>
  <si>
    <t>991003629099702656</t>
  </si>
  <si>
    <t>2268928180002656</t>
  </si>
  <si>
    <t>9780801436246</t>
  </si>
  <si>
    <t>32285004397674</t>
  </si>
  <si>
    <t>893874980</t>
  </si>
  <si>
    <t>QL655 .M67</t>
  </si>
  <si>
    <t>0                      QL 0655000M  67</t>
  </si>
  <si>
    <t>A biogeoghaphical [sic] analysis of the Chihuahuan desert through its herpetofauna / by David J. Morafka.</t>
  </si>
  <si>
    <t>Morafka, David J.</t>
  </si>
  <si>
    <t>The Hague : Junk, 1977.</t>
  </si>
  <si>
    <t>Biogeographica ; v. 9</t>
  </si>
  <si>
    <t>1997-07-17</t>
  </si>
  <si>
    <t>2260131:eng</t>
  </si>
  <si>
    <t>3514610</t>
  </si>
  <si>
    <t>991004451209702656</t>
  </si>
  <si>
    <t>2269690780002656</t>
  </si>
  <si>
    <t>9789061932109</t>
  </si>
  <si>
    <t>32285001533115</t>
  </si>
  <si>
    <t>893423810</t>
  </si>
  <si>
    <t>QL655 .S63 v. 1</t>
  </si>
  <si>
    <t>0                      QL 0655000S  63                                                      v. 1</t>
  </si>
  <si>
    <t>Analysis of the literature on the Mexican axolotl / by Hobart M. Smith and Rozella B. Smith.</t>
  </si>
  <si>
    <t>Augusta, W. Va. : E. Lundberg, 1971.</t>
  </si>
  <si>
    <t>wvu</t>
  </si>
  <si>
    <t>Synopsis of the herpetofauna of Mexico, v. 1</t>
  </si>
  <si>
    <t>1998-03-05</t>
  </si>
  <si>
    <t>1405125:eng</t>
  </si>
  <si>
    <t>247396</t>
  </si>
  <si>
    <t>991001927419702656</t>
  </si>
  <si>
    <t>2257870330002656</t>
  </si>
  <si>
    <t>32285001533123</t>
  </si>
  <si>
    <t>893872899</t>
  </si>
  <si>
    <t>QL655 .S63 v. 2</t>
  </si>
  <si>
    <t>0                      QL 0655000S  63                                                      v. 2</t>
  </si>
  <si>
    <t>Analysis of the literature exclusive of the Mexican axolotl, by Hobart M. Smith and Rozella B. Smith.</t>
  </si>
  <si>
    <t>Augusta, W. Va., E. Lundberg, 1973.</t>
  </si>
  <si>
    <t>Synopsis of the herpetofauna of Mexico, v. 2</t>
  </si>
  <si>
    <t>2058401:eng</t>
  </si>
  <si>
    <t>1089123</t>
  </si>
  <si>
    <t>991003526119702656</t>
  </si>
  <si>
    <t>2272453770002656</t>
  </si>
  <si>
    <t>32285001533131</t>
  </si>
  <si>
    <t>893904404</t>
  </si>
  <si>
    <t>QL655 .S63 v. 5</t>
  </si>
  <si>
    <t>0                      QL 0655000S  63                                                      v. 5</t>
  </si>
  <si>
    <t>Guide to Mexican amphisbaenians and crocodilians ; Bibliographic addendum II / by Hobart M. Smith and Rozella B. Smith.</t>
  </si>
  <si>
    <t>North Bennington, Vt. : J. Johnson, 1977.</t>
  </si>
  <si>
    <t>vtu</t>
  </si>
  <si>
    <t>Synopsis of the herpetofauna of Mexico ; v. 5</t>
  </si>
  <si>
    <t>11217983:eng</t>
  </si>
  <si>
    <t>3657458</t>
  </si>
  <si>
    <t>991004490279702656</t>
  </si>
  <si>
    <t>2255962760002656</t>
  </si>
  <si>
    <t>32285001533164</t>
  </si>
  <si>
    <t>893718971</t>
  </si>
  <si>
    <t>QL655 .S63 v.6</t>
  </si>
  <si>
    <t>0                      QL 0655000S  63                                                      v.6</t>
  </si>
  <si>
    <t>Guide to Mexican turtles ; Bibliographic addendum III / Hobart M. Smith and Rozella B. Smith.</t>
  </si>
  <si>
    <t>V. 6</t>
  </si>
  <si>
    <t>North Bennington, Vt. : J. Johnson, 1979.</t>
  </si>
  <si>
    <t>Synopsis of the herpetofauna of Mexico ; v. 6</t>
  </si>
  <si>
    <t>2006-11-30</t>
  </si>
  <si>
    <t>21564443:eng</t>
  </si>
  <si>
    <t>6275366</t>
  </si>
  <si>
    <t>991004954419702656</t>
  </si>
  <si>
    <t>2261794630002656</t>
  </si>
  <si>
    <t>9780910914116</t>
  </si>
  <si>
    <t>32285001533172</t>
  </si>
  <si>
    <t>893719591</t>
  </si>
  <si>
    <t>QL656.5.A1 C66 1996</t>
  </si>
  <si>
    <t>0                      QL 0656500A  1                  C  66          1996</t>
  </si>
  <si>
    <t>Contributions to West Indian herpetology : a tribute to Albert Schwartz / edited by Robert Powell and Robert W. Henderson ; foreword by Thomas W. Schoener.</t>
  </si>
  <si>
    <t>[Ithaca, N.Y.] : Society for the Study of Amphibians and Reptiles, 1996.</t>
  </si>
  <si>
    <t>Contributions to herpetology ; v. 12</t>
  </si>
  <si>
    <t>1999-05-19</t>
  </si>
  <si>
    <t>152231827:eng</t>
  </si>
  <si>
    <t>35049452</t>
  </si>
  <si>
    <t>991002682509702656</t>
  </si>
  <si>
    <t>2270934370002656</t>
  </si>
  <si>
    <t>9780916984373</t>
  </si>
  <si>
    <t>32285003571071</t>
  </si>
  <si>
    <t>893434162</t>
  </si>
  <si>
    <t>QL656.5.T7 M87 1997</t>
  </si>
  <si>
    <t>0                      QL 0656500T  7                  M  87          1997</t>
  </si>
  <si>
    <t>Amphibians and reptiles of Trinidad and Tobago / John C. Murphy.</t>
  </si>
  <si>
    <t>Murphy, John C., 1947-</t>
  </si>
  <si>
    <t>Melbourne, Fla. : Krieger Pub. Co., 1997.</t>
  </si>
  <si>
    <t>2004-03-20</t>
  </si>
  <si>
    <t>2002-05-08</t>
  </si>
  <si>
    <t>37647626:eng</t>
  </si>
  <si>
    <t>32923165</t>
  </si>
  <si>
    <t>991003797799702656</t>
  </si>
  <si>
    <t>2261862720002656</t>
  </si>
  <si>
    <t>9780894649714</t>
  </si>
  <si>
    <t>32285004486741</t>
  </si>
  <si>
    <t>893336970</t>
  </si>
  <si>
    <t>QL656.A1 K6313 2003</t>
  </si>
  <si>
    <t>0                      QL 0656000A  1                  K  6313        2003</t>
  </si>
  <si>
    <t>Reptiles of Central America / Gunther Köhler.</t>
  </si>
  <si>
    <t>Köhler, Gunther.</t>
  </si>
  <si>
    <t>Offenbach, Germany : Herpeton, c2003.</t>
  </si>
  <si>
    <t>[English ed. / with a foreword by Larry David Wilson].</t>
  </si>
  <si>
    <t>2005-04-19</t>
  </si>
  <si>
    <t>51100440:eng</t>
  </si>
  <si>
    <t>52843681</t>
  </si>
  <si>
    <t>991004474739702656</t>
  </si>
  <si>
    <t>2261927510002656</t>
  </si>
  <si>
    <t>9783936180022</t>
  </si>
  <si>
    <t>32285005031710</t>
  </si>
  <si>
    <t>893241480</t>
  </si>
  <si>
    <t>QL656.B44 S73 2000</t>
  </si>
  <si>
    <t>0                      QL 0656000B  44                 S  73          2000</t>
  </si>
  <si>
    <t>A guide to the reptiles of Belize / Peter J. Stafford, John R. Meyer.</t>
  </si>
  <si>
    <t>Stafford, Peter J.</t>
  </si>
  <si>
    <t>London : Natural History Museum ; San Diego, Calif. : Academic Press, c2000.</t>
  </si>
  <si>
    <t>2001-01-23</t>
  </si>
  <si>
    <t>44853516:eng</t>
  </si>
  <si>
    <t>43321554</t>
  </si>
  <si>
    <t>991003355519702656</t>
  </si>
  <si>
    <t>2269423860002656</t>
  </si>
  <si>
    <t>9780126627602</t>
  </si>
  <si>
    <t>32285004290861</t>
  </si>
  <si>
    <t>893252297</t>
  </si>
  <si>
    <t>QL656.C35 C78 2000</t>
  </si>
  <si>
    <t>0                      QL 0656000C  35                 C  78          2000</t>
  </si>
  <si>
    <t>In search of the golden frog / Marty Crump.</t>
  </si>
  <si>
    <t>Crump, Martha L.</t>
  </si>
  <si>
    <t>Chicago : University of Chicago Press, 2000.</t>
  </si>
  <si>
    <t>2006-02-06</t>
  </si>
  <si>
    <t>28135262:eng</t>
  </si>
  <si>
    <t>42428782</t>
  </si>
  <si>
    <t>991003255539702656</t>
  </si>
  <si>
    <t>2269562460002656</t>
  </si>
  <si>
    <t>9780226121987</t>
  </si>
  <si>
    <t>32285003762779</t>
  </si>
  <si>
    <t>893233967</t>
  </si>
  <si>
    <t>QL656.C783 S27 2002</t>
  </si>
  <si>
    <t>0                      QL 0656000C  783                S  27          2002</t>
  </si>
  <si>
    <t>The amphibians and reptiles of Costa Rica : a herpetofauna between two continents, between two seas / Jay M. Savage ; with photographs by Michael Fogden and Patricia Fogden.</t>
  </si>
  <si>
    <t>Savage, Jay Mathers.</t>
  </si>
  <si>
    <t>Chicago : University of Chicago Press, 2002.</t>
  </si>
  <si>
    <t>2008-04-21</t>
  </si>
  <si>
    <t>2966233:eng</t>
  </si>
  <si>
    <t>47927645</t>
  </si>
  <si>
    <t>991005202049702656</t>
  </si>
  <si>
    <t>2268170240002656</t>
  </si>
  <si>
    <t>9780226735375</t>
  </si>
  <si>
    <t>32285005403505</t>
  </si>
  <si>
    <t>893694905</t>
  </si>
  <si>
    <t>QL657.P4 D84 2005</t>
  </si>
  <si>
    <t>0                      QL 0657000P  4                  D  84          2005</t>
  </si>
  <si>
    <t>Cusco Amazónico : the lives of amphibians and reptiles in an Amazonian rainforest / William E. Duellman.</t>
  </si>
  <si>
    <t>Duellman, William E. (William Edward), 1930-</t>
  </si>
  <si>
    <t>Ithaca : Comstock Pub. Associates, 2005.</t>
  </si>
  <si>
    <t>2005-10-19</t>
  </si>
  <si>
    <t>15288929:eng</t>
  </si>
  <si>
    <t>55600899</t>
  </si>
  <si>
    <t>991004657329702656</t>
  </si>
  <si>
    <t>2258646710002656</t>
  </si>
  <si>
    <t>9780801439971</t>
  </si>
  <si>
    <t>32285005140180</t>
  </si>
  <si>
    <t>893606298</t>
  </si>
  <si>
    <t>QL658.R8 T43 1965</t>
  </si>
  <si>
    <t>0                      QL 0658000R  8                  T  43          1965</t>
  </si>
  <si>
    <t>Key to amphibians and reptiles : Opredelitelʹ presmykayushchikhsya i zemnovodnykh / [by] P.V. Terentʹev and S.A. Chernov.</t>
  </si>
  <si>
    <t>Terentʹev, P. V. (Pavel Viktorovich)</t>
  </si>
  <si>
    <t>Jerusalem : Israel Program for Scientific Translations ; [available from U.S. Dept. of Commerce, Clearinghouse for Federal Scientific and Technical Information, Springfield, Va.], 1965.</t>
  </si>
  <si>
    <t>3d enl. ed. / Translated from Russian [by L. Kochva].</t>
  </si>
  <si>
    <t>5342697766:eng</t>
  </si>
  <si>
    <t>507001</t>
  </si>
  <si>
    <t>991002883419702656</t>
  </si>
  <si>
    <t>2260738230002656</t>
  </si>
  <si>
    <t>32285003659736</t>
  </si>
  <si>
    <t>893335851</t>
  </si>
  <si>
    <t>QL661.J3 G67 2005</t>
  </si>
  <si>
    <t>0                      QL 0661000J  3                  G  67          2005</t>
  </si>
  <si>
    <t>Guide to the amphibians and reptiles of Japan / by Richard C. Goris ; and Norio Maeda, photographer.</t>
  </si>
  <si>
    <t>Goris, Richard C.</t>
  </si>
  <si>
    <t>Malabar, Fla. : Krieger, 2004, c2005.</t>
  </si>
  <si>
    <t>2005-10-26</t>
  </si>
  <si>
    <t>1054029:eng</t>
  </si>
  <si>
    <t>53231942</t>
  </si>
  <si>
    <t>991004634219702656</t>
  </si>
  <si>
    <t>2263898170002656</t>
  </si>
  <si>
    <t>9781575240855</t>
  </si>
  <si>
    <t>32285005142319</t>
  </si>
  <si>
    <t>893229570</t>
  </si>
  <si>
    <t>QL662.A353 F54 2002</t>
  </si>
  <si>
    <t>0                      QL 0662000A  353                F  54          2002</t>
  </si>
  <si>
    <t>A field guide to the reptiles of East Africa : Kenya, Tanzania, Uganda, Rwanda and Burundi / by Stephen Spawls ... [et al.] ; consultants Alex Duff-MacKay, Harald Hinkel.</t>
  </si>
  <si>
    <t>San Diego, Calif. : London : Academic, c2002.</t>
  </si>
  <si>
    <t>2003-04-01</t>
  </si>
  <si>
    <t>839254999:eng</t>
  </si>
  <si>
    <t>59531271</t>
  </si>
  <si>
    <t>991003923259702656</t>
  </si>
  <si>
    <t>2263430450002656</t>
  </si>
  <si>
    <t>9780126564709</t>
  </si>
  <si>
    <t>32285004688726</t>
  </si>
  <si>
    <t>893888112</t>
  </si>
  <si>
    <t>QL662.A356 C43 2001</t>
  </si>
  <si>
    <t>0                      QL 0662000A  356                C  43          2001</t>
  </si>
  <si>
    <t>Amphibians of Central and Southern Africa / Alan Channing.</t>
  </si>
  <si>
    <t>Channing, A.</t>
  </si>
  <si>
    <t>2003-04-24</t>
  </si>
  <si>
    <t>2016063:eng</t>
  </si>
  <si>
    <t>47050213</t>
  </si>
  <si>
    <t>991004020859702656</t>
  </si>
  <si>
    <t>2267608900002656</t>
  </si>
  <si>
    <t>9780801438653</t>
  </si>
  <si>
    <t>32285004743521</t>
  </si>
  <si>
    <t>893259221</t>
  </si>
  <si>
    <t>QL665 .R45</t>
  </si>
  <si>
    <t>0                      QL 0665000R  45</t>
  </si>
  <si>
    <t>Reproductive biology and diseases of captive reptiles / edited by James B. Murphy and Joseph T. Collins.</t>
  </si>
  <si>
    <t>[Oxford, Ohio] : Society for the Study of Amphibians and Reptiles, 1980.</t>
  </si>
  <si>
    <t>Contributions to herpetology ; no. 1</t>
  </si>
  <si>
    <t>367992116:eng</t>
  </si>
  <si>
    <t>6714695</t>
  </si>
  <si>
    <t>991005180109702656</t>
  </si>
  <si>
    <t>2271168500002656</t>
  </si>
  <si>
    <t>9780916984090</t>
  </si>
  <si>
    <t>32285001533321</t>
  </si>
  <si>
    <t>893801871</t>
  </si>
  <si>
    <t>QL665 .S63 1982</t>
  </si>
  <si>
    <t>0                      QL 0665000S  63          1982</t>
  </si>
  <si>
    <t>Biology of reptiles : an ecological approach / Ian F. Spellerberg.</t>
  </si>
  <si>
    <t>Spellerberg, Ian F.</t>
  </si>
  <si>
    <t>Glasgow : Blackie ; New York : Distributed in the USA by Chapman and Hall, 1982.</t>
  </si>
  <si>
    <t>Tertiary level biology</t>
  </si>
  <si>
    <t>867437173:eng</t>
  </si>
  <si>
    <t>8114378</t>
  </si>
  <si>
    <t>991005205699702656</t>
  </si>
  <si>
    <t>2255132770002656</t>
  </si>
  <si>
    <t>9780412001611</t>
  </si>
  <si>
    <t>32285000052869</t>
  </si>
  <si>
    <t>893694911</t>
  </si>
  <si>
    <t>QL666.C5 A43 1988</t>
  </si>
  <si>
    <t>0                      QL 0666000C  5                  A  43          1988</t>
  </si>
  <si>
    <t>Turtles &amp; tortoises of the world / David Alderton ; photographs by Tony Tilford.</t>
  </si>
  <si>
    <t>Alderton, David, 1956-</t>
  </si>
  <si>
    <t>New York, N.Y. : Facts on File, 1988.</t>
  </si>
  <si>
    <t>2008-02-20</t>
  </si>
  <si>
    <t>1990-05-17</t>
  </si>
  <si>
    <t>16299859:eng</t>
  </si>
  <si>
    <t>17952511</t>
  </si>
  <si>
    <t>991001284279702656</t>
  </si>
  <si>
    <t>2269647120002656</t>
  </si>
  <si>
    <t>9780816017331</t>
  </si>
  <si>
    <t>32285000136449</t>
  </si>
  <si>
    <t>893250125</t>
  </si>
  <si>
    <t>QL666.C5 B57 2006</t>
  </si>
  <si>
    <t>0                      QL 0666000C  5                  B  57          2006</t>
  </si>
  <si>
    <t>Turtles of the world / Franck Bonin, Bernard Devaux and Alain Dupré ; translated by Peter C.H. Pritchard.</t>
  </si>
  <si>
    <t>Bonin, Franck.</t>
  </si>
  <si>
    <t>Baltimore : Johns Hopkins University Press, 2006.</t>
  </si>
  <si>
    <t>2007-01-30</t>
  </si>
  <si>
    <t>4494935118:eng</t>
  </si>
  <si>
    <t>63472645</t>
  </si>
  <si>
    <t>991005003799702656</t>
  </si>
  <si>
    <t>2269081010002656</t>
  </si>
  <si>
    <t>9780801884962</t>
  </si>
  <si>
    <t>32285005273718</t>
  </si>
  <si>
    <t>893501187</t>
  </si>
  <si>
    <t>QL666.C5 C34</t>
  </si>
  <si>
    <t>0                      QL 0666000C  5                  C  34</t>
  </si>
  <si>
    <t>Handbook of turtles : the turtles of the United States, Canada, and Baja California.</t>
  </si>
  <si>
    <t>Ithaca, N.Y. : Comstock Pub. Associates, 1952.</t>
  </si>
  <si>
    <t>Handbooks of American natural history</t>
  </si>
  <si>
    <t>2006-02-20</t>
  </si>
  <si>
    <t>1992-03-06</t>
  </si>
  <si>
    <t>196543144:eng</t>
  </si>
  <si>
    <t>560429</t>
  </si>
  <si>
    <t>991002990739702656</t>
  </si>
  <si>
    <t>2256736910002656</t>
  </si>
  <si>
    <t>32285000992130</t>
  </si>
  <si>
    <t>893440796</t>
  </si>
  <si>
    <t>QL666.C5 C36</t>
  </si>
  <si>
    <t>0                      QL 0666000C  5                  C  36</t>
  </si>
  <si>
    <t>So excellent a fishe; a natural history of sea turtles, by Archie Carr.</t>
  </si>
  <si>
    <t>Garden City, N.Y., Published for the American Museum of Natural History [by] Natural History Press [1967]</t>
  </si>
  <si>
    <t>1992-10-09</t>
  </si>
  <si>
    <t>796083157:eng</t>
  </si>
  <si>
    <t>1239102</t>
  </si>
  <si>
    <t>991003641279702656</t>
  </si>
  <si>
    <t>2266221140002656</t>
  </si>
  <si>
    <t>32285001369544</t>
  </si>
  <si>
    <t>893429025</t>
  </si>
  <si>
    <t>QL666.C5 C36 1996</t>
  </si>
  <si>
    <t>0                      QL 0666000C  5                  C  36          1996</t>
  </si>
  <si>
    <t>The sea turtle : so excellent a fishe / by Archie Carr.</t>
  </si>
  <si>
    <t>Austin : University of Texas Press, 1996, c1984.</t>
  </si>
  <si>
    <t>3rd printing of University of Texas Press ed.</t>
  </si>
  <si>
    <t>2008-02-27</t>
  </si>
  <si>
    <t>2000-07-20</t>
  </si>
  <si>
    <t>134392694:eng</t>
  </si>
  <si>
    <t>37151477</t>
  </si>
  <si>
    <t>991003208889702656</t>
  </si>
  <si>
    <t>2258998280002656</t>
  </si>
  <si>
    <t>9780292775954</t>
  </si>
  <si>
    <t>32285003712568</t>
  </si>
  <si>
    <t>893336244</t>
  </si>
  <si>
    <t>QL666.C5 C76 1989</t>
  </si>
  <si>
    <t>0                      QL 0666000C  5                  C  76          1989</t>
  </si>
  <si>
    <t>Crocodilian, tuatara, and turtle species of the world : a taxonomic and geographic reference / edited by F. Wayne King and Russell L. Burke.</t>
  </si>
  <si>
    <t>Washington, DC, U.S.A. : Association of Systematics Collections, 1989.</t>
  </si>
  <si>
    <t>889821847:eng</t>
  </si>
  <si>
    <t>20566795</t>
  </si>
  <si>
    <t>991001590519702656</t>
  </si>
  <si>
    <t>2260423130002656</t>
  </si>
  <si>
    <t>9780942924152</t>
  </si>
  <si>
    <t>32285001035350</t>
  </si>
  <si>
    <t>893244233</t>
  </si>
  <si>
    <t>QL666.C5 E77 1989</t>
  </si>
  <si>
    <t>0                      QL 0666000C  5                  E  77          1989</t>
  </si>
  <si>
    <t>Turtles of the world / Carl H. Ernst and Roger W. Barbour.</t>
  </si>
  <si>
    <t>Ernst, Carl H.</t>
  </si>
  <si>
    <t>Washington : Smithsonian Institution Press, c1989.</t>
  </si>
  <si>
    <t>1990-07-05</t>
  </si>
  <si>
    <t>62059134:eng</t>
  </si>
  <si>
    <t>18520847</t>
  </si>
  <si>
    <t>991001360389702656</t>
  </si>
  <si>
    <t>2268435730002656</t>
  </si>
  <si>
    <t>9780874744149</t>
  </si>
  <si>
    <t>32285000207489</t>
  </si>
  <si>
    <t>893238062</t>
  </si>
  <si>
    <t>QL76 .G732</t>
  </si>
  <si>
    <t>0                      QL 0076000G  732</t>
  </si>
  <si>
    <t>Great zoos of the world : their origins and significance / edited by Lord Zuckerman.</t>
  </si>
  <si>
    <t>Boulder, Co. : Westview Press, 1980.</t>
  </si>
  <si>
    <t>2009-02-17</t>
  </si>
  <si>
    <t>796192054:eng</t>
  </si>
  <si>
    <t>6976133</t>
  </si>
  <si>
    <t>991005066899702656</t>
  </si>
  <si>
    <t>2256671670002656</t>
  </si>
  <si>
    <t>9780891589853</t>
  </si>
  <si>
    <t>32285001686194</t>
  </si>
  <si>
    <t>893719712</t>
  </si>
  <si>
    <t>QL76 .Z76 2007</t>
  </si>
  <si>
    <t>0                      QL 0076000Z  76          2007</t>
  </si>
  <si>
    <t>Zoos in the 21st century : catalysts for conservation? / edited by Alexandra Zimmermann ... [et al.].</t>
  </si>
  <si>
    <t>Cambridge : Cambridge University Press, 2007.</t>
  </si>
  <si>
    <t>Conservation biology series ; 15</t>
  </si>
  <si>
    <t>2007-11-13</t>
  </si>
  <si>
    <t>102984526:eng</t>
  </si>
  <si>
    <t>137221640</t>
  </si>
  <si>
    <t>991005143049702656</t>
  </si>
  <si>
    <t>2262636320002656</t>
  </si>
  <si>
    <t>9780521618588</t>
  </si>
  <si>
    <t>32285005366967</t>
  </si>
  <si>
    <t>893260621</t>
  </si>
  <si>
    <t>QL76.5.U6 N535 1996</t>
  </si>
  <si>
    <t>0                      QL 0076500U  6                  N  535         1996</t>
  </si>
  <si>
    <t>Keepers of the kingdom : the new American zoo / photographs and introduction by Michael Nichols ; essays by Jon Charles Coe ... [et al.].</t>
  </si>
  <si>
    <t>Nichols, Michael.</t>
  </si>
  <si>
    <t>New York : Thomasson-Grant, c1996.</t>
  </si>
  <si>
    <t>1997-04-16</t>
  </si>
  <si>
    <t>36570179:eng</t>
  </si>
  <si>
    <t>32665991</t>
  </si>
  <si>
    <t>991002512799702656</t>
  </si>
  <si>
    <t>2266219050002656</t>
  </si>
  <si>
    <t>9780965030823</t>
  </si>
  <si>
    <t>32285002497526</t>
  </si>
  <si>
    <t>893886391</t>
  </si>
  <si>
    <t>QL77.5 .H4213 1969</t>
  </si>
  <si>
    <t>0                      QL 0077500H  4213        1969</t>
  </si>
  <si>
    <t>Man and animal in the zoo; zoo biology. Translated by Gwynne Vevers and Winwood Reade.</t>
  </si>
  <si>
    <t>Hediger, Heini.</t>
  </si>
  <si>
    <t>New York, Delacorte Press [1969]</t>
  </si>
  <si>
    <t>2005-04-22</t>
  </si>
  <si>
    <t>1220089:eng</t>
  </si>
  <si>
    <t>59369</t>
  </si>
  <si>
    <t>991000148159702656</t>
  </si>
  <si>
    <t>2260482610002656</t>
  </si>
  <si>
    <t>32285002939105</t>
  </si>
  <si>
    <t>893620245</t>
  </si>
  <si>
    <t>QL81 .A24 1991</t>
  </si>
  <si>
    <t>0                      QL 0081000A  24          1991</t>
  </si>
  <si>
    <t>The moon by whale light : and other adventures among bats, penguins, crocodilians, and whales / Diane Ackerman.</t>
  </si>
  <si>
    <t>Ackerman, Diane, 1948-</t>
  </si>
  <si>
    <t>New York : Random House, c1991.</t>
  </si>
  <si>
    <t>155082743:eng</t>
  </si>
  <si>
    <t>23732305</t>
  </si>
  <si>
    <t>991001881499702656</t>
  </si>
  <si>
    <t>2265377240002656</t>
  </si>
  <si>
    <t>9780394585741</t>
  </si>
  <si>
    <t>32285000936459</t>
  </si>
  <si>
    <t>893414571</t>
  </si>
  <si>
    <t>QL82 .C66 1972</t>
  </si>
  <si>
    <t>0                      QL 0082000C  66          1972</t>
  </si>
  <si>
    <t>Breeding endangered species in captivity / edited by R. D. Martin.</t>
  </si>
  <si>
    <t>Conference on the Breeding of Endangered Species (1972 : Jersey)</t>
  </si>
  <si>
    <t>London ; New York : Academic Press, 1975.</t>
  </si>
  <si>
    <t>2005-09-26</t>
  </si>
  <si>
    <t>2639340:eng</t>
  </si>
  <si>
    <t>1818802</t>
  </si>
  <si>
    <t>991003899699702656</t>
  </si>
  <si>
    <t>2271329620002656</t>
  </si>
  <si>
    <t>9780124748507</t>
  </si>
  <si>
    <t>32285002939162</t>
  </si>
  <si>
    <t>893881801</t>
  </si>
  <si>
    <t>QL82 .M68 1997</t>
  </si>
  <si>
    <t>0                      QL 0082000M  68          1997</t>
  </si>
  <si>
    <t>Wildlife issues in a changing world / Michael P. Moulton, James Sanderson.</t>
  </si>
  <si>
    <t>Moulton, Michael Platt.</t>
  </si>
  <si>
    <t>Delray Beach, Fla. : St. Lucie Press, 1997.</t>
  </si>
  <si>
    <t>1997-09-15</t>
  </si>
  <si>
    <t>45462412:eng</t>
  </si>
  <si>
    <t>36578299</t>
  </si>
  <si>
    <t>991002785829702656</t>
  </si>
  <si>
    <t>2266764610002656</t>
  </si>
  <si>
    <t>9781574440683</t>
  </si>
  <si>
    <t>32285003175923</t>
  </si>
  <si>
    <t>893604027</t>
  </si>
  <si>
    <t>QL82 .P34 1990</t>
  </si>
  <si>
    <t>0                      QL 0082000P  34          1990</t>
  </si>
  <si>
    <t>Smithsonian's new zoo / Jake Page.</t>
  </si>
  <si>
    <t>Page, Jake.</t>
  </si>
  <si>
    <t>Washington, D.C. : Smithsonian Institution Press, c1990.</t>
  </si>
  <si>
    <t>1993-12-03</t>
  </si>
  <si>
    <t>1990-08-01</t>
  </si>
  <si>
    <t>48396890:eng</t>
  </si>
  <si>
    <t>20671857</t>
  </si>
  <si>
    <t>991001602839702656</t>
  </si>
  <si>
    <t>2260252680002656</t>
  </si>
  <si>
    <t>9780874747331</t>
  </si>
  <si>
    <t>32285000241470</t>
  </si>
  <si>
    <t>893602703</t>
  </si>
  <si>
    <t>QL82 .P67 1995</t>
  </si>
  <si>
    <t>0                      QL 0082000P  67          1995</t>
  </si>
  <si>
    <t>Population management for survival and recovery : analytical methods and strategies in small population conservation / J.D. Ballou, M. Gilpin, and T.J. Foose, editors.</t>
  </si>
  <si>
    <t>New York : Columbia University Press, c1995.</t>
  </si>
  <si>
    <t>Methods and cases in conservation science</t>
  </si>
  <si>
    <t>1996-04-22</t>
  </si>
  <si>
    <t>836963420:eng</t>
  </si>
  <si>
    <t>31239299</t>
  </si>
  <si>
    <t>991002402269702656</t>
  </si>
  <si>
    <t>2265743840002656</t>
  </si>
  <si>
    <t>9780231101769</t>
  </si>
  <si>
    <t>32285002155611</t>
  </si>
  <si>
    <t>893427560</t>
  </si>
  <si>
    <t>QL82 .T88 1998</t>
  </si>
  <si>
    <t>0                      QL 0082000T  88          1998</t>
  </si>
  <si>
    <t>Losing strands in the web of life : vertebrate declines and the conservation of biological diversity / John Tuxill ; Jane A. Peterson, editor.</t>
  </si>
  <si>
    <t>Tuxill, John D.</t>
  </si>
  <si>
    <t>Washington, D.C. : Worldwatch Institute, c1998.</t>
  </si>
  <si>
    <t>Worldwatch paper ; 141</t>
  </si>
  <si>
    <t>2005-09-30</t>
  </si>
  <si>
    <t>1998-07-29</t>
  </si>
  <si>
    <t>41699297:eng</t>
  </si>
  <si>
    <t>39212553</t>
  </si>
  <si>
    <t>991002944839702656</t>
  </si>
  <si>
    <t>2269147810002656</t>
  </si>
  <si>
    <t>9781878071439</t>
  </si>
  <si>
    <t>32285003447454</t>
  </si>
  <si>
    <t>893233634</t>
  </si>
  <si>
    <t>QL84.2 .D57 1989</t>
  </si>
  <si>
    <t>0                      QL 0084200D  57          1989</t>
  </si>
  <si>
    <t>The endangered kingdom : the struggle to save America's wildlife / Roger L. DiSilvestro.</t>
  </si>
  <si>
    <t>DiSilvestro, Roger L.</t>
  </si>
  <si>
    <t>Wiley science editions</t>
  </si>
  <si>
    <t>1990-06-18</t>
  </si>
  <si>
    <t>18427113:eng</t>
  </si>
  <si>
    <t>18814766</t>
  </si>
  <si>
    <t>991001398829702656</t>
  </si>
  <si>
    <t>2262519670002656</t>
  </si>
  <si>
    <t>9780471606000</t>
  </si>
  <si>
    <t>32285000177930</t>
  </si>
  <si>
    <t>893340411</t>
  </si>
  <si>
    <t>QL84.2 .E55 1994</t>
  </si>
  <si>
    <t>0                      QL 0084200E  55          1994</t>
  </si>
  <si>
    <t>Endangered species recovery : finding the lessons, improving the process / edited by Tim W. Clark, Richard P. Reading, Alice L. Clarke.</t>
  </si>
  <si>
    <t>Washington, D.C. : Island Press, c1994.</t>
  </si>
  <si>
    <t>1995-04-17</t>
  </si>
  <si>
    <t>807351337:eng</t>
  </si>
  <si>
    <t>30473323</t>
  </si>
  <si>
    <t>991002340109702656</t>
  </si>
  <si>
    <t>2262235880002656</t>
  </si>
  <si>
    <t>9781559632713</t>
  </si>
  <si>
    <t>32285002019015</t>
  </si>
  <si>
    <t>893328952</t>
  </si>
  <si>
    <t>QL84.2 .T73</t>
  </si>
  <si>
    <t>0                      QL 0084200T  73</t>
  </si>
  <si>
    <t>An American crusade for wildlife / by James B. Trefethen ; drawings by Peter Corbin.</t>
  </si>
  <si>
    <t>Trefethen, James B.</t>
  </si>
  <si>
    <t>New York : Winchester Press, [1975]</t>
  </si>
  <si>
    <t>2000-04-10</t>
  </si>
  <si>
    <t>1992-12-03</t>
  </si>
  <si>
    <t>29250:eng</t>
  </si>
  <si>
    <t>1500073</t>
  </si>
  <si>
    <t>991003784479702656</t>
  </si>
  <si>
    <t>2260428430002656</t>
  </si>
  <si>
    <t>9780876912072</t>
  </si>
  <si>
    <t>32285001411940</t>
  </si>
  <si>
    <t>893611447</t>
  </si>
  <si>
    <t>QL84.2 .Y26 1982</t>
  </si>
  <si>
    <t>0                      QL 0084200Y  26          1982</t>
  </si>
  <si>
    <t>Prohibitive policy : implementing the Federal Endangered Species Act / Steven Lewis Yaffee.</t>
  </si>
  <si>
    <t>Yaffee, Steven Lewis.</t>
  </si>
  <si>
    <t>Cambridge, Mass. : MIT Press, c1982.</t>
  </si>
  <si>
    <t>MIT studies in American politics and public policy ; 9</t>
  </si>
  <si>
    <t>2001-11-12</t>
  </si>
  <si>
    <t>1995-01-25</t>
  </si>
  <si>
    <t>292545952:eng</t>
  </si>
  <si>
    <t>8170945</t>
  </si>
  <si>
    <t>991005213009702656</t>
  </si>
  <si>
    <t>2256872800002656</t>
  </si>
  <si>
    <t>9780262240246</t>
  </si>
  <si>
    <t>32285001778876</t>
  </si>
  <si>
    <t>893338735</t>
  </si>
  <si>
    <t>QL84.5.B93 R33 2002</t>
  </si>
  <si>
    <t>0                      QL 0084500B  93                 R  33          2002</t>
  </si>
  <si>
    <t>Beyond the last village : a journey of discovery in Asia's forbidden wilderness / Alan Rabinowitz.</t>
  </si>
  <si>
    <t>Rabinowitz, Alan, 1953-2018.</t>
  </si>
  <si>
    <t>London : Aurum, 2002.</t>
  </si>
  <si>
    <t>2003-09-23</t>
  </si>
  <si>
    <t>2002-04-04</t>
  </si>
  <si>
    <t>4176958:eng</t>
  </si>
  <si>
    <t>48467100</t>
  </si>
  <si>
    <t>991003731329702656</t>
  </si>
  <si>
    <t>2266786580002656</t>
  </si>
  <si>
    <t>9781854108197</t>
  </si>
  <si>
    <t>32285004476775</t>
  </si>
  <si>
    <t>893445811</t>
  </si>
  <si>
    <t>QL84.6.A1 V65 1993</t>
  </si>
  <si>
    <t>0                      QL 0084600A  1                  V  65          1993</t>
  </si>
  <si>
    <t>Voices from Africa : local perspectives on conservation / edited by Dale Lewis and Nick Carter.</t>
  </si>
  <si>
    <t>Washington, D.C. : World Wildlife Fund, 1993.</t>
  </si>
  <si>
    <t>30372944:eng</t>
  </si>
  <si>
    <t>28257238</t>
  </si>
  <si>
    <t>991002197949702656</t>
  </si>
  <si>
    <t>2260935120002656</t>
  </si>
  <si>
    <t>9780891641247</t>
  </si>
  <si>
    <t>32285001899565</t>
  </si>
  <si>
    <t>893716163</t>
  </si>
  <si>
    <t>QL85 .C37 1996</t>
  </si>
  <si>
    <t>0                      QL 0085000C  37          1996</t>
  </si>
  <si>
    <t>A perfect harmony : the intertwining lives of animals and humans throughout history / Roger A. Caras.</t>
  </si>
  <si>
    <t>Caras, Roger A.</t>
  </si>
  <si>
    <t>New York : Simon &amp; Schuster, 1996.</t>
  </si>
  <si>
    <t>2006-11-28</t>
  </si>
  <si>
    <t>1996-09-24</t>
  </si>
  <si>
    <t>836153145:eng</t>
  </si>
  <si>
    <t>34894335</t>
  </si>
  <si>
    <t>991002667669702656</t>
  </si>
  <si>
    <t>2269286860002656</t>
  </si>
  <si>
    <t>9780684811000</t>
  </si>
  <si>
    <t>32285002318631</t>
  </si>
  <si>
    <t>893904016</t>
  </si>
  <si>
    <t>QL85 .H85</t>
  </si>
  <si>
    <t>0                      QL 0085000H  85</t>
  </si>
  <si>
    <t>Humans and animals / edited by John S. Baky.</t>
  </si>
  <si>
    <t>New York : H. W. Wilson Co., 1980.</t>
  </si>
  <si>
    <t>The Reference shelf ; v. 52, no. 4</t>
  </si>
  <si>
    <t>1994-03-27</t>
  </si>
  <si>
    <t>23072035:eng</t>
  </si>
  <si>
    <t>6627106</t>
  </si>
  <si>
    <t>991005016849702656</t>
  </si>
  <si>
    <t>2255322270002656</t>
  </si>
  <si>
    <t>9780824206475</t>
  </si>
  <si>
    <t>32285001686202</t>
  </si>
  <si>
    <t>893789315</t>
  </si>
  <si>
    <t>QL85 .L35</t>
  </si>
  <si>
    <t>0                      QL 0085000L  35</t>
  </si>
  <si>
    <t>Man, culture, and animals : the role of animals in human ecological adjustments / edited by Anthony Leeds [and] Andrew P. Vayda.</t>
  </si>
  <si>
    <t>Leeds, Anthony, 1925-, editor.</t>
  </si>
  <si>
    <t>Washington : [American Association for the Advancement of Science], 1965.</t>
  </si>
  <si>
    <t>American Association for the Advancement of Science. Publication no. 78</t>
  </si>
  <si>
    <t>1998-09-29</t>
  </si>
  <si>
    <t>1995-03-28</t>
  </si>
  <si>
    <t>890006559:eng</t>
  </si>
  <si>
    <t>558315</t>
  </si>
  <si>
    <t>991002987309702656</t>
  </si>
  <si>
    <t>2258237800002656</t>
  </si>
  <si>
    <t>32285002014115</t>
  </si>
  <si>
    <t>893867960</t>
  </si>
  <si>
    <t>QL85 .M34 1997</t>
  </si>
  <si>
    <t>0                      QL 0085000M  34          1997</t>
  </si>
  <si>
    <t>Animals as teachers &amp; healers : true stories &amp; reflections / Susan Chernak McElroy ; foreword by Michael W. Fox.</t>
  </si>
  <si>
    <t>McElroy, Susan Chernak, 1952-</t>
  </si>
  <si>
    <t>New York : Ballantine Books, c1997.</t>
  </si>
  <si>
    <t>1st Ballantine Books ed.</t>
  </si>
  <si>
    <t>2005-11-28</t>
  </si>
  <si>
    <t>601092:eng</t>
  </si>
  <si>
    <t>36240227</t>
  </si>
  <si>
    <t>991002762319702656</t>
  </si>
  <si>
    <t>2261608910002656</t>
  </si>
  <si>
    <t>9780345409904</t>
  </si>
  <si>
    <t>32285002433513</t>
  </si>
  <si>
    <t>893415613</t>
  </si>
  <si>
    <t>QL86 .L3</t>
  </si>
  <si>
    <t>0                      QL 0086000L  3</t>
  </si>
  <si>
    <t>The alien animals.</t>
  </si>
  <si>
    <t>Laycock, George.</t>
  </si>
  <si>
    <t>Garden City, N.Y., Published for the American Museum of Natural History [by] the Natural History Press [1966]</t>
  </si>
  <si>
    <t>4896605:eng</t>
  </si>
  <si>
    <t>711939</t>
  </si>
  <si>
    <t>991003181959702656</t>
  </si>
  <si>
    <t>2261884130002656</t>
  </si>
  <si>
    <t>32285002939196</t>
  </si>
  <si>
    <t>893323839</t>
  </si>
  <si>
    <t>QL86 .T64 2001</t>
  </si>
  <si>
    <t>0                      QL 0086000T  64          2001</t>
  </si>
  <si>
    <t>Tinkering with Eden : a natural history of exotics in America / Kim Todd ; illustrations by Claire Emery.</t>
  </si>
  <si>
    <t>Todd, Kim, 1970-</t>
  </si>
  <si>
    <t>New York : W.W. Norton, c2001.</t>
  </si>
  <si>
    <t>44930:eng</t>
  </si>
  <si>
    <t>44619479</t>
  </si>
  <si>
    <t>991003859749702656</t>
  </si>
  <si>
    <t>2266067210002656</t>
  </si>
  <si>
    <t>9780393048605</t>
  </si>
  <si>
    <t>32285004644703</t>
  </si>
  <si>
    <t>893435550</t>
  </si>
  <si>
    <t>QL87 .T68</t>
  </si>
  <si>
    <t>0                      QL 0087000T  68</t>
  </si>
  <si>
    <t>Animals in Roman life and art [by] J. M. C. Toynbee.</t>
  </si>
  <si>
    <t>Toynbee, J. M. C. (Jocelyn M. C.), 1897-1985.</t>
  </si>
  <si>
    <t>Ithaca, N.Y., Cornell University Press [1973]</t>
  </si>
  <si>
    <t>Aspects of Greek and Roman life</t>
  </si>
  <si>
    <t>1998-11-18</t>
  </si>
  <si>
    <t>1998-02-16</t>
  </si>
  <si>
    <t>450094:eng</t>
  </si>
  <si>
    <t>724190</t>
  </si>
  <si>
    <t>991003199689702656</t>
  </si>
  <si>
    <t>2255222600002656</t>
  </si>
  <si>
    <t>9780801407857</t>
  </si>
  <si>
    <t>32285003261087</t>
  </si>
  <si>
    <t>893899715</t>
  </si>
  <si>
    <t>QL88 .F5</t>
  </si>
  <si>
    <t>0                      QL 0088000F  5</t>
  </si>
  <si>
    <t>Vanishing wild animals of the world, by Richard Fitter. With 43 paintings by John Leigh-Pemberton. Foreword by HRH the Duke of Edinburgh. Introd. by Peter Scott.</t>
  </si>
  <si>
    <t>Fitter, Richard.</t>
  </si>
  <si>
    <t>New York, F. Watts [1968]</t>
  </si>
  <si>
    <t>2004-03-22</t>
  </si>
  <si>
    <t>181253413:eng</t>
  </si>
  <si>
    <t>440180</t>
  </si>
  <si>
    <t>991002780869702656</t>
  </si>
  <si>
    <t>2256632610002656</t>
  </si>
  <si>
    <t>32285002939204</t>
  </si>
  <si>
    <t>893317251</t>
  </si>
  <si>
    <t>QL88.5 .W37 1992</t>
  </si>
  <si>
    <t>0                      QL 0088500W  37          1992</t>
  </si>
  <si>
    <t>On Methuselah's trail : living fossils and the great extinctions / Peter Douglas Ward ; [illustrations by Linda Krause, unless noted otherwise].</t>
  </si>
  <si>
    <t>Ward, Peter D. (Peter Douglas), 1949-</t>
  </si>
  <si>
    <t>New York : W.H. Freeman, c1992.</t>
  </si>
  <si>
    <t>1992-06-18</t>
  </si>
  <si>
    <t>348762:eng</t>
  </si>
  <si>
    <t>23732474</t>
  </si>
  <si>
    <t>991001881959702656</t>
  </si>
  <si>
    <t>2265413290002656</t>
  </si>
  <si>
    <t>9780716722038</t>
  </si>
  <si>
    <t>32285001129419</t>
  </si>
  <si>
    <t>893596801</t>
  </si>
  <si>
    <t>QL89 .L45</t>
  </si>
  <si>
    <t>0                      QL 0089000L  45</t>
  </si>
  <si>
    <t>The lungfish and the unicorn; an excursion into romantic zoology, by Willy Ley.</t>
  </si>
  <si>
    <t>Ley, Willy, 1906-1969.</t>
  </si>
  <si>
    <t>New York, Modern age books, 1941.</t>
  </si>
  <si>
    <t>1941</t>
  </si>
  <si>
    <t>2001-02-05</t>
  </si>
  <si>
    <t>1497210:eng</t>
  </si>
  <si>
    <t>382398</t>
  </si>
  <si>
    <t>991002635179702656</t>
  </si>
  <si>
    <t>2259979130002656</t>
  </si>
  <si>
    <t>32285002939220</t>
  </si>
  <si>
    <t>893352427</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</si>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</sst>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FB9FD-3BF0-4677-BFD2-0DD3D9C074AB}">
  <dimension ref="A1:BD773"/>
  <sheetViews>
    <sheetView tabSelected="1" workbookViewId="0">
      <pane ySplit="1" topLeftCell="A2" activePane="bottomLeft" state="frozen"/>
      <selection pane="bottomLeft" activeCell="D2" sqref="D2"/>
    </sheetView>
  </sheetViews>
  <sheetFormatPr defaultRowHeight="57.75" customHeight="1" x14ac:dyDescent="0.25"/>
  <cols>
    <col min="1" max="1" width="16.7109375" customWidth="1"/>
    <col min="2" max="2" width="15.42578125" customWidth="1"/>
    <col min="3" max="3" width="0" hidden="1" customWidth="1"/>
    <col min="4" max="4" width="64.42578125" customWidth="1"/>
    <col min="6" max="10" width="0" hidden="1" customWidth="1"/>
    <col min="11" max="11" width="20.7109375" customWidth="1"/>
    <col min="12" max="12" width="18.7109375" customWidth="1"/>
    <col min="14" max="17" width="0" hidden="1" customWidth="1"/>
    <col min="20" max="26" width="0" hidden="1" customWidth="1"/>
    <col min="28" max="28" width="0" hidden="1" customWidth="1"/>
    <col min="30" max="30" width="0" hidden="1" customWidth="1"/>
    <col min="31" max="31" width="14.85546875" customWidth="1"/>
    <col min="32" max="41" width="0" hidden="1" customWidth="1"/>
    <col min="42" max="44" width="10.5703125" customWidth="1"/>
    <col min="47" max="56" width="0" hidden="1" customWidth="1"/>
  </cols>
  <sheetData>
    <row r="1" spans="1:56" ht="57.75" customHeight="1" x14ac:dyDescent="0.25">
      <c r="A1" s="8" t="s">
        <v>9349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57.75" customHeight="1" x14ac:dyDescent="0.25">
      <c r="A2" s="7" t="s">
        <v>59</v>
      </c>
      <c r="B2" s="2" t="s">
        <v>55</v>
      </c>
      <c r="C2" s="2" t="s">
        <v>56</v>
      </c>
      <c r="D2" s="2" t="s">
        <v>57</v>
      </c>
      <c r="E2" s="3" t="s">
        <v>58</v>
      </c>
      <c r="F2" s="3" t="s">
        <v>59</v>
      </c>
      <c r="G2" s="3" t="s">
        <v>60</v>
      </c>
      <c r="H2" s="3" t="s">
        <v>59</v>
      </c>
      <c r="I2" s="3" t="s">
        <v>59</v>
      </c>
      <c r="J2" s="3" t="s">
        <v>61</v>
      </c>
      <c r="L2" s="2" t="s">
        <v>62</v>
      </c>
      <c r="M2" s="3" t="s">
        <v>63</v>
      </c>
      <c r="O2" s="3" t="s">
        <v>64</v>
      </c>
      <c r="P2" s="3" t="s">
        <v>65</v>
      </c>
      <c r="Q2" s="2" t="s">
        <v>66</v>
      </c>
      <c r="R2" s="3" t="s">
        <v>67</v>
      </c>
      <c r="S2" s="4">
        <v>1</v>
      </c>
      <c r="T2" s="4">
        <v>1</v>
      </c>
      <c r="U2" s="5" t="s">
        <v>68</v>
      </c>
      <c r="V2" s="5" t="s">
        <v>68</v>
      </c>
      <c r="W2" s="5" t="s">
        <v>68</v>
      </c>
      <c r="X2" s="5" t="s">
        <v>68</v>
      </c>
      <c r="Y2" s="4">
        <v>195</v>
      </c>
      <c r="Z2" s="4">
        <v>157</v>
      </c>
      <c r="AA2" s="4">
        <v>160</v>
      </c>
      <c r="AB2" s="4">
        <v>3</v>
      </c>
      <c r="AC2" s="4">
        <v>3</v>
      </c>
      <c r="AD2" s="4">
        <v>5</v>
      </c>
      <c r="AE2" s="4">
        <v>5</v>
      </c>
      <c r="AF2" s="4">
        <v>3</v>
      </c>
      <c r="AG2" s="4">
        <v>3</v>
      </c>
      <c r="AH2" s="4">
        <v>0</v>
      </c>
      <c r="AI2" s="4">
        <v>0</v>
      </c>
      <c r="AJ2" s="4">
        <v>1</v>
      </c>
      <c r="AK2" s="4">
        <v>1</v>
      </c>
      <c r="AL2" s="4">
        <v>2</v>
      </c>
      <c r="AM2" s="4">
        <v>2</v>
      </c>
      <c r="AN2" s="4">
        <v>0</v>
      </c>
      <c r="AO2" s="4">
        <v>0</v>
      </c>
      <c r="AP2" s="3" t="s">
        <v>59</v>
      </c>
      <c r="AQ2" s="3" t="s">
        <v>69</v>
      </c>
      <c r="AR2" s="6" t="str">
        <f>HYPERLINK("http://catalog.hathitrust.org/Record/008744840","HathiTrust Record")</f>
        <v>HathiTrust Record</v>
      </c>
      <c r="AS2" s="6" t="str">
        <f>HYPERLINK("https://creighton-primo.hosted.exlibrisgroup.com/primo-explore/search?tab=default_tab&amp;search_scope=EVERYTHING&amp;vid=01CRU&amp;lang=en_US&amp;offset=0&amp;query=any,contains,991003961719702656","Catalog Record")</f>
        <v>Catalog Record</v>
      </c>
      <c r="AT2" s="6" t="str">
        <f>HYPERLINK("http://www.worldcat.org/oclc/51206815","WorldCat Record")</f>
        <v>WorldCat Record</v>
      </c>
      <c r="AU2" s="3" t="s">
        <v>70</v>
      </c>
      <c r="AV2" s="3" t="s">
        <v>71</v>
      </c>
      <c r="AW2" s="3" t="s">
        <v>72</v>
      </c>
      <c r="AX2" s="3" t="s">
        <v>72</v>
      </c>
      <c r="AY2" s="3" t="s">
        <v>73</v>
      </c>
      <c r="AZ2" s="3" t="s">
        <v>74</v>
      </c>
      <c r="BC2" s="3" t="s">
        <v>75</v>
      </c>
      <c r="BD2" s="3" t="s">
        <v>76</v>
      </c>
    </row>
    <row r="3" spans="1:56" ht="57.75" customHeight="1" x14ac:dyDescent="0.25">
      <c r="A3" s="7" t="s">
        <v>59</v>
      </c>
      <c r="B3" s="2" t="s">
        <v>77</v>
      </c>
      <c r="C3" s="2" t="s">
        <v>78</v>
      </c>
      <c r="D3" s="2" t="s">
        <v>79</v>
      </c>
      <c r="E3" s="3" t="s">
        <v>80</v>
      </c>
      <c r="F3" s="3" t="s">
        <v>59</v>
      </c>
      <c r="G3" s="3" t="s">
        <v>60</v>
      </c>
      <c r="H3" s="3" t="s">
        <v>59</v>
      </c>
      <c r="I3" s="3" t="s">
        <v>59</v>
      </c>
      <c r="J3" s="3" t="s">
        <v>61</v>
      </c>
      <c r="L3" s="2" t="s">
        <v>62</v>
      </c>
      <c r="M3" s="3" t="s">
        <v>63</v>
      </c>
      <c r="O3" s="3" t="s">
        <v>64</v>
      </c>
      <c r="P3" s="3" t="s">
        <v>65</v>
      </c>
      <c r="Q3" s="2" t="s">
        <v>81</v>
      </c>
      <c r="R3" s="3" t="s">
        <v>67</v>
      </c>
      <c r="S3" s="4">
        <v>1</v>
      </c>
      <c r="T3" s="4">
        <v>1</v>
      </c>
      <c r="U3" s="5" t="s">
        <v>68</v>
      </c>
      <c r="V3" s="5" t="s">
        <v>68</v>
      </c>
      <c r="W3" s="5" t="s">
        <v>68</v>
      </c>
      <c r="X3" s="5" t="s">
        <v>68</v>
      </c>
      <c r="Y3" s="4">
        <v>186</v>
      </c>
      <c r="Z3" s="4">
        <v>150</v>
      </c>
      <c r="AA3" s="4">
        <v>156</v>
      </c>
      <c r="AB3" s="4">
        <v>3</v>
      </c>
      <c r="AC3" s="4">
        <v>3</v>
      </c>
      <c r="AD3" s="4">
        <v>5</v>
      </c>
      <c r="AE3" s="4">
        <v>5</v>
      </c>
      <c r="AF3" s="4">
        <v>3</v>
      </c>
      <c r="AG3" s="4">
        <v>3</v>
      </c>
      <c r="AH3" s="4">
        <v>0</v>
      </c>
      <c r="AI3" s="4">
        <v>0</v>
      </c>
      <c r="AJ3" s="4">
        <v>1</v>
      </c>
      <c r="AK3" s="4">
        <v>1</v>
      </c>
      <c r="AL3" s="4">
        <v>2</v>
      </c>
      <c r="AM3" s="4">
        <v>2</v>
      </c>
      <c r="AN3" s="4">
        <v>0</v>
      </c>
      <c r="AO3" s="4">
        <v>0</v>
      </c>
      <c r="AP3" s="3" t="s">
        <v>59</v>
      </c>
      <c r="AQ3" s="3" t="s">
        <v>69</v>
      </c>
      <c r="AR3" s="6" t="str">
        <f>HYPERLINK("http://catalog.hathitrust.org/Record/008744841","HathiTrust Record")</f>
        <v>HathiTrust Record</v>
      </c>
      <c r="AS3" s="6" t="str">
        <f>HYPERLINK("https://creighton-primo.hosted.exlibrisgroup.com/primo-explore/search?tab=default_tab&amp;search_scope=EVERYTHING&amp;vid=01CRU&amp;lang=en_US&amp;offset=0&amp;query=any,contains,991003961689702656","Catalog Record")</f>
        <v>Catalog Record</v>
      </c>
      <c r="AT3" s="6" t="str">
        <f>HYPERLINK("http://www.worldcat.org/oclc/51206863","WorldCat Record")</f>
        <v>WorldCat Record</v>
      </c>
      <c r="AU3" s="3" t="s">
        <v>82</v>
      </c>
      <c r="AV3" s="3" t="s">
        <v>83</v>
      </c>
      <c r="AW3" s="3" t="s">
        <v>84</v>
      </c>
      <c r="AX3" s="3" t="s">
        <v>84</v>
      </c>
      <c r="AY3" s="3" t="s">
        <v>85</v>
      </c>
      <c r="AZ3" s="3" t="s">
        <v>74</v>
      </c>
      <c r="BC3" s="3" t="s">
        <v>86</v>
      </c>
      <c r="BD3" s="3" t="s">
        <v>87</v>
      </c>
    </row>
    <row r="4" spans="1:56" ht="57.75" customHeight="1" x14ac:dyDescent="0.25">
      <c r="A4" s="7" t="s">
        <v>59</v>
      </c>
      <c r="B4" s="2" t="s">
        <v>88</v>
      </c>
      <c r="C4" s="2" t="s">
        <v>89</v>
      </c>
      <c r="D4" s="2" t="s">
        <v>90</v>
      </c>
      <c r="E4" s="3" t="s">
        <v>91</v>
      </c>
      <c r="F4" s="3" t="s">
        <v>59</v>
      </c>
      <c r="G4" s="3" t="s">
        <v>60</v>
      </c>
      <c r="H4" s="3" t="s">
        <v>59</v>
      </c>
      <c r="I4" s="3" t="s">
        <v>59</v>
      </c>
      <c r="J4" s="3" t="s">
        <v>61</v>
      </c>
      <c r="L4" s="2" t="s">
        <v>92</v>
      </c>
      <c r="M4" s="3" t="s">
        <v>93</v>
      </c>
      <c r="O4" s="3" t="s">
        <v>64</v>
      </c>
      <c r="P4" s="3" t="s">
        <v>65</v>
      </c>
      <c r="Q4" s="2" t="s">
        <v>94</v>
      </c>
      <c r="R4" s="3" t="s">
        <v>67</v>
      </c>
      <c r="S4" s="4">
        <v>1</v>
      </c>
      <c r="T4" s="4">
        <v>1</v>
      </c>
      <c r="U4" s="5" t="s">
        <v>95</v>
      </c>
      <c r="V4" s="5" t="s">
        <v>95</v>
      </c>
      <c r="W4" s="5" t="s">
        <v>95</v>
      </c>
      <c r="X4" s="5" t="s">
        <v>95</v>
      </c>
      <c r="Y4" s="4">
        <v>189</v>
      </c>
      <c r="Z4" s="4">
        <v>151</v>
      </c>
      <c r="AA4" s="4">
        <v>154</v>
      </c>
      <c r="AB4" s="4">
        <v>2</v>
      </c>
      <c r="AC4" s="4">
        <v>2</v>
      </c>
      <c r="AD4" s="4">
        <v>5</v>
      </c>
      <c r="AE4" s="4">
        <v>5</v>
      </c>
      <c r="AF4" s="4">
        <v>4</v>
      </c>
      <c r="AG4" s="4">
        <v>4</v>
      </c>
      <c r="AH4" s="4">
        <v>0</v>
      </c>
      <c r="AI4" s="4">
        <v>0</v>
      </c>
      <c r="AJ4" s="4">
        <v>1</v>
      </c>
      <c r="AK4" s="4">
        <v>1</v>
      </c>
      <c r="AL4" s="4">
        <v>1</v>
      </c>
      <c r="AM4" s="4">
        <v>1</v>
      </c>
      <c r="AN4" s="4">
        <v>0</v>
      </c>
      <c r="AO4" s="4">
        <v>0</v>
      </c>
      <c r="AP4" s="3" t="s">
        <v>59</v>
      </c>
      <c r="AQ4" s="3" t="s">
        <v>69</v>
      </c>
      <c r="AR4" s="6" t="str">
        <f>HYPERLINK("http://catalog.hathitrust.org/Record/003886606","HathiTrust Record")</f>
        <v>HathiTrust Record</v>
      </c>
      <c r="AS4" s="6" t="str">
        <f>HYPERLINK("https://creighton-primo.hosted.exlibrisgroup.com/primo-explore/search?tab=default_tab&amp;search_scope=EVERYTHING&amp;vid=01CRU&amp;lang=en_US&amp;offset=0&amp;query=any,contains,991004110249702656","Catalog Record")</f>
        <v>Catalog Record</v>
      </c>
      <c r="AT4" s="6" t="str">
        <f>HYPERLINK("http://www.worldcat.org/oclc/52824830","WorldCat Record")</f>
        <v>WorldCat Record</v>
      </c>
      <c r="AU4" s="3" t="s">
        <v>96</v>
      </c>
      <c r="AV4" s="3" t="s">
        <v>97</v>
      </c>
      <c r="AW4" s="3" t="s">
        <v>98</v>
      </c>
      <c r="AX4" s="3" t="s">
        <v>98</v>
      </c>
      <c r="AY4" s="3" t="s">
        <v>99</v>
      </c>
      <c r="AZ4" s="3" t="s">
        <v>74</v>
      </c>
      <c r="BC4" s="3" t="s">
        <v>100</v>
      </c>
      <c r="BD4" s="3" t="s">
        <v>101</v>
      </c>
    </row>
    <row r="5" spans="1:56" ht="57.75" customHeight="1" x14ac:dyDescent="0.25">
      <c r="A5" s="7" t="s">
        <v>59</v>
      </c>
      <c r="B5" s="2" t="s">
        <v>102</v>
      </c>
      <c r="C5" s="2" t="s">
        <v>103</v>
      </c>
      <c r="D5" s="2" t="s">
        <v>104</v>
      </c>
      <c r="E5" s="3" t="s">
        <v>105</v>
      </c>
      <c r="F5" s="3" t="s">
        <v>59</v>
      </c>
      <c r="G5" s="3" t="s">
        <v>60</v>
      </c>
      <c r="H5" s="3" t="s">
        <v>59</v>
      </c>
      <c r="I5" s="3" t="s">
        <v>59</v>
      </c>
      <c r="J5" s="3" t="s">
        <v>61</v>
      </c>
      <c r="L5" s="2" t="s">
        <v>92</v>
      </c>
      <c r="M5" s="3" t="s">
        <v>93</v>
      </c>
      <c r="O5" s="3" t="s">
        <v>64</v>
      </c>
      <c r="P5" s="3" t="s">
        <v>65</v>
      </c>
      <c r="Q5" s="2" t="s">
        <v>106</v>
      </c>
      <c r="R5" s="3" t="s">
        <v>67</v>
      </c>
      <c r="S5" s="4">
        <v>1</v>
      </c>
      <c r="T5" s="4">
        <v>1</v>
      </c>
      <c r="U5" s="5" t="s">
        <v>95</v>
      </c>
      <c r="V5" s="5" t="s">
        <v>95</v>
      </c>
      <c r="W5" s="5" t="s">
        <v>95</v>
      </c>
      <c r="X5" s="5" t="s">
        <v>95</v>
      </c>
      <c r="Y5" s="4">
        <v>194</v>
      </c>
      <c r="Z5" s="4">
        <v>155</v>
      </c>
      <c r="AA5" s="4">
        <v>158</v>
      </c>
      <c r="AB5" s="4">
        <v>3</v>
      </c>
      <c r="AC5" s="4">
        <v>3</v>
      </c>
      <c r="AD5" s="4">
        <v>6</v>
      </c>
      <c r="AE5" s="4">
        <v>6</v>
      </c>
      <c r="AF5" s="4">
        <v>4</v>
      </c>
      <c r="AG5" s="4">
        <v>4</v>
      </c>
      <c r="AH5" s="4">
        <v>0</v>
      </c>
      <c r="AI5" s="4">
        <v>0</v>
      </c>
      <c r="AJ5" s="4">
        <v>1</v>
      </c>
      <c r="AK5" s="4">
        <v>1</v>
      </c>
      <c r="AL5" s="4">
        <v>2</v>
      </c>
      <c r="AM5" s="4">
        <v>2</v>
      </c>
      <c r="AN5" s="4">
        <v>0</v>
      </c>
      <c r="AO5" s="4">
        <v>0</v>
      </c>
      <c r="AP5" s="3" t="s">
        <v>59</v>
      </c>
      <c r="AQ5" s="3" t="s">
        <v>69</v>
      </c>
      <c r="AR5" s="6" t="str">
        <f>HYPERLINK("http://catalog.hathitrust.org/Record/003886605","HathiTrust Record")</f>
        <v>HathiTrust Record</v>
      </c>
      <c r="AS5" s="6" t="str">
        <f>HYPERLINK("https://creighton-primo.hosted.exlibrisgroup.com/primo-explore/search?tab=default_tab&amp;search_scope=EVERYTHING&amp;vid=01CRU&amp;lang=en_US&amp;offset=0&amp;query=any,contains,991004110189702656","Catalog Record")</f>
        <v>Catalog Record</v>
      </c>
      <c r="AT5" s="6" t="str">
        <f>HYPERLINK("http://www.worldcat.org/oclc/52824544","WorldCat Record")</f>
        <v>WorldCat Record</v>
      </c>
      <c r="AU5" s="3" t="s">
        <v>107</v>
      </c>
      <c r="AV5" s="3" t="s">
        <v>108</v>
      </c>
      <c r="AW5" s="3" t="s">
        <v>109</v>
      </c>
      <c r="AX5" s="3" t="s">
        <v>109</v>
      </c>
      <c r="AY5" s="3" t="s">
        <v>110</v>
      </c>
      <c r="AZ5" s="3" t="s">
        <v>74</v>
      </c>
      <c r="BC5" s="3" t="s">
        <v>111</v>
      </c>
      <c r="BD5" s="3" t="s">
        <v>112</v>
      </c>
    </row>
    <row r="6" spans="1:56" ht="57.75" customHeight="1" x14ac:dyDescent="0.25">
      <c r="A6" s="7" t="s">
        <v>59</v>
      </c>
      <c r="B6" s="2" t="s">
        <v>113</v>
      </c>
      <c r="C6" s="2" t="s">
        <v>114</v>
      </c>
      <c r="D6" s="2" t="s">
        <v>115</v>
      </c>
      <c r="E6" s="3" t="s">
        <v>116</v>
      </c>
      <c r="F6" s="3" t="s">
        <v>59</v>
      </c>
      <c r="G6" s="3" t="s">
        <v>60</v>
      </c>
      <c r="H6" s="3" t="s">
        <v>59</v>
      </c>
      <c r="I6" s="3" t="s">
        <v>59</v>
      </c>
      <c r="J6" s="3" t="s">
        <v>61</v>
      </c>
      <c r="L6" s="2" t="s">
        <v>92</v>
      </c>
      <c r="M6" s="3" t="s">
        <v>93</v>
      </c>
      <c r="O6" s="3" t="s">
        <v>64</v>
      </c>
      <c r="P6" s="3" t="s">
        <v>65</v>
      </c>
      <c r="Q6" s="2" t="s">
        <v>117</v>
      </c>
      <c r="R6" s="3" t="s">
        <v>67</v>
      </c>
      <c r="S6" s="4">
        <v>1</v>
      </c>
      <c r="T6" s="4">
        <v>1</v>
      </c>
      <c r="U6" s="5" t="s">
        <v>118</v>
      </c>
      <c r="V6" s="5" t="s">
        <v>118</v>
      </c>
      <c r="W6" s="5" t="s">
        <v>118</v>
      </c>
      <c r="X6" s="5" t="s">
        <v>118</v>
      </c>
      <c r="Y6" s="4">
        <v>191</v>
      </c>
      <c r="Z6" s="4">
        <v>154</v>
      </c>
      <c r="AA6" s="4">
        <v>157</v>
      </c>
      <c r="AB6" s="4">
        <v>3</v>
      </c>
      <c r="AC6" s="4">
        <v>3</v>
      </c>
      <c r="AD6" s="4">
        <v>6</v>
      </c>
      <c r="AE6" s="4">
        <v>6</v>
      </c>
      <c r="AF6" s="4">
        <v>4</v>
      </c>
      <c r="AG6" s="4">
        <v>4</v>
      </c>
      <c r="AH6" s="4">
        <v>0</v>
      </c>
      <c r="AI6" s="4">
        <v>0</v>
      </c>
      <c r="AJ6" s="4">
        <v>2</v>
      </c>
      <c r="AK6" s="4">
        <v>2</v>
      </c>
      <c r="AL6" s="4">
        <v>2</v>
      </c>
      <c r="AM6" s="4">
        <v>2</v>
      </c>
      <c r="AN6" s="4">
        <v>0</v>
      </c>
      <c r="AO6" s="4">
        <v>0</v>
      </c>
      <c r="AP6" s="3" t="s">
        <v>59</v>
      </c>
      <c r="AQ6" s="3" t="s">
        <v>69</v>
      </c>
      <c r="AR6" s="6" t="str">
        <f>HYPERLINK("http://catalog.hathitrust.org/Record/003874698","HathiTrust Record")</f>
        <v>HathiTrust Record</v>
      </c>
      <c r="AS6" s="6" t="str">
        <f>HYPERLINK("https://creighton-primo.hosted.exlibrisgroup.com/primo-explore/search?tab=default_tab&amp;search_scope=EVERYTHING&amp;vid=01CRU&amp;lang=en_US&amp;offset=0&amp;query=any,contains,991004182189702656","Catalog Record")</f>
        <v>Catalog Record</v>
      </c>
      <c r="AT6" s="6" t="str">
        <f>HYPERLINK("http://www.worldcat.org/oclc/53326507","WorldCat Record")</f>
        <v>WorldCat Record</v>
      </c>
      <c r="AU6" s="3" t="s">
        <v>119</v>
      </c>
      <c r="AV6" s="3" t="s">
        <v>120</v>
      </c>
      <c r="AW6" s="3" t="s">
        <v>121</v>
      </c>
      <c r="AX6" s="3" t="s">
        <v>121</v>
      </c>
      <c r="AY6" s="3" t="s">
        <v>122</v>
      </c>
      <c r="AZ6" s="3" t="s">
        <v>74</v>
      </c>
      <c r="BC6" s="3" t="s">
        <v>123</v>
      </c>
      <c r="BD6" s="3" t="s">
        <v>124</v>
      </c>
    </row>
    <row r="7" spans="1:56" ht="57.75" customHeight="1" x14ac:dyDescent="0.25">
      <c r="A7" s="7" t="s">
        <v>59</v>
      </c>
      <c r="B7" s="2" t="s">
        <v>125</v>
      </c>
      <c r="C7" s="2" t="s">
        <v>126</v>
      </c>
      <c r="D7" s="2" t="s">
        <v>127</v>
      </c>
      <c r="E7" s="3" t="s">
        <v>128</v>
      </c>
      <c r="F7" s="3" t="s">
        <v>59</v>
      </c>
      <c r="G7" s="3" t="s">
        <v>60</v>
      </c>
      <c r="H7" s="3" t="s">
        <v>59</v>
      </c>
      <c r="I7" s="3" t="s">
        <v>59</v>
      </c>
      <c r="J7" s="3" t="s">
        <v>61</v>
      </c>
      <c r="L7" s="2" t="s">
        <v>129</v>
      </c>
      <c r="M7" s="3" t="s">
        <v>130</v>
      </c>
      <c r="O7" s="3" t="s">
        <v>64</v>
      </c>
      <c r="P7" s="3" t="s">
        <v>65</v>
      </c>
      <c r="Q7" s="2" t="s">
        <v>131</v>
      </c>
      <c r="R7" s="3" t="s">
        <v>67</v>
      </c>
      <c r="S7" s="4">
        <v>1</v>
      </c>
      <c r="T7" s="4">
        <v>1</v>
      </c>
      <c r="U7" s="5" t="s">
        <v>132</v>
      </c>
      <c r="V7" s="5" t="s">
        <v>132</v>
      </c>
      <c r="W7" s="5" t="s">
        <v>132</v>
      </c>
      <c r="X7" s="5" t="s">
        <v>132</v>
      </c>
      <c r="Y7" s="4">
        <v>181</v>
      </c>
      <c r="Z7" s="4">
        <v>146</v>
      </c>
      <c r="AA7" s="4">
        <v>148</v>
      </c>
      <c r="AB7" s="4">
        <v>3</v>
      </c>
      <c r="AC7" s="4">
        <v>3</v>
      </c>
      <c r="AD7" s="4">
        <v>6</v>
      </c>
      <c r="AE7" s="4">
        <v>6</v>
      </c>
      <c r="AF7" s="4">
        <v>4</v>
      </c>
      <c r="AG7" s="4">
        <v>4</v>
      </c>
      <c r="AH7" s="4">
        <v>0</v>
      </c>
      <c r="AI7" s="4">
        <v>0</v>
      </c>
      <c r="AJ7" s="4">
        <v>2</v>
      </c>
      <c r="AK7" s="4">
        <v>2</v>
      </c>
      <c r="AL7" s="4">
        <v>2</v>
      </c>
      <c r="AM7" s="4">
        <v>2</v>
      </c>
      <c r="AN7" s="4">
        <v>0</v>
      </c>
      <c r="AO7" s="4">
        <v>0</v>
      </c>
      <c r="AP7" s="3" t="s">
        <v>59</v>
      </c>
      <c r="AQ7" s="3" t="s">
        <v>69</v>
      </c>
      <c r="AR7" s="6" t="str">
        <f>HYPERLINK("http://catalog.hathitrust.org/Record/005116461","HathiTrust Record")</f>
        <v>HathiTrust Record</v>
      </c>
      <c r="AS7" s="6" t="str">
        <f>HYPERLINK("https://creighton-primo.hosted.exlibrisgroup.com/primo-explore/search?tab=default_tab&amp;search_scope=EVERYTHING&amp;vid=01CRU&amp;lang=en_US&amp;offset=0&amp;query=any,contains,991004314489702656","Catalog Record")</f>
        <v>Catalog Record</v>
      </c>
      <c r="AT7" s="6" t="str">
        <f>HYPERLINK("http://www.worldcat.org/oclc/55057627","WorldCat Record")</f>
        <v>WorldCat Record</v>
      </c>
      <c r="AU7" s="3" t="s">
        <v>133</v>
      </c>
      <c r="AV7" s="3" t="s">
        <v>134</v>
      </c>
      <c r="AW7" s="3" t="s">
        <v>135</v>
      </c>
      <c r="AX7" s="3" t="s">
        <v>135</v>
      </c>
      <c r="AY7" s="3" t="s">
        <v>136</v>
      </c>
      <c r="AZ7" s="3" t="s">
        <v>74</v>
      </c>
      <c r="BC7" s="3" t="s">
        <v>137</v>
      </c>
      <c r="BD7" s="3" t="s">
        <v>138</v>
      </c>
    </row>
    <row r="8" spans="1:56" ht="57.75" customHeight="1" x14ac:dyDescent="0.25">
      <c r="A8" s="7" t="s">
        <v>59</v>
      </c>
      <c r="B8" s="2" t="s">
        <v>139</v>
      </c>
      <c r="C8" s="2" t="s">
        <v>140</v>
      </c>
      <c r="D8" s="2" t="s">
        <v>141</v>
      </c>
      <c r="E8" s="3" t="s">
        <v>142</v>
      </c>
      <c r="F8" s="3" t="s">
        <v>59</v>
      </c>
      <c r="G8" s="3" t="s">
        <v>60</v>
      </c>
      <c r="H8" s="3" t="s">
        <v>59</v>
      </c>
      <c r="I8" s="3" t="s">
        <v>59</v>
      </c>
      <c r="J8" s="3" t="s">
        <v>61</v>
      </c>
      <c r="L8" s="2" t="s">
        <v>143</v>
      </c>
      <c r="M8" s="3" t="s">
        <v>144</v>
      </c>
      <c r="O8" s="3" t="s">
        <v>64</v>
      </c>
      <c r="P8" s="3" t="s">
        <v>145</v>
      </c>
      <c r="Q8" s="2" t="s">
        <v>146</v>
      </c>
      <c r="R8" s="3" t="s">
        <v>67</v>
      </c>
      <c r="S8" s="4">
        <v>1</v>
      </c>
      <c r="T8" s="4">
        <v>1</v>
      </c>
      <c r="U8" s="5" t="s">
        <v>147</v>
      </c>
      <c r="V8" s="5" t="s">
        <v>147</v>
      </c>
      <c r="W8" s="5" t="s">
        <v>147</v>
      </c>
      <c r="X8" s="5" t="s">
        <v>147</v>
      </c>
      <c r="Y8" s="4">
        <v>186</v>
      </c>
      <c r="Z8" s="4">
        <v>145</v>
      </c>
      <c r="AA8" s="4">
        <v>148</v>
      </c>
      <c r="AB8" s="4">
        <v>3</v>
      </c>
      <c r="AC8" s="4">
        <v>3</v>
      </c>
      <c r="AD8" s="4">
        <v>7</v>
      </c>
      <c r="AE8" s="4">
        <v>7</v>
      </c>
      <c r="AF8" s="4">
        <v>4</v>
      </c>
      <c r="AG8" s="4">
        <v>4</v>
      </c>
      <c r="AH8" s="4">
        <v>1</v>
      </c>
      <c r="AI8" s="4">
        <v>1</v>
      </c>
      <c r="AJ8" s="4">
        <v>3</v>
      </c>
      <c r="AK8" s="4">
        <v>3</v>
      </c>
      <c r="AL8" s="4">
        <v>2</v>
      </c>
      <c r="AM8" s="4">
        <v>2</v>
      </c>
      <c r="AN8" s="4">
        <v>0</v>
      </c>
      <c r="AO8" s="4">
        <v>0</v>
      </c>
      <c r="AP8" s="3" t="s">
        <v>59</v>
      </c>
      <c r="AQ8" s="3" t="s">
        <v>69</v>
      </c>
      <c r="AR8" s="6" t="str">
        <f>HYPERLINK("http://catalog.hathitrust.org/Record/008744842","HathiTrust Record")</f>
        <v>HathiTrust Record</v>
      </c>
      <c r="AS8" s="6" t="str">
        <f>HYPERLINK("https://creighton-primo.hosted.exlibrisgroup.com/primo-explore/search?tab=default_tab&amp;search_scope=EVERYTHING&amp;vid=01CRU&amp;lang=en_US&amp;offset=0&amp;query=any,contains,991004633379702656","Catalog Record")</f>
        <v>Catalog Record</v>
      </c>
      <c r="AT8" s="6" t="str">
        <f>HYPERLINK("http://www.worldcat.org/oclc/61271786","WorldCat Record")</f>
        <v>WorldCat Record</v>
      </c>
      <c r="AU8" s="3" t="s">
        <v>148</v>
      </c>
      <c r="AV8" s="3" t="s">
        <v>149</v>
      </c>
      <c r="AW8" s="3" t="s">
        <v>150</v>
      </c>
      <c r="AX8" s="3" t="s">
        <v>150</v>
      </c>
      <c r="AY8" s="3" t="s">
        <v>151</v>
      </c>
      <c r="AZ8" s="3" t="s">
        <v>74</v>
      </c>
      <c r="BC8" s="3" t="s">
        <v>152</v>
      </c>
      <c r="BD8" s="3" t="s">
        <v>153</v>
      </c>
    </row>
    <row r="9" spans="1:56" ht="57.75" customHeight="1" x14ac:dyDescent="0.25">
      <c r="A9" s="7" t="s">
        <v>59</v>
      </c>
      <c r="B9" s="2" t="s">
        <v>154</v>
      </c>
      <c r="C9" s="2" t="s">
        <v>155</v>
      </c>
      <c r="D9" s="2" t="s">
        <v>156</v>
      </c>
      <c r="E9" s="3" t="s">
        <v>157</v>
      </c>
      <c r="F9" s="3" t="s">
        <v>59</v>
      </c>
      <c r="G9" s="3" t="s">
        <v>60</v>
      </c>
      <c r="H9" s="3" t="s">
        <v>59</v>
      </c>
      <c r="I9" s="3" t="s">
        <v>59</v>
      </c>
      <c r="J9" s="3" t="s">
        <v>61</v>
      </c>
      <c r="L9" s="2" t="s">
        <v>158</v>
      </c>
      <c r="M9" s="3" t="s">
        <v>144</v>
      </c>
      <c r="O9" s="3" t="s">
        <v>64</v>
      </c>
      <c r="P9" s="3" t="s">
        <v>145</v>
      </c>
      <c r="Q9" s="2" t="s">
        <v>159</v>
      </c>
      <c r="R9" s="3" t="s">
        <v>67</v>
      </c>
      <c r="S9" s="4">
        <v>1</v>
      </c>
      <c r="T9" s="4">
        <v>1</v>
      </c>
      <c r="U9" s="5" t="s">
        <v>160</v>
      </c>
      <c r="V9" s="5" t="s">
        <v>160</v>
      </c>
      <c r="W9" s="5" t="s">
        <v>160</v>
      </c>
      <c r="X9" s="5" t="s">
        <v>160</v>
      </c>
      <c r="Y9" s="4">
        <v>184</v>
      </c>
      <c r="Z9" s="4">
        <v>146</v>
      </c>
      <c r="AA9" s="4">
        <v>149</v>
      </c>
      <c r="AB9" s="4">
        <v>2</v>
      </c>
      <c r="AC9" s="4">
        <v>2</v>
      </c>
      <c r="AD9" s="4">
        <v>7</v>
      </c>
      <c r="AE9" s="4">
        <v>7</v>
      </c>
      <c r="AF9" s="4">
        <v>5</v>
      </c>
      <c r="AG9" s="4">
        <v>5</v>
      </c>
      <c r="AH9" s="4">
        <v>1</v>
      </c>
      <c r="AI9" s="4">
        <v>1</v>
      </c>
      <c r="AJ9" s="4">
        <v>3</v>
      </c>
      <c r="AK9" s="4">
        <v>3</v>
      </c>
      <c r="AL9" s="4">
        <v>1</v>
      </c>
      <c r="AM9" s="4">
        <v>1</v>
      </c>
      <c r="AN9" s="4">
        <v>0</v>
      </c>
      <c r="AO9" s="4">
        <v>0</v>
      </c>
      <c r="AP9" s="3" t="s">
        <v>59</v>
      </c>
      <c r="AQ9" s="3" t="s">
        <v>69</v>
      </c>
      <c r="AR9" s="6" t="str">
        <f>HYPERLINK("http://catalog.hathitrust.org/Record/005097741","HathiTrust Record")</f>
        <v>HathiTrust Record</v>
      </c>
      <c r="AS9" s="6" t="str">
        <f>HYPERLINK("https://creighton-primo.hosted.exlibrisgroup.com/primo-explore/search?tab=default_tab&amp;search_scope=EVERYTHING&amp;vid=01CRU&amp;lang=en_US&amp;offset=0&amp;query=any,contains,991004700309702656","Catalog Record")</f>
        <v>Catalog Record</v>
      </c>
      <c r="AT9" s="6" t="str">
        <f>HYPERLINK("http://www.worldcat.org/oclc/62311763","WorldCat Record")</f>
        <v>WorldCat Record</v>
      </c>
      <c r="AU9" s="3" t="s">
        <v>161</v>
      </c>
      <c r="AV9" s="3" t="s">
        <v>162</v>
      </c>
      <c r="AW9" s="3" t="s">
        <v>163</v>
      </c>
      <c r="AX9" s="3" t="s">
        <v>163</v>
      </c>
      <c r="AY9" s="3" t="s">
        <v>164</v>
      </c>
      <c r="AZ9" s="3" t="s">
        <v>74</v>
      </c>
      <c r="BC9" s="3" t="s">
        <v>165</v>
      </c>
      <c r="BD9" s="3" t="s">
        <v>166</v>
      </c>
    </row>
    <row r="10" spans="1:56" ht="57.75" customHeight="1" x14ac:dyDescent="0.25">
      <c r="A10" s="7" t="s">
        <v>59</v>
      </c>
      <c r="B10" s="2" t="s">
        <v>167</v>
      </c>
      <c r="C10" s="2" t="s">
        <v>168</v>
      </c>
      <c r="D10" s="2" t="s">
        <v>169</v>
      </c>
      <c r="E10" s="3" t="s">
        <v>170</v>
      </c>
      <c r="F10" s="3" t="s">
        <v>59</v>
      </c>
      <c r="G10" s="3" t="s">
        <v>60</v>
      </c>
      <c r="H10" s="3" t="s">
        <v>59</v>
      </c>
      <c r="I10" s="3" t="s">
        <v>59</v>
      </c>
      <c r="J10" s="3" t="s">
        <v>61</v>
      </c>
      <c r="L10" s="2" t="s">
        <v>171</v>
      </c>
      <c r="M10" s="3" t="s">
        <v>172</v>
      </c>
      <c r="O10" s="3" t="s">
        <v>64</v>
      </c>
      <c r="P10" s="3" t="s">
        <v>65</v>
      </c>
      <c r="Q10" s="2" t="s">
        <v>173</v>
      </c>
      <c r="R10" s="3" t="s">
        <v>67</v>
      </c>
      <c r="S10" s="4">
        <v>1</v>
      </c>
      <c r="T10" s="4">
        <v>1</v>
      </c>
      <c r="U10" s="5" t="s">
        <v>174</v>
      </c>
      <c r="V10" s="5" t="s">
        <v>174</v>
      </c>
      <c r="W10" s="5" t="s">
        <v>174</v>
      </c>
      <c r="X10" s="5" t="s">
        <v>174</v>
      </c>
      <c r="Y10" s="4">
        <v>143</v>
      </c>
      <c r="Z10" s="4">
        <v>121</v>
      </c>
      <c r="AA10" s="4">
        <v>123</v>
      </c>
      <c r="AB10" s="4">
        <v>3</v>
      </c>
      <c r="AC10" s="4">
        <v>3</v>
      </c>
      <c r="AD10" s="4">
        <v>6</v>
      </c>
      <c r="AE10" s="4">
        <v>6</v>
      </c>
      <c r="AF10" s="4">
        <v>3</v>
      </c>
      <c r="AG10" s="4">
        <v>3</v>
      </c>
      <c r="AH10" s="4">
        <v>1</v>
      </c>
      <c r="AI10" s="4">
        <v>1</v>
      </c>
      <c r="AJ10" s="4">
        <v>2</v>
      </c>
      <c r="AK10" s="4">
        <v>2</v>
      </c>
      <c r="AL10" s="4">
        <v>2</v>
      </c>
      <c r="AM10" s="4">
        <v>2</v>
      </c>
      <c r="AN10" s="4">
        <v>0</v>
      </c>
      <c r="AO10" s="4">
        <v>0</v>
      </c>
      <c r="AP10" s="3" t="s">
        <v>59</v>
      </c>
      <c r="AQ10" s="3" t="s">
        <v>69</v>
      </c>
      <c r="AR10" s="6" t="str">
        <f>HYPERLINK("http://catalog.hathitrust.org/Record/005899193","HathiTrust Record")</f>
        <v>HathiTrust Record</v>
      </c>
      <c r="AS10" s="6" t="str">
        <f>HYPERLINK("https://creighton-primo.hosted.exlibrisgroup.com/primo-explore/search?tab=default_tab&amp;search_scope=EVERYTHING&amp;vid=01CRU&amp;lang=en_US&amp;offset=0&amp;query=any,contains,991004821469702656","Catalog Record")</f>
        <v>Catalog Record</v>
      </c>
      <c r="AT10" s="6" t="str">
        <f>HYPERLINK("http://www.worldcat.org/oclc/68904567","WorldCat Record")</f>
        <v>WorldCat Record</v>
      </c>
      <c r="AU10" s="3" t="s">
        <v>175</v>
      </c>
      <c r="AV10" s="3" t="s">
        <v>176</v>
      </c>
      <c r="AW10" s="3" t="s">
        <v>177</v>
      </c>
      <c r="AX10" s="3" t="s">
        <v>177</v>
      </c>
      <c r="AY10" s="3" t="s">
        <v>178</v>
      </c>
      <c r="AZ10" s="3" t="s">
        <v>74</v>
      </c>
      <c r="BC10" s="3" t="s">
        <v>179</v>
      </c>
      <c r="BD10" s="3" t="s">
        <v>180</v>
      </c>
    </row>
    <row r="11" spans="1:56" ht="57.75" customHeight="1" x14ac:dyDescent="0.25">
      <c r="A11" s="7" t="s">
        <v>59</v>
      </c>
      <c r="B11" s="2" t="s">
        <v>181</v>
      </c>
      <c r="C11" s="2" t="s">
        <v>182</v>
      </c>
      <c r="D11" s="2" t="s">
        <v>183</v>
      </c>
      <c r="E11" s="3" t="s">
        <v>184</v>
      </c>
      <c r="F11" s="3" t="s">
        <v>59</v>
      </c>
      <c r="G11" s="3" t="s">
        <v>60</v>
      </c>
      <c r="H11" s="3" t="s">
        <v>59</v>
      </c>
      <c r="I11" s="3" t="s">
        <v>59</v>
      </c>
      <c r="J11" s="3" t="s">
        <v>61</v>
      </c>
      <c r="L11" s="2" t="s">
        <v>185</v>
      </c>
      <c r="M11" s="3" t="s">
        <v>172</v>
      </c>
      <c r="O11" s="3" t="s">
        <v>64</v>
      </c>
      <c r="P11" s="3" t="s">
        <v>186</v>
      </c>
      <c r="Q11" s="2" t="s">
        <v>187</v>
      </c>
      <c r="R11" s="3" t="s">
        <v>67</v>
      </c>
      <c r="S11" s="4">
        <v>1</v>
      </c>
      <c r="T11" s="4">
        <v>1</v>
      </c>
      <c r="U11" s="5" t="s">
        <v>188</v>
      </c>
      <c r="V11" s="5" t="s">
        <v>188</v>
      </c>
      <c r="W11" s="5" t="s">
        <v>188</v>
      </c>
      <c r="X11" s="5" t="s">
        <v>188</v>
      </c>
      <c r="Y11" s="4">
        <v>143</v>
      </c>
      <c r="Z11" s="4">
        <v>122</v>
      </c>
      <c r="AA11" s="4">
        <v>124</v>
      </c>
      <c r="AB11" s="4">
        <v>3</v>
      </c>
      <c r="AC11" s="4">
        <v>3</v>
      </c>
      <c r="AD11" s="4">
        <v>5</v>
      </c>
      <c r="AE11" s="4">
        <v>5</v>
      </c>
      <c r="AF11" s="4">
        <v>2</v>
      </c>
      <c r="AG11" s="4">
        <v>2</v>
      </c>
      <c r="AH11" s="4">
        <v>1</v>
      </c>
      <c r="AI11" s="4">
        <v>1</v>
      </c>
      <c r="AJ11" s="4">
        <v>2</v>
      </c>
      <c r="AK11" s="4">
        <v>2</v>
      </c>
      <c r="AL11" s="4">
        <v>2</v>
      </c>
      <c r="AM11" s="4">
        <v>2</v>
      </c>
      <c r="AN11" s="4">
        <v>0</v>
      </c>
      <c r="AO11" s="4">
        <v>0</v>
      </c>
      <c r="AP11" s="3" t="s">
        <v>59</v>
      </c>
      <c r="AQ11" s="3" t="s">
        <v>69</v>
      </c>
      <c r="AR11" s="6" t="str">
        <f>HYPERLINK("http://catalog.hathitrust.org/Record/005899182","HathiTrust Record")</f>
        <v>HathiTrust Record</v>
      </c>
      <c r="AS11" s="6" t="str">
        <f>HYPERLINK("https://creighton-primo.hosted.exlibrisgroup.com/primo-explore/search?tab=default_tab&amp;search_scope=EVERYTHING&amp;vid=01CRU&amp;lang=en_US&amp;offset=0&amp;query=any,contains,991005001229702656","Catalog Record")</f>
        <v>Catalog Record</v>
      </c>
      <c r="AT11" s="6" t="str">
        <f>HYPERLINK("http://www.worldcat.org/oclc/76951602","WorldCat Record")</f>
        <v>WorldCat Record</v>
      </c>
      <c r="AU11" s="3" t="s">
        <v>189</v>
      </c>
      <c r="AV11" s="3" t="s">
        <v>190</v>
      </c>
      <c r="AW11" s="3" t="s">
        <v>191</v>
      </c>
      <c r="AX11" s="3" t="s">
        <v>191</v>
      </c>
      <c r="AY11" s="3" t="s">
        <v>192</v>
      </c>
      <c r="AZ11" s="3" t="s">
        <v>74</v>
      </c>
      <c r="BC11" s="3" t="s">
        <v>193</v>
      </c>
      <c r="BD11" s="3" t="s">
        <v>194</v>
      </c>
    </row>
    <row r="12" spans="1:56" ht="57.75" customHeight="1" x14ac:dyDescent="0.25">
      <c r="A12" s="7" t="s">
        <v>59</v>
      </c>
      <c r="B12" s="2" t="s">
        <v>195</v>
      </c>
      <c r="C12" s="2" t="s">
        <v>196</v>
      </c>
      <c r="D12" s="2" t="s">
        <v>197</v>
      </c>
      <c r="E12" s="3" t="s">
        <v>198</v>
      </c>
      <c r="F12" s="3" t="s">
        <v>59</v>
      </c>
      <c r="G12" s="3" t="s">
        <v>60</v>
      </c>
      <c r="H12" s="3" t="s">
        <v>59</v>
      </c>
      <c r="I12" s="3" t="s">
        <v>59</v>
      </c>
      <c r="J12" s="3" t="s">
        <v>61</v>
      </c>
      <c r="L12" s="2" t="s">
        <v>199</v>
      </c>
      <c r="M12" s="3" t="s">
        <v>172</v>
      </c>
      <c r="O12" s="3" t="s">
        <v>64</v>
      </c>
      <c r="P12" s="3" t="s">
        <v>65</v>
      </c>
      <c r="Q12" s="2" t="s">
        <v>200</v>
      </c>
      <c r="R12" s="3" t="s">
        <v>67</v>
      </c>
      <c r="S12" s="4">
        <v>1</v>
      </c>
      <c r="T12" s="4">
        <v>1</v>
      </c>
      <c r="U12" s="5" t="s">
        <v>201</v>
      </c>
      <c r="V12" s="5" t="s">
        <v>201</v>
      </c>
      <c r="W12" s="5" t="s">
        <v>201</v>
      </c>
      <c r="X12" s="5" t="s">
        <v>201</v>
      </c>
      <c r="Y12" s="4">
        <v>145</v>
      </c>
      <c r="Z12" s="4">
        <v>124</v>
      </c>
      <c r="AA12" s="4">
        <v>125</v>
      </c>
      <c r="AB12" s="4">
        <v>2</v>
      </c>
      <c r="AC12" s="4">
        <v>2</v>
      </c>
      <c r="AD12" s="4">
        <v>5</v>
      </c>
      <c r="AE12" s="4">
        <v>5</v>
      </c>
      <c r="AF12" s="4">
        <v>3</v>
      </c>
      <c r="AG12" s="4">
        <v>3</v>
      </c>
      <c r="AH12" s="4">
        <v>1</v>
      </c>
      <c r="AI12" s="4">
        <v>1</v>
      </c>
      <c r="AJ12" s="4">
        <v>2</v>
      </c>
      <c r="AK12" s="4">
        <v>2</v>
      </c>
      <c r="AL12" s="4">
        <v>1</v>
      </c>
      <c r="AM12" s="4">
        <v>1</v>
      </c>
      <c r="AN12" s="4">
        <v>0</v>
      </c>
      <c r="AO12" s="4">
        <v>0</v>
      </c>
      <c r="AP12" s="3" t="s">
        <v>59</v>
      </c>
      <c r="AQ12" s="3" t="s">
        <v>69</v>
      </c>
      <c r="AR12" s="6" t="str">
        <f>HYPERLINK("http://catalog.hathitrust.org/Record/005899165","HathiTrust Record")</f>
        <v>HathiTrust Record</v>
      </c>
      <c r="AS12" s="6" t="str">
        <f>HYPERLINK("https://creighton-primo.hosted.exlibrisgroup.com/primo-explore/search?tab=default_tab&amp;search_scope=EVERYTHING&amp;vid=01CRU&amp;lang=en_US&amp;offset=0&amp;query=any,contains,991005039829702656","Catalog Record")</f>
        <v>Catalog Record</v>
      </c>
      <c r="AT12" s="6" t="str">
        <f>HYPERLINK("http://www.worldcat.org/oclc/82142126","WorldCat Record")</f>
        <v>WorldCat Record</v>
      </c>
      <c r="AU12" s="3" t="s">
        <v>202</v>
      </c>
      <c r="AV12" s="3" t="s">
        <v>203</v>
      </c>
      <c r="AW12" s="3" t="s">
        <v>204</v>
      </c>
      <c r="AX12" s="3" t="s">
        <v>204</v>
      </c>
      <c r="AY12" s="3" t="s">
        <v>205</v>
      </c>
      <c r="AZ12" s="3" t="s">
        <v>74</v>
      </c>
      <c r="BC12" s="3" t="s">
        <v>206</v>
      </c>
      <c r="BD12" s="3" t="s">
        <v>207</v>
      </c>
    </row>
    <row r="13" spans="1:56" ht="57.75" customHeight="1" x14ac:dyDescent="0.25">
      <c r="A13" s="7" t="s">
        <v>59</v>
      </c>
      <c r="B13" s="2" t="s">
        <v>208</v>
      </c>
      <c r="C13" s="2" t="s">
        <v>209</v>
      </c>
      <c r="D13" s="2" t="s">
        <v>210</v>
      </c>
      <c r="E13" s="3" t="s">
        <v>211</v>
      </c>
      <c r="F13" s="3" t="s">
        <v>59</v>
      </c>
      <c r="G13" s="3" t="s">
        <v>60</v>
      </c>
      <c r="H13" s="3" t="s">
        <v>59</v>
      </c>
      <c r="I13" s="3" t="s">
        <v>59</v>
      </c>
      <c r="J13" s="3" t="s">
        <v>61</v>
      </c>
      <c r="L13" s="2" t="s">
        <v>199</v>
      </c>
      <c r="M13" s="3" t="s">
        <v>172</v>
      </c>
      <c r="O13" s="3" t="s">
        <v>64</v>
      </c>
      <c r="P13" s="3" t="s">
        <v>65</v>
      </c>
      <c r="Q13" s="2" t="s">
        <v>212</v>
      </c>
      <c r="R13" s="3" t="s">
        <v>67</v>
      </c>
      <c r="S13" s="4">
        <v>1</v>
      </c>
      <c r="T13" s="4">
        <v>1</v>
      </c>
      <c r="U13" s="5" t="s">
        <v>201</v>
      </c>
      <c r="V13" s="5" t="s">
        <v>201</v>
      </c>
      <c r="W13" s="5" t="s">
        <v>201</v>
      </c>
      <c r="X13" s="5" t="s">
        <v>201</v>
      </c>
      <c r="Y13" s="4">
        <v>149</v>
      </c>
      <c r="Z13" s="4">
        <v>128</v>
      </c>
      <c r="AA13" s="4">
        <v>129</v>
      </c>
      <c r="AB13" s="4">
        <v>2</v>
      </c>
      <c r="AC13" s="4">
        <v>2</v>
      </c>
      <c r="AD13" s="4">
        <v>4</v>
      </c>
      <c r="AE13" s="4">
        <v>4</v>
      </c>
      <c r="AF13" s="4">
        <v>2</v>
      </c>
      <c r="AG13" s="4">
        <v>2</v>
      </c>
      <c r="AH13" s="4">
        <v>1</v>
      </c>
      <c r="AI13" s="4">
        <v>1</v>
      </c>
      <c r="AJ13" s="4">
        <v>2</v>
      </c>
      <c r="AK13" s="4">
        <v>2</v>
      </c>
      <c r="AL13" s="4">
        <v>1</v>
      </c>
      <c r="AM13" s="4">
        <v>1</v>
      </c>
      <c r="AN13" s="4">
        <v>0</v>
      </c>
      <c r="AO13" s="4">
        <v>0</v>
      </c>
      <c r="AP13" s="3" t="s">
        <v>59</v>
      </c>
      <c r="AQ13" s="3" t="s">
        <v>69</v>
      </c>
      <c r="AR13" s="6" t="str">
        <f>HYPERLINK("http://catalog.hathitrust.org/Record/005899180","HathiTrust Record")</f>
        <v>HathiTrust Record</v>
      </c>
      <c r="AS13" s="6" t="str">
        <f>HYPERLINK("https://creighton-primo.hosted.exlibrisgroup.com/primo-explore/search?tab=default_tab&amp;search_scope=EVERYTHING&amp;vid=01CRU&amp;lang=en_US&amp;offset=0&amp;query=any,contains,991005039859702656","Catalog Record")</f>
        <v>Catalog Record</v>
      </c>
      <c r="AT13" s="6" t="str">
        <f>HYPERLINK("http://www.worldcat.org/oclc/82142099","WorldCat Record")</f>
        <v>WorldCat Record</v>
      </c>
      <c r="AU13" s="3" t="s">
        <v>213</v>
      </c>
      <c r="AV13" s="3" t="s">
        <v>214</v>
      </c>
      <c r="AW13" s="3" t="s">
        <v>215</v>
      </c>
      <c r="AX13" s="3" t="s">
        <v>215</v>
      </c>
      <c r="AY13" s="3" t="s">
        <v>216</v>
      </c>
      <c r="AZ13" s="3" t="s">
        <v>74</v>
      </c>
      <c r="BC13" s="3" t="s">
        <v>217</v>
      </c>
      <c r="BD13" s="3" t="s">
        <v>218</v>
      </c>
    </row>
    <row r="14" spans="1:56" ht="57.75" customHeight="1" x14ac:dyDescent="0.25">
      <c r="A14" s="7" t="s">
        <v>59</v>
      </c>
      <c r="B14" s="2" t="s">
        <v>219</v>
      </c>
      <c r="C14" s="2" t="s">
        <v>220</v>
      </c>
      <c r="D14" s="2" t="s">
        <v>221</v>
      </c>
      <c r="E14" s="3" t="s">
        <v>222</v>
      </c>
      <c r="F14" s="3" t="s">
        <v>59</v>
      </c>
      <c r="G14" s="3" t="s">
        <v>60</v>
      </c>
      <c r="H14" s="3" t="s">
        <v>59</v>
      </c>
      <c r="I14" s="3" t="s">
        <v>59</v>
      </c>
      <c r="J14" s="3" t="s">
        <v>61</v>
      </c>
      <c r="L14" s="2" t="s">
        <v>223</v>
      </c>
      <c r="M14" s="3" t="s">
        <v>224</v>
      </c>
      <c r="O14" s="3" t="s">
        <v>64</v>
      </c>
      <c r="P14" s="3" t="s">
        <v>65</v>
      </c>
      <c r="Q14" s="2" t="s">
        <v>225</v>
      </c>
      <c r="R14" s="3" t="s">
        <v>67</v>
      </c>
      <c r="S14" s="4">
        <v>1</v>
      </c>
      <c r="T14" s="4">
        <v>1</v>
      </c>
      <c r="U14" s="5" t="s">
        <v>226</v>
      </c>
      <c r="V14" s="5" t="s">
        <v>226</v>
      </c>
      <c r="W14" s="5" t="s">
        <v>226</v>
      </c>
      <c r="X14" s="5" t="s">
        <v>226</v>
      </c>
      <c r="Y14" s="4">
        <v>123</v>
      </c>
      <c r="Z14" s="4">
        <v>100</v>
      </c>
      <c r="AA14" s="4">
        <v>101</v>
      </c>
      <c r="AB14" s="4">
        <v>3</v>
      </c>
      <c r="AC14" s="4">
        <v>3</v>
      </c>
      <c r="AD14" s="4">
        <v>5</v>
      </c>
      <c r="AE14" s="4">
        <v>5</v>
      </c>
      <c r="AF14" s="4">
        <v>2</v>
      </c>
      <c r="AG14" s="4">
        <v>2</v>
      </c>
      <c r="AH14" s="4">
        <v>1</v>
      </c>
      <c r="AI14" s="4">
        <v>1</v>
      </c>
      <c r="AJ14" s="4">
        <v>1</v>
      </c>
      <c r="AK14" s="4">
        <v>1</v>
      </c>
      <c r="AL14" s="4">
        <v>2</v>
      </c>
      <c r="AM14" s="4">
        <v>2</v>
      </c>
      <c r="AN14" s="4">
        <v>0</v>
      </c>
      <c r="AO14" s="4">
        <v>0</v>
      </c>
      <c r="AP14" s="3" t="s">
        <v>59</v>
      </c>
      <c r="AQ14" s="3" t="s">
        <v>69</v>
      </c>
      <c r="AR14" s="6" t="str">
        <f>HYPERLINK("http://catalog.hathitrust.org/Record/005899176","HathiTrust Record")</f>
        <v>HathiTrust Record</v>
      </c>
      <c r="AS14" s="6" t="str">
        <f>HYPERLINK("https://creighton-primo.hosted.exlibrisgroup.com/primo-explore/search?tab=default_tab&amp;search_scope=EVERYTHING&amp;vid=01CRU&amp;lang=en_US&amp;offset=0&amp;query=any,contains,991005099439702656","Catalog Record")</f>
        <v>Catalog Record</v>
      </c>
      <c r="AT14" s="6" t="str">
        <f>HYPERLINK("http://www.worldcat.org/oclc/144571429","WorldCat Record")</f>
        <v>WorldCat Record</v>
      </c>
      <c r="AU14" s="3" t="s">
        <v>227</v>
      </c>
      <c r="AV14" s="3" t="s">
        <v>228</v>
      </c>
      <c r="AW14" s="3" t="s">
        <v>229</v>
      </c>
      <c r="AX14" s="3" t="s">
        <v>229</v>
      </c>
      <c r="AY14" s="3" t="s">
        <v>230</v>
      </c>
      <c r="AZ14" s="3" t="s">
        <v>74</v>
      </c>
      <c r="BC14" s="3" t="s">
        <v>231</v>
      </c>
      <c r="BD14" s="3" t="s">
        <v>232</v>
      </c>
    </row>
    <row r="15" spans="1:56" ht="57.75" customHeight="1" x14ac:dyDescent="0.25">
      <c r="A15" s="7" t="s">
        <v>59</v>
      </c>
      <c r="B15" s="2" t="s">
        <v>233</v>
      </c>
      <c r="C15" s="2" t="s">
        <v>234</v>
      </c>
      <c r="D15" s="2" t="s">
        <v>235</v>
      </c>
      <c r="E15" s="3" t="s">
        <v>236</v>
      </c>
      <c r="F15" s="3" t="s">
        <v>59</v>
      </c>
      <c r="G15" s="3" t="s">
        <v>60</v>
      </c>
      <c r="H15" s="3" t="s">
        <v>59</v>
      </c>
      <c r="I15" s="3" t="s">
        <v>59</v>
      </c>
      <c r="J15" s="3" t="s">
        <v>61</v>
      </c>
      <c r="K15" s="2" t="s">
        <v>237</v>
      </c>
      <c r="L15" s="2" t="s">
        <v>238</v>
      </c>
      <c r="M15" s="3" t="s">
        <v>239</v>
      </c>
      <c r="O15" s="3" t="s">
        <v>64</v>
      </c>
      <c r="P15" s="3" t="s">
        <v>65</v>
      </c>
      <c r="Q15" s="2" t="s">
        <v>240</v>
      </c>
      <c r="R15" s="3" t="s">
        <v>67</v>
      </c>
      <c r="S15" s="4">
        <v>5</v>
      </c>
      <c r="T15" s="4">
        <v>5</v>
      </c>
      <c r="U15" s="5" t="s">
        <v>241</v>
      </c>
      <c r="V15" s="5" t="s">
        <v>241</v>
      </c>
      <c r="W15" s="5" t="s">
        <v>242</v>
      </c>
      <c r="X15" s="5" t="s">
        <v>242</v>
      </c>
      <c r="Y15" s="4">
        <v>174</v>
      </c>
      <c r="Z15" s="4">
        <v>140</v>
      </c>
      <c r="AA15" s="4">
        <v>149</v>
      </c>
      <c r="AB15" s="4">
        <v>3</v>
      </c>
      <c r="AC15" s="4">
        <v>3</v>
      </c>
      <c r="AD15" s="4">
        <v>5</v>
      </c>
      <c r="AE15" s="4">
        <v>5</v>
      </c>
      <c r="AF15" s="4">
        <v>3</v>
      </c>
      <c r="AG15" s="4">
        <v>3</v>
      </c>
      <c r="AH15" s="4">
        <v>0</v>
      </c>
      <c r="AI15" s="4">
        <v>0</v>
      </c>
      <c r="AJ15" s="4">
        <v>1</v>
      </c>
      <c r="AK15" s="4">
        <v>1</v>
      </c>
      <c r="AL15" s="4">
        <v>2</v>
      </c>
      <c r="AM15" s="4">
        <v>2</v>
      </c>
      <c r="AN15" s="4">
        <v>0</v>
      </c>
      <c r="AO15" s="4">
        <v>0</v>
      </c>
      <c r="AP15" s="3" t="s">
        <v>59</v>
      </c>
      <c r="AQ15" s="3" t="s">
        <v>59</v>
      </c>
      <c r="AS15" s="6" t="str">
        <f>HYPERLINK("https://creighton-primo.hosted.exlibrisgroup.com/primo-explore/search?tab=default_tab&amp;search_scope=EVERYTHING&amp;vid=01CRU&amp;lang=en_US&amp;offset=0&amp;query=any,contains,991002608319702656","Catalog Record")</f>
        <v>Catalog Record</v>
      </c>
      <c r="AT15" s="6" t="str">
        <f>HYPERLINK("http://www.worldcat.org/oclc/34157563","WorldCat Record")</f>
        <v>WorldCat Record</v>
      </c>
      <c r="AU15" s="3" t="s">
        <v>243</v>
      </c>
      <c r="AV15" s="3" t="s">
        <v>244</v>
      </c>
      <c r="AW15" s="3" t="s">
        <v>245</v>
      </c>
      <c r="AX15" s="3" t="s">
        <v>245</v>
      </c>
      <c r="AY15" s="3" t="s">
        <v>246</v>
      </c>
      <c r="AZ15" s="3" t="s">
        <v>74</v>
      </c>
      <c r="BC15" s="3" t="s">
        <v>247</v>
      </c>
      <c r="BD15" s="3" t="s">
        <v>248</v>
      </c>
    </row>
    <row r="16" spans="1:56" ht="57.75" customHeight="1" x14ac:dyDescent="0.25">
      <c r="A16" s="7" t="s">
        <v>59</v>
      </c>
      <c r="B16" s="2" t="s">
        <v>249</v>
      </c>
      <c r="C16" s="2" t="s">
        <v>250</v>
      </c>
      <c r="D16" s="2" t="s">
        <v>251</v>
      </c>
      <c r="E16" s="3" t="s">
        <v>252</v>
      </c>
      <c r="F16" s="3" t="s">
        <v>59</v>
      </c>
      <c r="G16" s="3" t="s">
        <v>60</v>
      </c>
      <c r="H16" s="3" t="s">
        <v>59</v>
      </c>
      <c r="I16" s="3" t="s">
        <v>59</v>
      </c>
      <c r="J16" s="3" t="s">
        <v>61</v>
      </c>
      <c r="K16" s="2" t="s">
        <v>253</v>
      </c>
      <c r="L16" s="2" t="s">
        <v>254</v>
      </c>
      <c r="M16" s="3" t="s">
        <v>255</v>
      </c>
      <c r="O16" s="3" t="s">
        <v>64</v>
      </c>
      <c r="P16" s="3" t="s">
        <v>65</v>
      </c>
      <c r="Q16" s="2" t="s">
        <v>256</v>
      </c>
      <c r="R16" s="3" t="s">
        <v>67</v>
      </c>
      <c r="S16" s="4">
        <v>1</v>
      </c>
      <c r="T16" s="4">
        <v>1</v>
      </c>
      <c r="U16" s="5" t="s">
        <v>257</v>
      </c>
      <c r="V16" s="5" t="s">
        <v>257</v>
      </c>
      <c r="W16" s="5" t="s">
        <v>258</v>
      </c>
      <c r="X16" s="5" t="s">
        <v>258</v>
      </c>
      <c r="Y16" s="4">
        <v>192</v>
      </c>
      <c r="Z16" s="4">
        <v>150</v>
      </c>
      <c r="AA16" s="4">
        <v>152</v>
      </c>
      <c r="AB16" s="4">
        <v>3</v>
      </c>
      <c r="AC16" s="4">
        <v>3</v>
      </c>
      <c r="AD16" s="4">
        <v>5</v>
      </c>
      <c r="AE16" s="4">
        <v>5</v>
      </c>
      <c r="AF16" s="4">
        <v>3</v>
      </c>
      <c r="AG16" s="4">
        <v>3</v>
      </c>
      <c r="AH16" s="4">
        <v>0</v>
      </c>
      <c r="AI16" s="4">
        <v>0</v>
      </c>
      <c r="AJ16" s="4">
        <v>1</v>
      </c>
      <c r="AK16" s="4">
        <v>1</v>
      </c>
      <c r="AL16" s="4">
        <v>2</v>
      </c>
      <c r="AM16" s="4">
        <v>2</v>
      </c>
      <c r="AN16" s="4">
        <v>0</v>
      </c>
      <c r="AO16" s="4">
        <v>0</v>
      </c>
      <c r="AP16" s="3" t="s">
        <v>59</v>
      </c>
      <c r="AQ16" s="3" t="s">
        <v>69</v>
      </c>
      <c r="AR16" s="6" t="str">
        <f>HYPERLINK("http://catalog.hathitrust.org/Record/003883929","HathiTrust Record")</f>
        <v>HathiTrust Record</v>
      </c>
      <c r="AS16" s="6" t="str">
        <f>HYPERLINK("https://creighton-primo.hosted.exlibrisgroup.com/primo-explore/search?tab=default_tab&amp;search_scope=EVERYTHING&amp;vid=01CRU&amp;lang=en_US&amp;offset=0&amp;query=any,contains,991002958659702656","Catalog Record")</f>
        <v>Catalog Record</v>
      </c>
      <c r="AT16" s="6" t="str">
        <f>HYPERLINK("http://www.worldcat.org/oclc/39525295","WorldCat Record")</f>
        <v>WorldCat Record</v>
      </c>
      <c r="AU16" s="3" t="s">
        <v>259</v>
      </c>
      <c r="AV16" s="3" t="s">
        <v>260</v>
      </c>
      <c r="AW16" s="3" t="s">
        <v>261</v>
      </c>
      <c r="AX16" s="3" t="s">
        <v>261</v>
      </c>
      <c r="AY16" s="3" t="s">
        <v>262</v>
      </c>
      <c r="AZ16" s="3" t="s">
        <v>74</v>
      </c>
      <c r="BC16" s="3" t="s">
        <v>263</v>
      </c>
      <c r="BD16" s="3" t="s">
        <v>264</v>
      </c>
    </row>
    <row r="17" spans="1:56" ht="57.75" customHeight="1" x14ac:dyDescent="0.25">
      <c r="A17" s="7" t="s">
        <v>59</v>
      </c>
      <c r="B17" s="2" t="s">
        <v>265</v>
      </c>
      <c r="C17" s="2" t="s">
        <v>266</v>
      </c>
      <c r="D17" s="2" t="s">
        <v>267</v>
      </c>
      <c r="E17" s="3" t="s">
        <v>268</v>
      </c>
      <c r="F17" s="3" t="s">
        <v>59</v>
      </c>
      <c r="G17" s="3" t="s">
        <v>60</v>
      </c>
      <c r="H17" s="3" t="s">
        <v>59</v>
      </c>
      <c r="I17" s="3" t="s">
        <v>59</v>
      </c>
      <c r="J17" s="3" t="s">
        <v>61</v>
      </c>
      <c r="K17" s="2" t="s">
        <v>269</v>
      </c>
      <c r="L17" s="2" t="s">
        <v>254</v>
      </c>
      <c r="M17" s="3" t="s">
        <v>255</v>
      </c>
      <c r="O17" s="3" t="s">
        <v>64</v>
      </c>
      <c r="P17" s="3" t="s">
        <v>65</v>
      </c>
      <c r="Q17" s="2" t="s">
        <v>270</v>
      </c>
      <c r="R17" s="3" t="s">
        <v>67</v>
      </c>
      <c r="S17" s="4">
        <v>2</v>
      </c>
      <c r="T17" s="4">
        <v>2</v>
      </c>
      <c r="U17" s="5" t="s">
        <v>271</v>
      </c>
      <c r="V17" s="5" t="s">
        <v>271</v>
      </c>
      <c r="W17" s="5" t="s">
        <v>258</v>
      </c>
      <c r="X17" s="5" t="s">
        <v>258</v>
      </c>
      <c r="Y17" s="4">
        <v>195</v>
      </c>
      <c r="Z17" s="4">
        <v>152</v>
      </c>
      <c r="AA17" s="4">
        <v>154</v>
      </c>
      <c r="AB17" s="4">
        <v>3</v>
      </c>
      <c r="AC17" s="4">
        <v>3</v>
      </c>
      <c r="AD17" s="4">
        <v>5</v>
      </c>
      <c r="AE17" s="4">
        <v>5</v>
      </c>
      <c r="AF17" s="4">
        <v>3</v>
      </c>
      <c r="AG17" s="4">
        <v>3</v>
      </c>
      <c r="AH17" s="4">
        <v>0</v>
      </c>
      <c r="AI17" s="4">
        <v>0</v>
      </c>
      <c r="AJ17" s="4">
        <v>1</v>
      </c>
      <c r="AK17" s="4">
        <v>1</v>
      </c>
      <c r="AL17" s="4">
        <v>2</v>
      </c>
      <c r="AM17" s="4">
        <v>2</v>
      </c>
      <c r="AN17" s="4">
        <v>0</v>
      </c>
      <c r="AO17" s="4">
        <v>0</v>
      </c>
      <c r="AP17" s="3" t="s">
        <v>59</v>
      </c>
      <c r="AQ17" s="3" t="s">
        <v>69</v>
      </c>
      <c r="AR17" s="6" t="str">
        <f>HYPERLINK("http://catalog.hathitrust.org/Record/003883928","HathiTrust Record")</f>
        <v>HathiTrust Record</v>
      </c>
      <c r="AS17" s="6" t="str">
        <f>HYPERLINK("https://creighton-primo.hosted.exlibrisgroup.com/primo-explore/search?tab=default_tab&amp;search_scope=EVERYTHING&amp;vid=01CRU&amp;lang=en_US&amp;offset=0&amp;query=any,contains,991002958629702656","Catalog Record")</f>
        <v>Catalog Record</v>
      </c>
      <c r="AT17" s="6" t="str">
        <f>HYPERLINK("http://www.worldcat.org/oclc/39524941","WorldCat Record")</f>
        <v>WorldCat Record</v>
      </c>
      <c r="AU17" s="3" t="s">
        <v>272</v>
      </c>
      <c r="AV17" s="3" t="s">
        <v>273</v>
      </c>
      <c r="AW17" s="3" t="s">
        <v>274</v>
      </c>
      <c r="AX17" s="3" t="s">
        <v>274</v>
      </c>
      <c r="AY17" s="3" t="s">
        <v>275</v>
      </c>
      <c r="AZ17" s="3" t="s">
        <v>74</v>
      </c>
      <c r="BC17" s="3" t="s">
        <v>276</v>
      </c>
      <c r="BD17" s="3" t="s">
        <v>277</v>
      </c>
    </row>
    <row r="18" spans="1:56" ht="57.75" customHeight="1" x14ac:dyDescent="0.25">
      <c r="A18" s="7" t="s">
        <v>59</v>
      </c>
      <c r="B18" s="2" t="s">
        <v>278</v>
      </c>
      <c r="C18" s="2" t="s">
        <v>279</v>
      </c>
      <c r="D18" s="2" t="s">
        <v>280</v>
      </c>
      <c r="E18" s="3" t="s">
        <v>281</v>
      </c>
      <c r="F18" s="3" t="s">
        <v>59</v>
      </c>
      <c r="G18" s="3" t="s">
        <v>60</v>
      </c>
      <c r="H18" s="3" t="s">
        <v>59</v>
      </c>
      <c r="I18" s="3" t="s">
        <v>59</v>
      </c>
      <c r="J18" s="3" t="s">
        <v>61</v>
      </c>
      <c r="K18" s="2" t="s">
        <v>282</v>
      </c>
      <c r="L18" s="2" t="s">
        <v>254</v>
      </c>
      <c r="M18" s="3" t="s">
        <v>255</v>
      </c>
      <c r="O18" s="3" t="s">
        <v>64</v>
      </c>
      <c r="P18" s="3" t="s">
        <v>65</v>
      </c>
      <c r="Q18" s="2" t="s">
        <v>283</v>
      </c>
      <c r="R18" s="3" t="s">
        <v>67</v>
      </c>
      <c r="S18" s="4">
        <v>1</v>
      </c>
      <c r="T18" s="4">
        <v>1</v>
      </c>
      <c r="U18" s="5" t="s">
        <v>284</v>
      </c>
      <c r="V18" s="5" t="s">
        <v>284</v>
      </c>
      <c r="W18" s="5" t="s">
        <v>285</v>
      </c>
      <c r="X18" s="5" t="s">
        <v>285</v>
      </c>
      <c r="Y18" s="4">
        <v>189</v>
      </c>
      <c r="Z18" s="4">
        <v>148</v>
      </c>
      <c r="AA18" s="4">
        <v>150</v>
      </c>
      <c r="AB18" s="4">
        <v>3</v>
      </c>
      <c r="AC18" s="4">
        <v>3</v>
      </c>
      <c r="AD18" s="4">
        <v>5</v>
      </c>
      <c r="AE18" s="4">
        <v>5</v>
      </c>
      <c r="AF18" s="4">
        <v>3</v>
      </c>
      <c r="AG18" s="4">
        <v>3</v>
      </c>
      <c r="AH18" s="4">
        <v>0</v>
      </c>
      <c r="AI18" s="4">
        <v>0</v>
      </c>
      <c r="AJ18" s="4">
        <v>1</v>
      </c>
      <c r="AK18" s="4">
        <v>1</v>
      </c>
      <c r="AL18" s="4">
        <v>2</v>
      </c>
      <c r="AM18" s="4">
        <v>2</v>
      </c>
      <c r="AN18" s="4">
        <v>0</v>
      </c>
      <c r="AO18" s="4">
        <v>0</v>
      </c>
      <c r="AP18" s="3" t="s">
        <v>59</v>
      </c>
      <c r="AQ18" s="3" t="s">
        <v>69</v>
      </c>
      <c r="AR18" s="6" t="str">
        <f>HYPERLINK("http://catalog.hathitrust.org/Record/003883935","HathiTrust Record")</f>
        <v>HathiTrust Record</v>
      </c>
      <c r="AS18" s="6" t="str">
        <f>HYPERLINK("https://creighton-primo.hosted.exlibrisgroup.com/primo-explore/search?tab=default_tab&amp;search_scope=EVERYTHING&amp;vid=01CRU&amp;lang=en_US&amp;offset=0&amp;query=any,contains,991002985509702656","Catalog Record")</f>
        <v>Catalog Record</v>
      </c>
      <c r="AT18" s="6" t="str">
        <f>HYPERLINK("http://www.worldcat.org/oclc/40214259","WorldCat Record")</f>
        <v>WorldCat Record</v>
      </c>
      <c r="AU18" s="3" t="s">
        <v>286</v>
      </c>
      <c r="AV18" s="3" t="s">
        <v>287</v>
      </c>
      <c r="AW18" s="3" t="s">
        <v>288</v>
      </c>
      <c r="AX18" s="3" t="s">
        <v>288</v>
      </c>
      <c r="AY18" s="3" t="s">
        <v>289</v>
      </c>
      <c r="AZ18" s="3" t="s">
        <v>74</v>
      </c>
      <c r="BC18" s="3" t="s">
        <v>290</v>
      </c>
      <c r="BD18" s="3" t="s">
        <v>291</v>
      </c>
    </row>
    <row r="19" spans="1:56" ht="57.75" customHeight="1" x14ac:dyDescent="0.25">
      <c r="A19" s="7" t="s">
        <v>59</v>
      </c>
      <c r="B19" s="2" t="s">
        <v>292</v>
      </c>
      <c r="C19" s="2" t="s">
        <v>293</v>
      </c>
      <c r="D19" s="2" t="s">
        <v>294</v>
      </c>
      <c r="E19" s="3" t="s">
        <v>295</v>
      </c>
      <c r="F19" s="3" t="s">
        <v>59</v>
      </c>
      <c r="G19" s="3" t="s">
        <v>60</v>
      </c>
      <c r="H19" s="3" t="s">
        <v>59</v>
      </c>
      <c r="I19" s="3" t="s">
        <v>59</v>
      </c>
      <c r="J19" s="3" t="s">
        <v>61</v>
      </c>
      <c r="L19" s="2" t="s">
        <v>296</v>
      </c>
      <c r="M19" s="3" t="s">
        <v>297</v>
      </c>
      <c r="O19" s="3" t="s">
        <v>64</v>
      </c>
      <c r="P19" s="3" t="s">
        <v>65</v>
      </c>
      <c r="Q19" s="2" t="s">
        <v>298</v>
      </c>
      <c r="R19" s="3" t="s">
        <v>67</v>
      </c>
      <c r="S19" s="4">
        <v>1</v>
      </c>
      <c r="T19" s="4">
        <v>1</v>
      </c>
      <c r="U19" s="5" t="s">
        <v>299</v>
      </c>
      <c r="V19" s="5" t="s">
        <v>299</v>
      </c>
      <c r="W19" s="5" t="s">
        <v>300</v>
      </c>
      <c r="X19" s="5" t="s">
        <v>300</v>
      </c>
      <c r="Y19" s="4">
        <v>198</v>
      </c>
      <c r="Z19" s="4">
        <v>158</v>
      </c>
      <c r="AA19" s="4">
        <v>161</v>
      </c>
      <c r="AB19" s="4">
        <v>3</v>
      </c>
      <c r="AC19" s="4">
        <v>3</v>
      </c>
      <c r="AD19" s="4">
        <v>5</v>
      </c>
      <c r="AE19" s="4">
        <v>5</v>
      </c>
      <c r="AF19" s="4">
        <v>3</v>
      </c>
      <c r="AG19" s="4">
        <v>3</v>
      </c>
      <c r="AH19" s="4">
        <v>0</v>
      </c>
      <c r="AI19" s="4">
        <v>0</v>
      </c>
      <c r="AJ19" s="4">
        <v>1</v>
      </c>
      <c r="AK19" s="4">
        <v>1</v>
      </c>
      <c r="AL19" s="4">
        <v>2</v>
      </c>
      <c r="AM19" s="4">
        <v>2</v>
      </c>
      <c r="AN19" s="4">
        <v>0</v>
      </c>
      <c r="AO19" s="4">
        <v>0</v>
      </c>
      <c r="AP19" s="3" t="s">
        <v>59</v>
      </c>
      <c r="AQ19" s="3" t="s">
        <v>69</v>
      </c>
      <c r="AR19" s="6" t="str">
        <f>HYPERLINK("http://catalog.hathitrust.org/Record/003559792","HathiTrust Record")</f>
        <v>HathiTrust Record</v>
      </c>
      <c r="AS19" s="6" t="str">
        <f>HYPERLINK("https://creighton-primo.hosted.exlibrisgroup.com/primo-explore/search?tab=default_tab&amp;search_scope=EVERYTHING&amp;vid=01CRU&amp;lang=en_US&amp;offset=0&amp;query=any,contains,991003004999702656","Catalog Record")</f>
        <v>Catalog Record</v>
      </c>
      <c r="AT19" s="6" t="str">
        <f>HYPERLINK("http://www.worldcat.org/oclc/40718919","WorldCat Record")</f>
        <v>WorldCat Record</v>
      </c>
      <c r="AU19" s="3" t="s">
        <v>301</v>
      </c>
      <c r="AV19" s="3" t="s">
        <v>302</v>
      </c>
      <c r="AW19" s="3" t="s">
        <v>303</v>
      </c>
      <c r="AX19" s="3" t="s">
        <v>303</v>
      </c>
      <c r="AY19" s="3" t="s">
        <v>304</v>
      </c>
      <c r="AZ19" s="3" t="s">
        <v>74</v>
      </c>
      <c r="BC19" s="3" t="s">
        <v>305</v>
      </c>
      <c r="BD19" s="3" t="s">
        <v>306</v>
      </c>
    </row>
    <row r="20" spans="1:56" ht="57.75" customHeight="1" x14ac:dyDescent="0.25">
      <c r="A20" s="7" t="s">
        <v>59</v>
      </c>
      <c r="B20" s="2" t="s">
        <v>307</v>
      </c>
      <c r="C20" s="2" t="s">
        <v>308</v>
      </c>
      <c r="D20" s="2" t="s">
        <v>309</v>
      </c>
      <c r="E20" s="3" t="s">
        <v>310</v>
      </c>
      <c r="F20" s="3" t="s">
        <v>59</v>
      </c>
      <c r="G20" s="3" t="s">
        <v>60</v>
      </c>
      <c r="H20" s="3" t="s">
        <v>59</v>
      </c>
      <c r="I20" s="3" t="s">
        <v>59</v>
      </c>
      <c r="J20" s="3" t="s">
        <v>61</v>
      </c>
      <c r="K20" s="2" t="s">
        <v>311</v>
      </c>
      <c r="L20" s="2" t="s">
        <v>312</v>
      </c>
      <c r="M20" s="3" t="s">
        <v>313</v>
      </c>
      <c r="O20" s="3" t="s">
        <v>64</v>
      </c>
      <c r="P20" s="3" t="s">
        <v>65</v>
      </c>
      <c r="Q20" s="2" t="s">
        <v>314</v>
      </c>
      <c r="R20" s="3" t="s">
        <v>67</v>
      </c>
      <c r="S20" s="4">
        <v>3</v>
      </c>
      <c r="T20" s="4">
        <v>3</v>
      </c>
      <c r="U20" s="5" t="s">
        <v>315</v>
      </c>
      <c r="V20" s="5" t="s">
        <v>315</v>
      </c>
      <c r="W20" s="5" t="s">
        <v>316</v>
      </c>
      <c r="X20" s="5" t="s">
        <v>316</v>
      </c>
      <c r="Y20" s="4">
        <v>186</v>
      </c>
      <c r="Z20" s="4">
        <v>146</v>
      </c>
      <c r="AA20" s="4">
        <v>155</v>
      </c>
      <c r="AB20" s="4">
        <v>3</v>
      </c>
      <c r="AC20" s="4">
        <v>3</v>
      </c>
      <c r="AD20" s="4">
        <v>6</v>
      </c>
      <c r="AE20" s="4">
        <v>6</v>
      </c>
      <c r="AF20" s="4">
        <v>4</v>
      </c>
      <c r="AG20" s="4">
        <v>4</v>
      </c>
      <c r="AH20" s="4">
        <v>0</v>
      </c>
      <c r="AI20" s="4">
        <v>0</v>
      </c>
      <c r="AJ20" s="4">
        <v>2</v>
      </c>
      <c r="AK20" s="4">
        <v>2</v>
      </c>
      <c r="AL20" s="4">
        <v>2</v>
      </c>
      <c r="AM20" s="4">
        <v>2</v>
      </c>
      <c r="AN20" s="4">
        <v>0</v>
      </c>
      <c r="AO20" s="4">
        <v>0</v>
      </c>
      <c r="AP20" s="3" t="s">
        <v>59</v>
      </c>
      <c r="AQ20" s="3" t="s">
        <v>69</v>
      </c>
      <c r="AR20" s="6" t="str">
        <f>HYPERLINK("http://catalog.hathitrust.org/Record/003528551","HathiTrust Record")</f>
        <v>HathiTrust Record</v>
      </c>
      <c r="AS20" s="6" t="str">
        <f>HYPERLINK("https://creighton-primo.hosted.exlibrisgroup.com/primo-explore/search?tab=default_tab&amp;search_scope=EVERYTHING&amp;vid=01CRU&amp;lang=en_US&amp;offset=0&amp;query=any,contains,991003498809702656","Catalog Record")</f>
        <v>Catalog Record</v>
      </c>
      <c r="AT20" s="6" t="str">
        <f>HYPERLINK("http://www.worldcat.org/oclc/46315736","WorldCat Record")</f>
        <v>WorldCat Record</v>
      </c>
      <c r="AU20" s="3" t="s">
        <v>317</v>
      </c>
      <c r="AV20" s="3" t="s">
        <v>318</v>
      </c>
      <c r="AW20" s="3" t="s">
        <v>319</v>
      </c>
      <c r="AX20" s="3" t="s">
        <v>319</v>
      </c>
      <c r="AY20" s="3" t="s">
        <v>320</v>
      </c>
      <c r="AZ20" s="3" t="s">
        <v>74</v>
      </c>
      <c r="BC20" s="3" t="s">
        <v>321</v>
      </c>
      <c r="BD20" s="3" t="s">
        <v>322</v>
      </c>
    </row>
    <row r="21" spans="1:56" ht="57.75" customHeight="1" x14ac:dyDescent="0.25">
      <c r="A21" s="7" t="s">
        <v>59</v>
      </c>
      <c r="B21" s="2" t="s">
        <v>323</v>
      </c>
      <c r="C21" s="2" t="s">
        <v>324</v>
      </c>
      <c r="D21" s="2" t="s">
        <v>325</v>
      </c>
      <c r="E21" s="3" t="s">
        <v>326</v>
      </c>
      <c r="F21" s="3" t="s">
        <v>59</v>
      </c>
      <c r="G21" s="3" t="s">
        <v>60</v>
      </c>
      <c r="H21" s="3" t="s">
        <v>59</v>
      </c>
      <c r="I21" s="3" t="s">
        <v>59</v>
      </c>
      <c r="J21" s="3" t="s">
        <v>61</v>
      </c>
      <c r="K21" s="2" t="s">
        <v>327</v>
      </c>
      <c r="L21" s="2" t="s">
        <v>328</v>
      </c>
      <c r="M21" s="3" t="s">
        <v>313</v>
      </c>
      <c r="O21" s="3" t="s">
        <v>64</v>
      </c>
      <c r="P21" s="3" t="s">
        <v>65</v>
      </c>
      <c r="Q21" s="2" t="s">
        <v>329</v>
      </c>
      <c r="R21" s="3" t="s">
        <v>67</v>
      </c>
      <c r="S21" s="4">
        <v>1</v>
      </c>
      <c r="T21" s="4">
        <v>1</v>
      </c>
      <c r="U21" s="5" t="s">
        <v>330</v>
      </c>
      <c r="V21" s="5" t="s">
        <v>330</v>
      </c>
      <c r="W21" s="5" t="s">
        <v>331</v>
      </c>
      <c r="X21" s="5" t="s">
        <v>331</v>
      </c>
      <c r="Y21" s="4">
        <v>194</v>
      </c>
      <c r="Z21" s="4">
        <v>155</v>
      </c>
      <c r="AA21" s="4">
        <v>157</v>
      </c>
      <c r="AB21" s="4">
        <v>3</v>
      </c>
      <c r="AC21" s="4">
        <v>3</v>
      </c>
      <c r="AD21" s="4">
        <v>6</v>
      </c>
      <c r="AE21" s="4">
        <v>6</v>
      </c>
      <c r="AF21" s="4">
        <v>4</v>
      </c>
      <c r="AG21" s="4">
        <v>4</v>
      </c>
      <c r="AH21" s="4">
        <v>0</v>
      </c>
      <c r="AI21" s="4">
        <v>0</v>
      </c>
      <c r="AJ21" s="4">
        <v>2</v>
      </c>
      <c r="AK21" s="4">
        <v>2</v>
      </c>
      <c r="AL21" s="4">
        <v>2</v>
      </c>
      <c r="AM21" s="4">
        <v>2</v>
      </c>
      <c r="AN21" s="4">
        <v>0</v>
      </c>
      <c r="AO21" s="4">
        <v>0</v>
      </c>
      <c r="AP21" s="3" t="s">
        <v>59</v>
      </c>
      <c r="AQ21" s="3" t="s">
        <v>69</v>
      </c>
      <c r="AR21" s="6" t="str">
        <f>HYPERLINK("http://catalog.hathitrust.org/Record/003573914","HathiTrust Record")</f>
        <v>HathiTrust Record</v>
      </c>
      <c r="AS21" s="6" t="str">
        <f>HYPERLINK("https://creighton-primo.hosted.exlibrisgroup.com/primo-explore/search?tab=default_tab&amp;search_scope=EVERYTHING&amp;vid=01CRU&amp;lang=en_US&amp;offset=0&amp;query=any,contains,991003669919702656","Catalog Record")</f>
        <v>Catalog Record</v>
      </c>
      <c r="AT21" s="6" t="str">
        <f>HYPERLINK("http://www.worldcat.org/oclc/48261463","WorldCat Record")</f>
        <v>WorldCat Record</v>
      </c>
      <c r="AU21" s="3" t="s">
        <v>332</v>
      </c>
      <c r="AV21" s="3" t="s">
        <v>333</v>
      </c>
      <c r="AW21" s="3" t="s">
        <v>334</v>
      </c>
      <c r="AX21" s="3" t="s">
        <v>334</v>
      </c>
      <c r="AY21" s="3" t="s">
        <v>335</v>
      </c>
      <c r="AZ21" s="3" t="s">
        <v>74</v>
      </c>
      <c r="BC21" s="3" t="s">
        <v>336</v>
      </c>
      <c r="BD21" s="3" t="s">
        <v>337</v>
      </c>
    </row>
    <row r="22" spans="1:56" ht="57.75" customHeight="1" x14ac:dyDescent="0.25">
      <c r="A22" s="7" t="s">
        <v>59</v>
      </c>
      <c r="B22" s="2" t="s">
        <v>338</v>
      </c>
      <c r="C22" s="2" t="s">
        <v>339</v>
      </c>
      <c r="D22" s="2" t="s">
        <v>340</v>
      </c>
      <c r="E22" s="3" t="s">
        <v>341</v>
      </c>
      <c r="F22" s="3" t="s">
        <v>59</v>
      </c>
      <c r="G22" s="3" t="s">
        <v>60</v>
      </c>
      <c r="H22" s="3" t="s">
        <v>59</v>
      </c>
      <c r="I22" s="3" t="s">
        <v>59</v>
      </c>
      <c r="J22" s="3" t="s">
        <v>61</v>
      </c>
      <c r="K22" s="2" t="s">
        <v>342</v>
      </c>
      <c r="L22" s="2" t="s">
        <v>328</v>
      </c>
      <c r="M22" s="3" t="s">
        <v>313</v>
      </c>
      <c r="O22" s="3" t="s">
        <v>64</v>
      </c>
      <c r="P22" s="3" t="s">
        <v>65</v>
      </c>
      <c r="Q22" s="2" t="s">
        <v>343</v>
      </c>
      <c r="R22" s="3" t="s">
        <v>67</v>
      </c>
      <c r="S22" s="4">
        <v>1</v>
      </c>
      <c r="T22" s="4">
        <v>1</v>
      </c>
      <c r="U22" s="5" t="s">
        <v>330</v>
      </c>
      <c r="V22" s="5" t="s">
        <v>330</v>
      </c>
      <c r="W22" s="5" t="s">
        <v>331</v>
      </c>
      <c r="X22" s="5" t="s">
        <v>331</v>
      </c>
      <c r="Y22" s="4">
        <v>188</v>
      </c>
      <c r="Z22" s="4">
        <v>148</v>
      </c>
      <c r="AA22" s="4">
        <v>150</v>
      </c>
      <c r="AB22" s="4">
        <v>3</v>
      </c>
      <c r="AC22" s="4">
        <v>3</v>
      </c>
      <c r="AD22" s="4">
        <v>6</v>
      </c>
      <c r="AE22" s="4">
        <v>6</v>
      </c>
      <c r="AF22" s="4">
        <v>4</v>
      </c>
      <c r="AG22" s="4">
        <v>4</v>
      </c>
      <c r="AH22" s="4">
        <v>0</v>
      </c>
      <c r="AI22" s="4">
        <v>0</v>
      </c>
      <c r="AJ22" s="4">
        <v>2</v>
      </c>
      <c r="AK22" s="4">
        <v>2</v>
      </c>
      <c r="AL22" s="4">
        <v>2</v>
      </c>
      <c r="AM22" s="4">
        <v>2</v>
      </c>
      <c r="AN22" s="4">
        <v>0</v>
      </c>
      <c r="AO22" s="4">
        <v>0</v>
      </c>
      <c r="AP22" s="3" t="s">
        <v>59</v>
      </c>
      <c r="AQ22" s="3" t="s">
        <v>69</v>
      </c>
      <c r="AR22" s="6" t="str">
        <f>HYPERLINK("http://catalog.hathitrust.org/Record/003573913","HathiTrust Record")</f>
        <v>HathiTrust Record</v>
      </c>
      <c r="AS22" s="6" t="str">
        <f>HYPERLINK("https://creighton-primo.hosted.exlibrisgroup.com/primo-explore/search?tab=default_tab&amp;search_scope=EVERYTHING&amp;vid=01CRU&amp;lang=en_US&amp;offset=0&amp;query=any,contains,991003669969702656","Catalog Record")</f>
        <v>Catalog Record</v>
      </c>
      <c r="AT22" s="6" t="str">
        <f>HYPERLINK("http://www.worldcat.org/oclc/48261215","WorldCat Record")</f>
        <v>WorldCat Record</v>
      </c>
      <c r="AU22" s="3" t="s">
        <v>344</v>
      </c>
      <c r="AV22" s="3" t="s">
        <v>345</v>
      </c>
      <c r="AW22" s="3" t="s">
        <v>346</v>
      </c>
      <c r="AX22" s="3" t="s">
        <v>346</v>
      </c>
      <c r="AY22" s="3" t="s">
        <v>347</v>
      </c>
      <c r="AZ22" s="3" t="s">
        <v>74</v>
      </c>
      <c r="BC22" s="3" t="s">
        <v>348</v>
      </c>
      <c r="BD22" s="3" t="s">
        <v>349</v>
      </c>
    </row>
    <row r="23" spans="1:56" ht="57.75" customHeight="1" x14ac:dyDescent="0.25">
      <c r="A23" s="7" t="s">
        <v>59</v>
      </c>
      <c r="B23" s="2" t="s">
        <v>350</v>
      </c>
      <c r="C23" s="2" t="s">
        <v>351</v>
      </c>
      <c r="D23" s="2" t="s">
        <v>352</v>
      </c>
      <c r="E23" s="3" t="s">
        <v>353</v>
      </c>
      <c r="F23" s="3" t="s">
        <v>59</v>
      </c>
      <c r="G23" s="3" t="s">
        <v>60</v>
      </c>
      <c r="H23" s="3" t="s">
        <v>59</v>
      </c>
      <c r="I23" s="3" t="s">
        <v>59</v>
      </c>
      <c r="J23" s="3" t="s">
        <v>61</v>
      </c>
      <c r="L23" s="2" t="s">
        <v>129</v>
      </c>
      <c r="M23" s="3" t="s">
        <v>130</v>
      </c>
      <c r="O23" s="3" t="s">
        <v>64</v>
      </c>
      <c r="P23" s="3" t="s">
        <v>65</v>
      </c>
      <c r="Q23" s="2" t="s">
        <v>354</v>
      </c>
      <c r="R23" s="3" t="s">
        <v>67</v>
      </c>
      <c r="S23" s="4">
        <v>1</v>
      </c>
      <c r="T23" s="4">
        <v>1</v>
      </c>
      <c r="U23" s="5" t="s">
        <v>355</v>
      </c>
      <c r="V23" s="5" t="s">
        <v>355</v>
      </c>
      <c r="W23" s="5" t="s">
        <v>355</v>
      </c>
      <c r="X23" s="5" t="s">
        <v>355</v>
      </c>
      <c r="Y23" s="4">
        <v>177</v>
      </c>
      <c r="Z23" s="4">
        <v>145</v>
      </c>
      <c r="AA23" s="4">
        <v>148</v>
      </c>
      <c r="AB23" s="4">
        <v>3</v>
      </c>
      <c r="AC23" s="4">
        <v>3</v>
      </c>
      <c r="AD23" s="4">
        <v>6</v>
      </c>
      <c r="AE23" s="4">
        <v>6</v>
      </c>
      <c r="AF23" s="4">
        <v>4</v>
      </c>
      <c r="AG23" s="4">
        <v>4</v>
      </c>
      <c r="AH23" s="4">
        <v>0</v>
      </c>
      <c r="AI23" s="4">
        <v>0</v>
      </c>
      <c r="AJ23" s="4">
        <v>2</v>
      </c>
      <c r="AK23" s="4">
        <v>2</v>
      </c>
      <c r="AL23" s="4">
        <v>2</v>
      </c>
      <c r="AM23" s="4">
        <v>2</v>
      </c>
      <c r="AN23" s="4">
        <v>0</v>
      </c>
      <c r="AO23" s="4">
        <v>0</v>
      </c>
      <c r="AP23" s="3" t="s">
        <v>59</v>
      </c>
      <c r="AQ23" s="3" t="s">
        <v>69</v>
      </c>
      <c r="AR23" s="6" t="str">
        <f>HYPERLINK("http://catalog.hathitrust.org/Record/004734500","HathiTrust Record")</f>
        <v>HathiTrust Record</v>
      </c>
      <c r="AS23" s="6" t="str">
        <f>HYPERLINK("https://creighton-primo.hosted.exlibrisgroup.com/primo-explore/search?tab=default_tab&amp;search_scope=EVERYTHING&amp;vid=01CRU&amp;lang=en_US&amp;offset=0&amp;query=any,contains,991004352009702656","Catalog Record")</f>
        <v>Catalog Record</v>
      </c>
      <c r="AT23" s="6" t="str">
        <f>HYPERLINK("http://www.worldcat.org/oclc/56081725","WorldCat Record")</f>
        <v>WorldCat Record</v>
      </c>
      <c r="AU23" s="3" t="s">
        <v>356</v>
      </c>
      <c r="AV23" s="3" t="s">
        <v>357</v>
      </c>
      <c r="AW23" s="3" t="s">
        <v>358</v>
      </c>
      <c r="AX23" s="3" t="s">
        <v>358</v>
      </c>
      <c r="AY23" s="3" t="s">
        <v>359</v>
      </c>
      <c r="AZ23" s="3" t="s">
        <v>74</v>
      </c>
      <c r="BC23" s="3" t="s">
        <v>360</v>
      </c>
      <c r="BD23" s="3" t="s">
        <v>361</v>
      </c>
    </row>
    <row r="24" spans="1:56" ht="57.75" customHeight="1" x14ac:dyDescent="0.25">
      <c r="A24" s="7" t="s">
        <v>59</v>
      </c>
      <c r="B24" s="2" t="s">
        <v>362</v>
      </c>
      <c r="C24" s="2" t="s">
        <v>363</v>
      </c>
      <c r="D24" s="2" t="s">
        <v>364</v>
      </c>
      <c r="E24" s="3" t="s">
        <v>365</v>
      </c>
      <c r="F24" s="3" t="s">
        <v>59</v>
      </c>
      <c r="G24" s="3" t="s">
        <v>60</v>
      </c>
      <c r="H24" s="3" t="s">
        <v>59</v>
      </c>
      <c r="I24" s="3" t="s">
        <v>59</v>
      </c>
      <c r="J24" s="3" t="s">
        <v>61</v>
      </c>
      <c r="L24" s="2" t="s">
        <v>366</v>
      </c>
      <c r="M24" s="3" t="s">
        <v>172</v>
      </c>
      <c r="O24" s="3" t="s">
        <v>64</v>
      </c>
      <c r="P24" s="3" t="s">
        <v>65</v>
      </c>
      <c r="Q24" s="2" t="s">
        <v>367</v>
      </c>
      <c r="R24" s="3" t="s">
        <v>67</v>
      </c>
      <c r="S24" s="4">
        <v>1</v>
      </c>
      <c r="T24" s="4">
        <v>1</v>
      </c>
      <c r="U24" s="5" t="s">
        <v>368</v>
      </c>
      <c r="V24" s="5" t="s">
        <v>368</v>
      </c>
      <c r="W24" s="5" t="s">
        <v>368</v>
      </c>
      <c r="X24" s="5" t="s">
        <v>368</v>
      </c>
      <c r="Y24" s="4">
        <v>148</v>
      </c>
      <c r="Z24" s="4">
        <v>120</v>
      </c>
      <c r="AA24" s="4">
        <v>122</v>
      </c>
      <c r="AB24" s="4">
        <v>3</v>
      </c>
      <c r="AC24" s="4">
        <v>3</v>
      </c>
      <c r="AD24" s="4">
        <v>6</v>
      </c>
      <c r="AE24" s="4">
        <v>6</v>
      </c>
      <c r="AF24" s="4">
        <v>3</v>
      </c>
      <c r="AG24" s="4">
        <v>3</v>
      </c>
      <c r="AH24" s="4">
        <v>1</v>
      </c>
      <c r="AI24" s="4">
        <v>1</v>
      </c>
      <c r="AJ24" s="4">
        <v>2</v>
      </c>
      <c r="AK24" s="4">
        <v>2</v>
      </c>
      <c r="AL24" s="4">
        <v>2</v>
      </c>
      <c r="AM24" s="4">
        <v>2</v>
      </c>
      <c r="AN24" s="4">
        <v>0</v>
      </c>
      <c r="AO24" s="4">
        <v>0</v>
      </c>
      <c r="AP24" s="3" t="s">
        <v>59</v>
      </c>
      <c r="AQ24" s="3" t="s">
        <v>69</v>
      </c>
      <c r="AR24" s="6" t="str">
        <f>HYPERLINK("http://catalog.hathitrust.org/Record/005899188","HathiTrust Record")</f>
        <v>HathiTrust Record</v>
      </c>
      <c r="AS24" s="6" t="str">
        <f>HYPERLINK("https://creighton-primo.hosted.exlibrisgroup.com/primo-explore/search?tab=default_tab&amp;search_scope=EVERYTHING&amp;vid=01CRU&amp;lang=en_US&amp;offset=0&amp;query=any,contains,991004897279702656","Catalog Record")</f>
        <v>Catalog Record</v>
      </c>
      <c r="AT24" s="6" t="str">
        <f>HYPERLINK("http://www.worldcat.org/oclc/70630681","WorldCat Record")</f>
        <v>WorldCat Record</v>
      </c>
      <c r="AU24" s="3" t="s">
        <v>369</v>
      </c>
      <c r="AV24" s="3" t="s">
        <v>370</v>
      </c>
      <c r="AW24" s="3" t="s">
        <v>371</v>
      </c>
      <c r="AX24" s="3" t="s">
        <v>371</v>
      </c>
      <c r="AY24" s="3" t="s">
        <v>372</v>
      </c>
      <c r="AZ24" s="3" t="s">
        <v>74</v>
      </c>
      <c r="BC24" s="3" t="s">
        <v>373</v>
      </c>
      <c r="BD24" s="3" t="s">
        <v>374</v>
      </c>
    </row>
    <row r="25" spans="1:56" ht="57.75" customHeight="1" x14ac:dyDescent="0.25">
      <c r="A25" s="7" t="s">
        <v>59</v>
      </c>
      <c r="B25" s="2" t="s">
        <v>375</v>
      </c>
      <c r="C25" s="2" t="s">
        <v>376</v>
      </c>
      <c r="D25" s="2" t="s">
        <v>377</v>
      </c>
      <c r="E25" s="3" t="s">
        <v>378</v>
      </c>
      <c r="F25" s="3" t="s">
        <v>59</v>
      </c>
      <c r="G25" s="3" t="s">
        <v>60</v>
      </c>
      <c r="H25" s="3" t="s">
        <v>59</v>
      </c>
      <c r="I25" s="3" t="s">
        <v>59</v>
      </c>
      <c r="J25" s="3" t="s">
        <v>61</v>
      </c>
      <c r="L25" s="2" t="s">
        <v>171</v>
      </c>
      <c r="M25" s="3" t="s">
        <v>172</v>
      </c>
      <c r="O25" s="3" t="s">
        <v>64</v>
      </c>
      <c r="P25" s="3" t="s">
        <v>65</v>
      </c>
      <c r="Q25" s="2" t="s">
        <v>379</v>
      </c>
      <c r="R25" s="3" t="s">
        <v>67</v>
      </c>
      <c r="S25" s="4">
        <v>2</v>
      </c>
      <c r="T25" s="4">
        <v>2</v>
      </c>
      <c r="U25" s="5" t="s">
        <v>271</v>
      </c>
      <c r="V25" s="5" t="s">
        <v>271</v>
      </c>
      <c r="W25" s="5" t="s">
        <v>380</v>
      </c>
      <c r="X25" s="5" t="s">
        <v>380</v>
      </c>
      <c r="Y25" s="4">
        <v>155</v>
      </c>
      <c r="Z25" s="4">
        <v>129</v>
      </c>
      <c r="AA25" s="4">
        <v>131</v>
      </c>
      <c r="AB25" s="4">
        <v>3</v>
      </c>
      <c r="AC25" s="4">
        <v>3</v>
      </c>
      <c r="AD25" s="4">
        <v>7</v>
      </c>
      <c r="AE25" s="4">
        <v>7</v>
      </c>
      <c r="AF25" s="4">
        <v>4</v>
      </c>
      <c r="AG25" s="4">
        <v>4</v>
      </c>
      <c r="AH25" s="4">
        <v>1</v>
      </c>
      <c r="AI25" s="4">
        <v>1</v>
      </c>
      <c r="AJ25" s="4">
        <v>2</v>
      </c>
      <c r="AK25" s="4">
        <v>2</v>
      </c>
      <c r="AL25" s="4">
        <v>2</v>
      </c>
      <c r="AM25" s="4">
        <v>2</v>
      </c>
      <c r="AN25" s="4">
        <v>0</v>
      </c>
      <c r="AO25" s="4">
        <v>0</v>
      </c>
      <c r="AP25" s="3" t="s">
        <v>59</v>
      </c>
      <c r="AQ25" s="3" t="s">
        <v>69</v>
      </c>
      <c r="AR25" s="6" t="str">
        <f>HYPERLINK("http://catalog.hathitrust.org/Record/005899185","HathiTrust Record")</f>
        <v>HathiTrust Record</v>
      </c>
      <c r="AS25" s="6" t="str">
        <f>HYPERLINK("https://creighton-primo.hosted.exlibrisgroup.com/primo-explore/search?tab=default_tab&amp;search_scope=EVERYTHING&amp;vid=01CRU&amp;lang=en_US&amp;offset=0&amp;query=any,contains,991004941989702656","Catalog Record")</f>
        <v>Catalog Record</v>
      </c>
      <c r="AT25" s="6" t="str">
        <f>HYPERLINK("http://www.worldcat.org/oclc/71361123","WorldCat Record")</f>
        <v>WorldCat Record</v>
      </c>
      <c r="AU25" s="3" t="s">
        <v>381</v>
      </c>
      <c r="AV25" s="3" t="s">
        <v>382</v>
      </c>
      <c r="AW25" s="3" t="s">
        <v>383</v>
      </c>
      <c r="AX25" s="3" t="s">
        <v>383</v>
      </c>
      <c r="AY25" s="3" t="s">
        <v>384</v>
      </c>
      <c r="AZ25" s="3" t="s">
        <v>74</v>
      </c>
      <c r="BC25" s="3" t="s">
        <v>385</v>
      </c>
      <c r="BD25" s="3" t="s">
        <v>386</v>
      </c>
    </row>
    <row r="26" spans="1:56" ht="57.75" customHeight="1" x14ac:dyDescent="0.25">
      <c r="A26" s="7" t="s">
        <v>59</v>
      </c>
      <c r="B26" s="2" t="s">
        <v>387</v>
      </c>
      <c r="C26" s="2" t="s">
        <v>388</v>
      </c>
      <c r="D26" s="2" t="s">
        <v>389</v>
      </c>
      <c r="E26" s="3" t="s">
        <v>390</v>
      </c>
      <c r="F26" s="3" t="s">
        <v>59</v>
      </c>
      <c r="G26" s="3" t="s">
        <v>60</v>
      </c>
      <c r="H26" s="3" t="s">
        <v>59</v>
      </c>
      <c r="I26" s="3" t="s">
        <v>59</v>
      </c>
      <c r="J26" s="3" t="s">
        <v>61</v>
      </c>
      <c r="K26" s="2" t="s">
        <v>391</v>
      </c>
      <c r="L26" s="2" t="s">
        <v>171</v>
      </c>
      <c r="M26" s="3" t="s">
        <v>172</v>
      </c>
      <c r="O26" s="3" t="s">
        <v>64</v>
      </c>
      <c r="P26" s="3" t="s">
        <v>65</v>
      </c>
      <c r="Q26" s="2" t="s">
        <v>392</v>
      </c>
      <c r="R26" s="3" t="s">
        <v>67</v>
      </c>
      <c r="S26" s="4">
        <v>2</v>
      </c>
      <c r="T26" s="4">
        <v>2</v>
      </c>
      <c r="U26" s="5" t="s">
        <v>380</v>
      </c>
      <c r="V26" s="5" t="s">
        <v>380</v>
      </c>
      <c r="W26" s="5" t="s">
        <v>380</v>
      </c>
      <c r="X26" s="5" t="s">
        <v>380</v>
      </c>
      <c r="Y26" s="4">
        <v>151</v>
      </c>
      <c r="Z26" s="4">
        <v>127</v>
      </c>
      <c r="AA26" s="4">
        <v>129</v>
      </c>
      <c r="AB26" s="4">
        <v>3</v>
      </c>
      <c r="AC26" s="4">
        <v>3</v>
      </c>
      <c r="AD26" s="4">
        <v>6</v>
      </c>
      <c r="AE26" s="4">
        <v>6</v>
      </c>
      <c r="AF26" s="4">
        <v>3</v>
      </c>
      <c r="AG26" s="4">
        <v>3</v>
      </c>
      <c r="AH26" s="4">
        <v>1</v>
      </c>
      <c r="AI26" s="4">
        <v>1</v>
      </c>
      <c r="AJ26" s="4">
        <v>2</v>
      </c>
      <c r="AK26" s="4">
        <v>2</v>
      </c>
      <c r="AL26" s="4">
        <v>2</v>
      </c>
      <c r="AM26" s="4">
        <v>2</v>
      </c>
      <c r="AN26" s="4">
        <v>0</v>
      </c>
      <c r="AO26" s="4">
        <v>0</v>
      </c>
      <c r="AP26" s="3" t="s">
        <v>59</v>
      </c>
      <c r="AQ26" s="3" t="s">
        <v>69</v>
      </c>
      <c r="AR26" s="6" t="str">
        <f>HYPERLINK("http://catalog.hathitrust.org/Record/005899183","HathiTrust Record")</f>
        <v>HathiTrust Record</v>
      </c>
      <c r="AS26" s="6" t="str">
        <f>HYPERLINK("https://creighton-primo.hosted.exlibrisgroup.com/primo-explore/search?tab=default_tab&amp;search_scope=EVERYTHING&amp;vid=01CRU&amp;lang=en_US&amp;offset=0&amp;query=any,contains,991004942019702656","Catalog Record")</f>
        <v>Catalog Record</v>
      </c>
      <c r="AT26" s="6" t="str">
        <f>HYPERLINK("http://www.worldcat.org/oclc/71361148","WorldCat Record")</f>
        <v>WorldCat Record</v>
      </c>
      <c r="AU26" s="3" t="s">
        <v>393</v>
      </c>
      <c r="AV26" s="3" t="s">
        <v>394</v>
      </c>
      <c r="AW26" s="3" t="s">
        <v>395</v>
      </c>
      <c r="AX26" s="3" t="s">
        <v>395</v>
      </c>
      <c r="AY26" s="3" t="s">
        <v>396</v>
      </c>
      <c r="AZ26" s="3" t="s">
        <v>74</v>
      </c>
      <c r="BC26" s="3" t="s">
        <v>397</v>
      </c>
      <c r="BD26" s="3" t="s">
        <v>398</v>
      </c>
    </row>
    <row r="27" spans="1:56" ht="57.75" customHeight="1" x14ac:dyDescent="0.25">
      <c r="A27" s="7" t="s">
        <v>59</v>
      </c>
      <c r="B27" s="2" t="s">
        <v>399</v>
      </c>
      <c r="C27" s="2" t="s">
        <v>400</v>
      </c>
      <c r="D27" s="2" t="s">
        <v>401</v>
      </c>
      <c r="E27" s="3" t="s">
        <v>402</v>
      </c>
      <c r="F27" s="3" t="s">
        <v>59</v>
      </c>
      <c r="G27" s="3" t="s">
        <v>60</v>
      </c>
      <c r="H27" s="3" t="s">
        <v>59</v>
      </c>
      <c r="I27" s="3" t="s">
        <v>59</v>
      </c>
      <c r="J27" s="3" t="s">
        <v>61</v>
      </c>
      <c r="L27" s="2" t="s">
        <v>403</v>
      </c>
      <c r="M27" s="3" t="s">
        <v>404</v>
      </c>
      <c r="O27" s="3" t="s">
        <v>64</v>
      </c>
      <c r="P27" s="3" t="s">
        <v>405</v>
      </c>
      <c r="Q27" s="2" t="s">
        <v>406</v>
      </c>
      <c r="R27" s="3" t="s">
        <v>67</v>
      </c>
      <c r="S27" s="4">
        <v>1</v>
      </c>
      <c r="T27" s="4">
        <v>1</v>
      </c>
      <c r="U27" s="5" t="s">
        <v>407</v>
      </c>
      <c r="V27" s="5" t="s">
        <v>407</v>
      </c>
      <c r="W27" s="5" t="s">
        <v>408</v>
      </c>
      <c r="X27" s="5" t="s">
        <v>408</v>
      </c>
      <c r="Y27" s="4">
        <v>457</v>
      </c>
      <c r="Z27" s="4">
        <v>349</v>
      </c>
      <c r="AA27" s="4">
        <v>353</v>
      </c>
      <c r="AB27" s="4">
        <v>1</v>
      </c>
      <c r="AC27" s="4">
        <v>1</v>
      </c>
      <c r="AD27" s="4">
        <v>15</v>
      </c>
      <c r="AE27" s="4">
        <v>16</v>
      </c>
      <c r="AF27" s="4">
        <v>6</v>
      </c>
      <c r="AG27" s="4">
        <v>6</v>
      </c>
      <c r="AH27" s="4">
        <v>5</v>
      </c>
      <c r="AI27" s="4">
        <v>6</v>
      </c>
      <c r="AJ27" s="4">
        <v>8</v>
      </c>
      <c r="AK27" s="4">
        <v>9</v>
      </c>
      <c r="AL27" s="4">
        <v>0</v>
      </c>
      <c r="AM27" s="4">
        <v>0</v>
      </c>
      <c r="AN27" s="4">
        <v>0</v>
      </c>
      <c r="AO27" s="4">
        <v>0</v>
      </c>
      <c r="AP27" s="3" t="s">
        <v>59</v>
      </c>
      <c r="AQ27" s="3" t="s">
        <v>69</v>
      </c>
      <c r="AR27" s="6" t="str">
        <f>HYPERLINK("http://catalog.hathitrust.org/Record/001692266","HathiTrust Record")</f>
        <v>HathiTrust Record</v>
      </c>
      <c r="AS27" s="6" t="str">
        <f>HYPERLINK("https://creighton-primo.hosted.exlibrisgroup.com/primo-explore/search?tab=default_tab&amp;search_scope=EVERYTHING&amp;vid=01CRU&amp;lang=en_US&amp;offset=0&amp;query=any,contains,991003089599702656","Catalog Record")</f>
        <v>Catalog Record</v>
      </c>
      <c r="AT27" s="6" t="str">
        <f>HYPERLINK("http://www.worldcat.org/oclc/564510","WorldCat Record")</f>
        <v>WorldCat Record</v>
      </c>
      <c r="AU27" s="3" t="s">
        <v>409</v>
      </c>
      <c r="AV27" s="3" t="s">
        <v>410</v>
      </c>
      <c r="AW27" s="3" t="s">
        <v>411</v>
      </c>
      <c r="AX27" s="3" t="s">
        <v>411</v>
      </c>
      <c r="AY27" s="3" t="s">
        <v>412</v>
      </c>
      <c r="AZ27" s="3" t="s">
        <v>74</v>
      </c>
      <c r="BC27" s="3" t="s">
        <v>413</v>
      </c>
      <c r="BD27" s="3" t="s">
        <v>414</v>
      </c>
    </row>
    <row r="28" spans="1:56" ht="57.75" customHeight="1" x14ac:dyDescent="0.25">
      <c r="A28" s="7" t="s">
        <v>59</v>
      </c>
      <c r="B28" s="2" t="s">
        <v>415</v>
      </c>
      <c r="C28" s="2" t="s">
        <v>416</v>
      </c>
      <c r="D28" s="2" t="s">
        <v>417</v>
      </c>
      <c r="E28" s="3" t="s">
        <v>418</v>
      </c>
      <c r="F28" s="3" t="s">
        <v>59</v>
      </c>
      <c r="G28" s="3" t="s">
        <v>60</v>
      </c>
      <c r="H28" s="3" t="s">
        <v>59</v>
      </c>
      <c r="I28" s="3" t="s">
        <v>59</v>
      </c>
      <c r="J28" s="3" t="s">
        <v>61</v>
      </c>
      <c r="L28" s="2" t="s">
        <v>419</v>
      </c>
      <c r="M28" s="3" t="s">
        <v>420</v>
      </c>
      <c r="O28" s="3" t="s">
        <v>64</v>
      </c>
      <c r="P28" s="3" t="s">
        <v>405</v>
      </c>
      <c r="Q28" s="2" t="s">
        <v>421</v>
      </c>
      <c r="R28" s="3" t="s">
        <v>67</v>
      </c>
      <c r="S28" s="4">
        <v>0</v>
      </c>
      <c r="T28" s="4">
        <v>0</v>
      </c>
      <c r="U28" s="5" t="s">
        <v>422</v>
      </c>
      <c r="V28" s="5" t="s">
        <v>422</v>
      </c>
      <c r="W28" s="5" t="s">
        <v>423</v>
      </c>
      <c r="X28" s="5" t="s">
        <v>423</v>
      </c>
      <c r="Y28" s="4">
        <v>267</v>
      </c>
      <c r="Z28" s="4">
        <v>180</v>
      </c>
      <c r="AA28" s="4">
        <v>240</v>
      </c>
      <c r="AB28" s="4">
        <v>1</v>
      </c>
      <c r="AC28" s="4">
        <v>1</v>
      </c>
      <c r="AD28" s="4">
        <v>6</v>
      </c>
      <c r="AE28" s="4">
        <v>6</v>
      </c>
      <c r="AF28" s="4">
        <v>1</v>
      </c>
      <c r="AG28" s="4">
        <v>1</v>
      </c>
      <c r="AH28" s="4">
        <v>3</v>
      </c>
      <c r="AI28" s="4">
        <v>3</v>
      </c>
      <c r="AJ28" s="4">
        <v>5</v>
      </c>
      <c r="AK28" s="4">
        <v>5</v>
      </c>
      <c r="AL28" s="4">
        <v>0</v>
      </c>
      <c r="AM28" s="4">
        <v>0</v>
      </c>
      <c r="AN28" s="4">
        <v>0</v>
      </c>
      <c r="AO28" s="4">
        <v>0</v>
      </c>
      <c r="AP28" s="3" t="s">
        <v>59</v>
      </c>
      <c r="AQ28" s="3" t="s">
        <v>69</v>
      </c>
      <c r="AR28" s="6" t="str">
        <f>HYPERLINK("http://catalog.hathitrust.org/Record/001692273","HathiTrust Record")</f>
        <v>HathiTrust Record</v>
      </c>
      <c r="AS28" s="6" t="str">
        <f>HYPERLINK("https://creighton-primo.hosted.exlibrisgroup.com/primo-explore/search?tab=default_tab&amp;search_scope=EVERYTHING&amp;vid=01CRU&amp;lang=en_US&amp;offset=0&amp;query=any,contains,991005257279702656","Catalog Record")</f>
        <v>Catalog Record</v>
      </c>
      <c r="AT28" s="6" t="str">
        <f>HYPERLINK("http://www.worldcat.org/oclc/3255688","WorldCat Record")</f>
        <v>WorldCat Record</v>
      </c>
      <c r="AU28" s="3" t="s">
        <v>424</v>
      </c>
      <c r="AV28" s="3" t="s">
        <v>425</v>
      </c>
      <c r="AW28" s="3" t="s">
        <v>426</v>
      </c>
      <c r="AX28" s="3" t="s">
        <v>426</v>
      </c>
      <c r="AY28" s="3" t="s">
        <v>427</v>
      </c>
      <c r="AZ28" s="3" t="s">
        <v>74</v>
      </c>
      <c r="BB28" s="3" t="s">
        <v>428</v>
      </c>
      <c r="BC28" s="3" t="s">
        <v>429</v>
      </c>
      <c r="BD28" s="3" t="s">
        <v>430</v>
      </c>
    </row>
    <row r="29" spans="1:56" ht="57.75" customHeight="1" x14ac:dyDescent="0.25">
      <c r="A29" s="7" t="s">
        <v>59</v>
      </c>
      <c r="B29" s="2" t="s">
        <v>431</v>
      </c>
      <c r="C29" s="2" t="s">
        <v>432</v>
      </c>
      <c r="D29" s="2" t="s">
        <v>433</v>
      </c>
      <c r="E29" s="3" t="s">
        <v>434</v>
      </c>
      <c r="F29" s="3" t="s">
        <v>59</v>
      </c>
      <c r="G29" s="3" t="s">
        <v>60</v>
      </c>
      <c r="H29" s="3" t="s">
        <v>59</v>
      </c>
      <c r="I29" s="3" t="s">
        <v>59</v>
      </c>
      <c r="J29" s="3" t="s">
        <v>61</v>
      </c>
      <c r="L29" s="2" t="s">
        <v>435</v>
      </c>
      <c r="M29" s="3" t="s">
        <v>436</v>
      </c>
      <c r="O29" s="3" t="s">
        <v>64</v>
      </c>
      <c r="P29" s="3" t="s">
        <v>405</v>
      </c>
      <c r="Q29" s="2" t="s">
        <v>437</v>
      </c>
      <c r="R29" s="3" t="s">
        <v>67</v>
      </c>
      <c r="S29" s="4">
        <v>1</v>
      </c>
      <c r="T29" s="4">
        <v>1</v>
      </c>
      <c r="U29" s="5" t="s">
        <v>438</v>
      </c>
      <c r="V29" s="5" t="s">
        <v>438</v>
      </c>
      <c r="W29" s="5" t="s">
        <v>438</v>
      </c>
      <c r="X29" s="5" t="s">
        <v>438</v>
      </c>
      <c r="Y29" s="4">
        <v>298</v>
      </c>
      <c r="Z29" s="4">
        <v>202</v>
      </c>
      <c r="AA29" s="4">
        <v>216</v>
      </c>
      <c r="AB29" s="4">
        <v>1</v>
      </c>
      <c r="AC29" s="4">
        <v>1</v>
      </c>
      <c r="AD29" s="4">
        <v>4</v>
      </c>
      <c r="AE29" s="4">
        <v>5</v>
      </c>
      <c r="AF29" s="4">
        <v>0</v>
      </c>
      <c r="AG29" s="4">
        <v>0</v>
      </c>
      <c r="AH29" s="4">
        <v>3</v>
      </c>
      <c r="AI29" s="4">
        <v>4</v>
      </c>
      <c r="AJ29" s="4">
        <v>2</v>
      </c>
      <c r="AK29" s="4">
        <v>3</v>
      </c>
      <c r="AL29" s="4">
        <v>0</v>
      </c>
      <c r="AM29" s="4">
        <v>0</v>
      </c>
      <c r="AN29" s="4">
        <v>0</v>
      </c>
      <c r="AO29" s="4">
        <v>0</v>
      </c>
      <c r="AP29" s="3" t="s">
        <v>59</v>
      </c>
      <c r="AQ29" s="3" t="s">
        <v>69</v>
      </c>
      <c r="AR29" s="6" t="str">
        <f>HYPERLINK("http://catalog.hathitrust.org/Record/007474847","HathiTrust Record")</f>
        <v>HathiTrust Record</v>
      </c>
      <c r="AS29" s="6" t="str">
        <f>HYPERLINK("https://creighton-primo.hosted.exlibrisgroup.com/primo-explore/search?tab=default_tab&amp;search_scope=EVERYTHING&amp;vid=01CRU&amp;lang=en_US&amp;offset=0&amp;query=any,contains,991004857969702656","Catalog Record")</f>
        <v>Catalog Record</v>
      </c>
      <c r="AT29" s="6" t="str">
        <f>HYPERLINK("http://www.worldcat.org/oclc/5676848","WorldCat Record")</f>
        <v>WorldCat Record</v>
      </c>
      <c r="AU29" s="3" t="s">
        <v>439</v>
      </c>
      <c r="AV29" s="3" t="s">
        <v>440</v>
      </c>
      <c r="AW29" s="3" t="s">
        <v>441</v>
      </c>
      <c r="AX29" s="3" t="s">
        <v>441</v>
      </c>
      <c r="AY29" s="3" t="s">
        <v>442</v>
      </c>
      <c r="AZ29" s="3" t="s">
        <v>74</v>
      </c>
      <c r="BB29" s="3" t="s">
        <v>443</v>
      </c>
      <c r="BC29" s="3" t="s">
        <v>444</v>
      </c>
      <c r="BD29" s="3" t="s">
        <v>445</v>
      </c>
    </row>
    <row r="30" spans="1:56" ht="57.75" customHeight="1" x14ac:dyDescent="0.25">
      <c r="A30" s="7" t="s">
        <v>59</v>
      </c>
      <c r="B30" s="2" t="s">
        <v>446</v>
      </c>
      <c r="C30" s="2" t="s">
        <v>447</v>
      </c>
      <c r="D30" s="2" t="s">
        <v>448</v>
      </c>
      <c r="E30" s="3" t="s">
        <v>449</v>
      </c>
      <c r="F30" s="3" t="s">
        <v>59</v>
      </c>
      <c r="G30" s="3" t="s">
        <v>60</v>
      </c>
      <c r="H30" s="3" t="s">
        <v>59</v>
      </c>
      <c r="I30" s="3" t="s">
        <v>59</v>
      </c>
      <c r="J30" s="3" t="s">
        <v>61</v>
      </c>
      <c r="K30" s="2" t="s">
        <v>450</v>
      </c>
      <c r="L30" s="2" t="s">
        <v>451</v>
      </c>
      <c r="M30" s="3" t="s">
        <v>452</v>
      </c>
      <c r="O30" s="3" t="s">
        <v>64</v>
      </c>
      <c r="P30" s="3" t="s">
        <v>405</v>
      </c>
      <c r="Q30" s="2" t="s">
        <v>453</v>
      </c>
      <c r="R30" s="3" t="s">
        <v>67</v>
      </c>
      <c r="S30" s="4">
        <v>2</v>
      </c>
      <c r="T30" s="4">
        <v>2</v>
      </c>
      <c r="U30" s="5" t="s">
        <v>454</v>
      </c>
      <c r="V30" s="5" t="s">
        <v>454</v>
      </c>
      <c r="W30" s="5" t="s">
        <v>408</v>
      </c>
      <c r="X30" s="5" t="s">
        <v>408</v>
      </c>
      <c r="Y30" s="4">
        <v>417</v>
      </c>
      <c r="Z30" s="4">
        <v>330</v>
      </c>
      <c r="AA30" s="4">
        <v>331</v>
      </c>
      <c r="AB30" s="4">
        <v>3</v>
      </c>
      <c r="AC30" s="4">
        <v>3</v>
      </c>
      <c r="AD30" s="4">
        <v>14</v>
      </c>
      <c r="AE30" s="4">
        <v>14</v>
      </c>
      <c r="AF30" s="4">
        <v>5</v>
      </c>
      <c r="AG30" s="4">
        <v>5</v>
      </c>
      <c r="AH30" s="4">
        <v>3</v>
      </c>
      <c r="AI30" s="4">
        <v>3</v>
      </c>
      <c r="AJ30" s="4">
        <v>8</v>
      </c>
      <c r="AK30" s="4">
        <v>8</v>
      </c>
      <c r="AL30" s="4">
        <v>2</v>
      </c>
      <c r="AM30" s="4">
        <v>2</v>
      </c>
      <c r="AN30" s="4">
        <v>0</v>
      </c>
      <c r="AO30" s="4">
        <v>0</v>
      </c>
      <c r="AP30" s="3" t="s">
        <v>59</v>
      </c>
      <c r="AQ30" s="3" t="s">
        <v>69</v>
      </c>
      <c r="AR30" s="6" t="str">
        <f>HYPERLINK("http://catalog.hathitrust.org/Record/001554245","HathiTrust Record")</f>
        <v>HathiTrust Record</v>
      </c>
      <c r="AS30" s="6" t="str">
        <f>HYPERLINK("https://creighton-primo.hosted.exlibrisgroup.com/primo-explore/search?tab=default_tab&amp;search_scope=EVERYTHING&amp;vid=01CRU&amp;lang=en_US&amp;offset=0&amp;query=any,contains,991003091099702656","Catalog Record")</f>
        <v>Catalog Record</v>
      </c>
      <c r="AT30" s="6" t="str">
        <f>HYPERLINK("http://www.worldcat.org/oclc/711507","WorldCat Record")</f>
        <v>WorldCat Record</v>
      </c>
      <c r="AU30" s="3" t="s">
        <v>455</v>
      </c>
      <c r="AV30" s="3" t="s">
        <v>456</v>
      </c>
      <c r="AW30" s="3" t="s">
        <v>457</v>
      </c>
      <c r="AX30" s="3" t="s">
        <v>457</v>
      </c>
      <c r="AY30" s="3" t="s">
        <v>458</v>
      </c>
      <c r="AZ30" s="3" t="s">
        <v>74</v>
      </c>
      <c r="BC30" s="3" t="s">
        <v>459</v>
      </c>
      <c r="BD30" s="3" t="s">
        <v>460</v>
      </c>
    </row>
    <row r="31" spans="1:56" ht="57.75" customHeight="1" x14ac:dyDescent="0.25">
      <c r="A31" s="7" t="s">
        <v>59</v>
      </c>
      <c r="B31" s="2" t="s">
        <v>461</v>
      </c>
      <c r="C31" s="2" t="s">
        <v>462</v>
      </c>
      <c r="D31" s="2" t="s">
        <v>463</v>
      </c>
      <c r="E31" s="3" t="s">
        <v>464</v>
      </c>
      <c r="F31" s="3" t="s">
        <v>59</v>
      </c>
      <c r="G31" s="3" t="s">
        <v>60</v>
      </c>
      <c r="H31" s="3" t="s">
        <v>59</v>
      </c>
      <c r="I31" s="3" t="s">
        <v>59</v>
      </c>
      <c r="J31" s="3" t="s">
        <v>61</v>
      </c>
      <c r="L31" s="2" t="s">
        <v>465</v>
      </c>
      <c r="M31" s="3" t="s">
        <v>452</v>
      </c>
      <c r="N31" s="2" t="s">
        <v>466</v>
      </c>
      <c r="O31" s="3" t="s">
        <v>64</v>
      </c>
      <c r="P31" s="3" t="s">
        <v>467</v>
      </c>
      <c r="Q31" s="2" t="s">
        <v>468</v>
      </c>
      <c r="R31" s="3" t="s">
        <v>67</v>
      </c>
      <c r="S31" s="4">
        <v>1</v>
      </c>
      <c r="T31" s="4">
        <v>1</v>
      </c>
      <c r="U31" s="5" t="s">
        <v>469</v>
      </c>
      <c r="V31" s="5" t="s">
        <v>469</v>
      </c>
      <c r="W31" s="5" t="s">
        <v>408</v>
      </c>
      <c r="X31" s="5" t="s">
        <v>408</v>
      </c>
      <c r="Y31" s="4">
        <v>503</v>
      </c>
      <c r="Z31" s="4">
        <v>412</v>
      </c>
      <c r="AA31" s="4">
        <v>419</v>
      </c>
      <c r="AB31" s="4">
        <v>3</v>
      </c>
      <c r="AC31" s="4">
        <v>3</v>
      </c>
      <c r="AD31" s="4">
        <v>17</v>
      </c>
      <c r="AE31" s="4">
        <v>17</v>
      </c>
      <c r="AF31" s="4">
        <v>3</v>
      </c>
      <c r="AG31" s="4">
        <v>3</v>
      </c>
      <c r="AH31" s="4">
        <v>3</v>
      </c>
      <c r="AI31" s="4">
        <v>3</v>
      </c>
      <c r="AJ31" s="4">
        <v>11</v>
      </c>
      <c r="AK31" s="4">
        <v>11</v>
      </c>
      <c r="AL31" s="4">
        <v>2</v>
      </c>
      <c r="AM31" s="4">
        <v>2</v>
      </c>
      <c r="AN31" s="4">
        <v>0</v>
      </c>
      <c r="AO31" s="4">
        <v>0</v>
      </c>
      <c r="AP31" s="3" t="s">
        <v>59</v>
      </c>
      <c r="AQ31" s="3" t="s">
        <v>59</v>
      </c>
      <c r="AS31" s="6" t="str">
        <f>HYPERLINK("https://creighton-primo.hosted.exlibrisgroup.com/primo-explore/search?tab=default_tab&amp;search_scope=EVERYTHING&amp;vid=01CRU&amp;lang=en_US&amp;offset=0&amp;query=any,contains,991003087999702656","Catalog Record")</f>
        <v>Catalog Record</v>
      </c>
      <c r="AT31" s="6" t="str">
        <f>HYPERLINK("http://www.worldcat.org/oclc/467124","WorldCat Record")</f>
        <v>WorldCat Record</v>
      </c>
      <c r="AU31" s="3" t="s">
        <v>470</v>
      </c>
      <c r="AV31" s="3" t="s">
        <v>471</v>
      </c>
      <c r="AW31" s="3" t="s">
        <v>472</v>
      </c>
      <c r="AX31" s="3" t="s">
        <v>472</v>
      </c>
      <c r="AY31" s="3" t="s">
        <v>473</v>
      </c>
      <c r="AZ31" s="3" t="s">
        <v>74</v>
      </c>
      <c r="BC31" s="3" t="s">
        <v>474</v>
      </c>
      <c r="BD31" s="3" t="s">
        <v>475</v>
      </c>
    </row>
    <row r="32" spans="1:56" ht="57.75" customHeight="1" x14ac:dyDescent="0.25">
      <c r="A32" s="7" t="s">
        <v>59</v>
      </c>
      <c r="B32" s="2" t="s">
        <v>476</v>
      </c>
      <c r="C32" s="2" t="s">
        <v>477</v>
      </c>
      <c r="D32" s="2" t="s">
        <v>478</v>
      </c>
      <c r="E32" s="3" t="s">
        <v>479</v>
      </c>
      <c r="F32" s="3" t="s">
        <v>59</v>
      </c>
      <c r="G32" s="3" t="s">
        <v>60</v>
      </c>
      <c r="H32" s="3" t="s">
        <v>59</v>
      </c>
      <c r="I32" s="3" t="s">
        <v>59</v>
      </c>
      <c r="J32" s="3" t="s">
        <v>61</v>
      </c>
      <c r="L32" s="2" t="s">
        <v>480</v>
      </c>
      <c r="M32" s="3" t="s">
        <v>481</v>
      </c>
      <c r="O32" s="3" t="s">
        <v>64</v>
      </c>
      <c r="P32" s="3" t="s">
        <v>467</v>
      </c>
      <c r="Q32" s="2" t="s">
        <v>482</v>
      </c>
      <c r="R32" s="3" t="s">
        <v>67</v>
      </c>
      <c r="S32" s="4">
        <v>2</v>
      </c>
      <c r="T32" s="4">
        <v>2</v>
      </c>
      <c r="U32" s="5" t="s">
        <v>483</v>
      </c>
      <c r="V32" s="5" t="s">
        <v>483</v>
      </c>
      <c r="W32" s="5" t="s">
        <v>408</v>
      </c>
      <c r="X32" s="5" t="s">
        <v>408</v>
      </c>
      <c r="Y32" s="4">
        <v>452</v>
      </c>
      <c r="Z32" s="4">
        <v>370</v>
      </c>
      <c r="AA32" s="4">
        <v>376</v>
      </c>
      <c r="AB32" s="4">
        <v>2</v>
      </c>
      <c r="AC32" s="4">
        <v>2</v>
      </c>
      <c r="AD32" s="4">
        <v>14</v>
      </c>
      <c r="AE32" s="4">
        <v>14</v>
      </c>
      <c r="AF32" s="4">
        <v>5</v>
      </c>
      <c r="AG32" s="4">
        <v>5</v>
      </c>
      <c r="AH32" s="4">
        <v>3</v>
      </c>
      <c r="AI32" s="4">
        <v>3</v>
      </c>
      <c r="AJ32" s="4">
        <v>8</v>
      </c>
      <c r="AK32" s="4">
        <v>8</v>
      </c>
      <c r="AL32" s="4">
        <v>1</v>
      </c>
      <c r="AM32" s="4">
        <v>1</v>
      </c>
      <c r="AN32" s="4">
        <v>0</v>
      </c>
      <c r="AO32" s="4">
        <v>0</v>
      </c>
      <c r="AP32" s="3" t="s">
        <v>59</v>
      </c>
      <c r="AQ32" s="3" t="s">
        <v>59</v>
      </c>
      <c r="AS32" s="6" t="str">
        <f>HYPERLINK("https://creighton-primo.hosted.exlibrisgroup.com/primo-explore/search?tab=default_tab&amp;search_scope=EVERYTHING&amp;vid=01CRU&amp;lang=en_US&amp;offset=0&amp;query=any,contains,991003089509702656","Catalog Record")</f>
        <v>Catalog Record</v>
      </c>
      <c r="AT32" s="6" t="str">
        <f>HYPERLINK("http://www.worldcat.org/oclc/557742","WorldCat Record")</f>
        <v>WorldCat Record</v>
      </c>
      <c r="AU32" s="3" t="s">
        <v>484</v>
      </c>
      <c r="AV32" s="3" t="s">
        <v>485</v>
      </c>
      <c r="AW32" s="3" t="s">
        <v>486</v>
      </c>
      <c r="AX32" s="3" t="s">
        <v>486</v>
      </c>
      <c r="AY32" s="3" t="s">
        <v>487</v>
      </c>
      <c r="AZ32" s="3" t="s">
        <v>74</v>
      </c>
      <c r="BC32" s="3" t="s">
        <v>488</v>
      </c>
      <c r="BD32" s="3" t="s">
        <v>489</v>
      </c>
    </row>
    <row r="33" spans="1:56" ht="57.75" customHeight="1" x14ac:dyDescent="0.25">
      <c r="A33" s="7" t="s">
        <v>59</v>
      </c>
      <c r="B33" s="2" t="s">
        <v>490</v>
      </c>
      <c r="C33" s="2" t="s">
        <v>491</v>
      </c>
      <c r="D33" s="2" t="s">
        <v>492</v>
      </c>
      <c r="E33" s="3" t="s">
        <v>493</v>
      </c>
      <c r="F33" s="3" t="s">
        <v>59</v>
      </c>
      <c r="G33" s="3" t="s">
        <v>60</v>
      </c>
      <c r="H33" s="3" t="s">
        <v>59</v>
      </c>
      <c r="I33" s="3" t="s">
        <v>59</v>
      </c>
      <c r="J33" s="3" t="s">
        <v>61</v>
      </c>
      <c r="L33" s="2" t="s">
        <v>494</v>
      </c>
      <c r="M33" s="3" t="s">
        <v>495</v>
      </c>
      <c r="O33" s="3" t="s">
        <v>64</v>
      </c>
      <c r="P33" s="3" t="s">
        <v>405</v>
      </c>
      <c r="Q33" s="2" t="s">
        <v>496</v>
      </c>
      <c r="R33" s="3" t="s">
        <v>67</v>
      </c>
      <c r="S33" s="4">
        <v>2</v>
      </c>
      <c r="T33" s="4">
        <v>2</v>
      </c>
      <c r="U33" s="5" t="s">
        <v>497</v>
      </c>
      <c r="V33" s="5" t="s">
        <v>497</v>
      </c>
      <c r="W33" s="5" t="s">
        <v>498</v>
      </c>
      <c r="X33" s="5" t="s">
        <v>498</v>
      </c>
      <c r="Y33" s="4">
        <v>266</v>
      </c>
      <c r="Z33" s="4">
        <v>171</v>
      </c>
      <c r="AA33" s="4">
        <v>173</v>
      </c>
      <c r="AB33" s="4">
        <v>1</v>
      </c>
      <c r="AC33" s="4">
        <v>1</v>
      </c>
      <c r="AD33" s="4">
        <v>4</v>
      </c>
      <c r="AE33" s="4">
        <v>4</v>
      </c>
      <c r="AF33" s="4">
        <v>0</v>
      </c>
      <c r="AG33" s="4">
        <v>0</v>
      </c>
      <c r="AH33" s="4">
        <v>2</v>
      </c>
      <c r="AI33" s="4">
        <v>2</v>
      </c>
      <c r="AJ33" s="4">
        <v>3</v>
      </c>
      <c r="AK33" s="4">
        <v>3</v>
      </c>
      <c r="AL33" s="4">
        <v>0</v>
      </c>
      <c r="AM33" s="4">
        <v>0</v>
      </c>
      <c r="AN33" s="4">
        <v>0</v>
      </c>
      <c r="AO33" s="4">
        <v>0</v>
      </c>
      <c r="AP33" s="3" t="s">
        <v>59</v>
      </c>
      <c r="AQ33" s="3" t="s">
        <v>69</v>
      </c>
      <c r="AR33" s="6" t="str">
        <f>HYPERLINK("http://catalog.hathitrust.org/Record/000594421","HathiTrust Record")</f>
        <v>HathiTrust Record</v>
      </c>
      <c r="AS33" s="6" t="str">
        <f>HYPERLINK("https://creighton-primo.hosted.exlibrisgroup.com/primo-explore/search?tab=default_tab&amp;search_scope=EVERYTHING&amp;vid=01CRU&amp;lang=en_US&amp;offset=0&amp;query=any,contains,991000873149702656","Catalog Record")</f>
        <v>Catalog Record</v>
      </c>
      <c r="AT33" s="6" t="str">
        <f>HYPERLINK("http://www.worldcat.org/oclc/13794564","WorldCat Record")</f>
        <v>WorldCat Record</v>
      </c>
      <c r="AU33" s="3" t="s">
        <v>499</v>
      </c>
      <c r="AV33" s="3" t="s">
        <v>500</v>
      </c>
      <c r="AW33" s="3" t="s">
        <v>501</v>
      </c>
      <c r="AX33" s="3" t="s">
        <v>501</v>
      </c>
      <c r="AY33" s="3" t="s">
        <v>502</v>
      </c>
      <c r="AZ33" s="3" t="s">
        <v>74</v>
      </c>
      <c r="BB33" s="3" t="s">
        <v>503</v>
      </c>
      <c r="BC33" s="3" t="s">
        <v>504</v>
      </c>
      <c r="BD33" s="3" t="s">
        <v>505</v>
      </c>
    </row>
    <row r="34" spans="1:56" ht="57.75" customHeight="1" x14ac:dyDescent="0.25">
      <c r="A34" s="7" t="s">
        <v>59</v>
      </c>
      <c r="B34" s="2" t="s">
        <v>506</v>
      </c>
      <c r="C34" s="2" t="s">
        <v>507</v>
      </c>
      <c r="D34" s="2" t="s">
        <v>508</v>
      </c>
      <c r="E34" s="3" t="s">
        <v>509</v>
      </c>
      <c r="F34" s="3" t="s">
        <v>59</v>
      </c>
      <c r="G34" s="3" t="s">
        <v>60</v>
      </c>
      <c r="H34" s="3" t="s">
        <v>59</v>
      </c>
      <c r="I34" s="3" t="s">
        <v>59</v>
      </c>
      <c r="J34" s="3" t="s">
        <v>61</v>
      </c>
      <c r="L34" s="2" t="s">
        <v>510</v>
      </c>
      <c r="M34" s="3" t="s">
        <v>511</v>
      </c>
      <c r="O34" s="3" t="s">
        <v>64</v>
      </c>
      <c r="P34" s="3" t="s">
        <v>405</v>
      </c>
      <c r="Q34" s="2" t="s">
        <v>512</v>
      </c>
      <c r="R34" s="3" t="s">
        <v>67</v>
      </c>
      <c r="S34" s="4">
        <v>9</v>
      </c>
      <c r="T34" s="4">
        <v>9</v>
      </c>
      <c r="U34" s="5" t="s">
        <v>513</v>
      </c>
      <c r="V34" s="5" t="s">
        <v>513</v>
      </c>
      <c r="W34" s="5" t="s">
        <v>514</v>
      </c>
      <c r="X34" s="5" t="s">
        <v>514</v>
      </c>
      <c r="Y34" s="4">
        <v>274</v>
      </c>
      <c r="Z34" s="4">
        <v>181</v>
      </c>
      <c r="AA34" s="4">
        <v>182</v>
      </c>
      <c r="AB34" s="4">
        <v>2</v>
      </c>
      <c r="AC34" s="4">
        <v>2</v>
      </c>
      <c r="AD34" s="4">
        <v>6</v>
      </c>
      <c r="AE34" s="4">
        <v>6</v>
      </c>
      <c r="AF34" s="4">
        <v>1</v>
      </c>
      <c r="AG34" s="4">
        <v>1</v>
      </c>
      <c r="AH34" s="4">
        <v>3</v>
      </c>
      <c r="AI34" s="4">
        <v>3</v>
      </c>
      <c r="AJ34" s="4">
        <v>3</v>
      </c>
      <c r="AK34" s="4">
        <v>3</v>
      </c>
      <c r="AL34" s="4">
        <v>1</v>
      </c>
      <c r="AM34" s="4">
        <v>1</v>
      </c>
      <c r="AN34" s="4">
        <v>0</v>
      </c>
      <c r="AO34" s="4">
        <v>0</v>
      </c>
      <c r="AP34" s="3" t="s">
        <v>59</v>
      </c>
      <c r="AQ34" s="3" t="s">
        <v>59</v>
      </c>
      <c r="AS34" s="6" t="str">
        <f>HYPERLINK("https://creighton-primo.hosted.exlibrisgroup.com/primo-explore/search?tab=default_tab&amp;search_scope=EVERYTHING&amp;vid=01CRU&amp;lang=en_US&amp;offset=0&amp;query=any,contains,991002442569702656","Catalog Record")</f>
        <v>Catalog Record</v>
      </c>
      <c r="AT34" s="6" t="str">
        <f>HYPERLINK("http://www.worldcat.org/oclc/31865555","WorldCat Record")</f>
        <v>WorldCat Record</v>
      </c>
      <c r="AU34" s="3" t="s">
        <v>515</v>
      </c>
      <c r="AV34" s="3" t="s">
        <v>516</v>
      </c>
      <c r="AW34" s="3" t="s">
        <v>517</v>
      </c>
      <c r="AX34" s="3" t="s">
        <v>517</v>
      </c>
      <c r="AY34" s="3" t="s">
        <v>518</v>
      </c>
      <c r="AZ34" s="3" t="s">
        <v>74</v>
      </c>
      <c r="BB34" s="3" t="s">
        <v>519</v>
      </c>
      <c r="BC34" s="3" t="s">
        <v>520</v>
      </c>
      <c r="BD34" s="3" t="s">
        <v>521</v>
      </c>
    </row>
    <row r="35" spans="1:56" ht="57.75" customHeight="1" x14ac:dyDescent="0.25">
      <c r="A35" s="7" t="s">
        <v>59</v>
      </c>
      <c r="B35" s="2" t="s">
        <v>522</v>
      </c>
      <c r="C35" s="2" t="s">
        <v>523</v>
      </c>
      <c r="D35" s="2" t="s">
        <v>524</v>
      </c>
      <c r="E35" s="3" t="s">
        <v>525</v>
      </c>
      <c r="F35" s="3" t="s">
        <v>59</v>
      </c>
      <c r="G35" s="3" t="s">
        <v>60</v>
      </c>
      <c r="H35" s="3" t="s">
        <v>59</v>
      </c>
      <c r="I35" s="3" t="s">
        <v>59</v>
      </c>
      <c r="J35" s="3" t="s">
        <v>61</v>
      </c>
      <c r="L35" s="2" t="s">
        <v>526</v>
      </c>
      <c r="M35" s="3" t="s">
        <v>144</v>
      </c>
      <c r="O35" s="3" t="s">
        <v>64</v>
      </c>
      <c r="P35" s="3" t="s">
        <v>65</v>
      </c>
      <c r="Q35" s="2" t="s">
        <v>527</v>
      </c>
      <c r="R35" s="3" t="s">
        <v>67</v>
      </c>
      <c r="S35" s="4">
        <v>2</v>
      </c>
      <c r="T35" s="4">
        <v>2</v>
      </c>
      <c r="U35" s="5" t="s">
        <v>528</v>
      </c>
      <c r="V35" s="5" t="s">
        <v>528</v>
      </c>
      <c r="W35" s="5" t="s">
        <v>528</v>
      </c>
      <c r="X35" s="5" t="s">
        <v>528</v>
      </c>
      <c r="Y35" s="4">
        <v>180</v>
      </c>
      <c r="Z35" s="4">
        <v>145</v>
      </c>
      <c r="AA35" s="4">
        <v>148</v>
      </c>
      <c r="AB35" s="4">
        <v>2</v>
      </c>
      <c r="AC35" s="4">
        <v>2</v>
      </c>
      <c r="AD35" s="4">
        <v>7</v>
      </c>
      <c r="AE35" s="4">
        <v>7</v>
      </c>
      <c r="AF35" s="4">
        <v>5</v>
      </c>
      <c r="AG35" s="4">
        <v>5</v>
      </c>
      <c r="AH35" s="4">
        <v>1</v>
      </c>
      <c r="AI35" s="4">
        <v>1</v>
      </c>
      <c r="AJ35" s="4">
        <v>3</v>
      </c>
      <c r="AK35" s="4">
        <v>3</v>
      </c>
      <c r="AL35" s="4">
        <v>1</v>
      </c>
      <c r="AM35" s="4">
        <v>1</v>
      </c>
      <c r="AN35" s="4">
        <v>0</v>
      </c>
      <c r="AO35" s="4">
        <v>0</v>
      </c>
      <c r="AP35" s="3" t="s">
        <v>59</v>
      </c>
      <c r="AQ35" s="3" t="s">
        <v>69</v>
      </c>
      <c r="AR35" s="6" t="str">
        <f>HYPERLINK("http://catalog.hathitrust.org/Record/005116496","HathiTrust Record")</f>
        <v>HathiTrust Record</v>
      </c>
      <c r="AS35" s="6" t="str">
        <f>HYPERLINK("https://creighton-primo.hosted.exlibrisgroup.com/primo-explore/search?tab=default_tab&amp;search_scope=EVERYTHING&amp;vid=01CRU&amp;lang=en_US&amp;offset=0&amp;query=any,contains,991004558009702656","Catalog Record")</f>
        <v>Catalog Record</v>
      </c>
      <c r="AT35" s="6" t="str">
        <f>HYPERLINK("http://www.worldcat.org/oclc/60037726","WorldCat Record")</f>
        <v>WorldCat Record</v>
      </c>
      <c r="AU35" s="3" t="s">
        <v>529</v>
      </c>
      <c r="AV35" s="3" t="s">
        <v>530</v>
      </c>
      <c r="AW35" s="3" t="s">
        <v>531</v>
      </c>
      <c r="AX35" s="3" t="s">
        <v>531</v>
      </c>
      <c r="AY35" s="3" t="s">
        <v>532</v>
      </c>
      <c r="AZ35" s="3" t="s">
        <v>74</v>
      </c>
      <c r="BC35" s="3" t="s">
        <v>533</v>
      </c>
      <c r="BD35" s="3" t="s">
        <v>534</v>
      </c>
    </row>
    <row r="36" spans="1:56" ht="57.75" customHeight="1" x14ac:dyDescent="0.25">
      <c r="A36" s="7" t="s">
        <v>59</v>
      </c>
      <c r="B36" s="2" t="s">
        <v>535</v>
      </c>
      <c r="C36" s="2" t="s">
        <v>536</v>
      </c>
      <c r="D36" s="2" t="s">
        <v>537</v>
      </c>
      <c r="F36" s="3" t="s">
        <v>59</v>
      </c>
      <c r="G36" s="3" t="s">
        <v>60</v>
      </c>
      <c r="H36" s="3" t="s">
        <v>59</v>
      </c>
      <c r="I36" s="3" t="s">
        <v>59</v>
      </c>
      <c r="J36" s="3" t="s">
        <v>61</v>
      </c>
      <c r="K36" s="2" t="s">
        <v>538</v>
      </c>
      <c r="L36" s="2" t="s">
        <v>539</v>
      </c>
      <c r="M36" s="3" t="s">
        <v>540</v>
      </c>
      <c r="O36" s="3" t="s">
        <v>64</v>
      </c>
      <c r="P36" s="3" t="s">
        <v>541</v>
      </c>
      <c r="R36" s="3" t="s">
        <v>67</v>
      </c>
      <c r="S36" s="4">
        <v>3</v>
      </c>
      <c r="T36" s="4">
        <v>3</v>
      </c>
      <c r="U36" s="5" t="s">
        <v>542</v>
      </c>
      <c r="V36" s="5" t="s">
        <v>542</v>
      </c>
      <c r="W36" s="5" t="s">
        <v>543</v>
      </c>
      <c r="X36" s="5" t="s">
        <v>543</v>
      </c>
      <c r="Y36" s="4">
        <v>487</v>
      </c>
      <c r="Z36" s="4">
        <v>390</v>
      </c>
      <c r="AA36" s="4">
        <v>413</v>
      </c>
      <c r="AB36" s="4">
        <v>4</v>
      </c>
      <c r="AC36" s="4">
        <v>4</v>
      </c>
      <c r="AD36" s="4">
        <v>9</v>
      </c>
      <c r="AE36" s="4">
        <v>10</v>
      </c>
      <c r="AF36" s="4">
        <v>3</v>
      </c>
      <c r="AG36" s="4">
        <v>4</v>
      </c>
      <c r="AH36" s="4">
        <v>3</v>
      </c>
      <c r="AI36" s="4">
        <v>3</v>
      </c>
      <c r="AJ36" s="4">
        <v>3</v>
      </c>
      <c r="AK36" s="4">
        <v>4</v>
      </c>
      <c r="AL36" s="4">
        <v>3</v>
      </c>
      <c r="AM36" s="4">
        <v>3</v>
      </c>
      <c r="AN36" s="4">
        <v>0</v>
      </c>
      <c r="AO36" s="4">
        <v>0</v>
      </c>
      <c r="AP36" s="3" t="s">
        <v>59</v>
      </c>
      <c r="AQ36" s="3" t="s">
        <v>69</v>
      </c>
      <c r="AR36" s="6" t="str">
        <f>HYPERLINK("http://catalog.hathitrust.org/Record/000769596","HathiTrust Record")</f>
        <v>HathiTrust Record</v>
      </c>
      <c r="AS36" s="6" t="str">
        <f>HYPERLINK("https://creighton-primo.hosted.exlibrisgroup.com/primo-explore/search?tab=default_tab&amp;search_scope=EVERYTHING&amp;vid=01CRU&amp;lang=en_US&amp;offset=0&amp;query=any,contains,991005125069702656","Catalog Record")</f>
        <v>Catalog Record</v>
      </c>
      <c r="AT36" s="6" t="str">
        <f>HYPERLINK("http://www.worldcat.org/oclc/7552940","WorldCat Record")</f>
        <v>WorldCat Record</v>
      </c>
      <c r="AU36" s="3" t="s">
        <v>544</v>
      </c>
      <c r="AV36" s="3" t="s">
        <v>545</v>
      </c>
      <c r="AW36" s="3" t="s">
        <v>546</v>
      </c>
      <c r="AX36" s="3" t="s">
        <v>546</v>
      </c>
      <c r="AY36" s="3" t="s">
        <v>547</v>
      </c>
      <c r="AZ36" s="3" t="s">
        <v>74</v>
      </c>
      <c r="BB36" s="3" t="s">
        <v>548</v>
      </c>
      <c r="BC36" s="3" t="s">
        <v>549</v>
      </c>
      <c r="BD36" s="3" t="s">
        <v>550</v>
      </c>
    </row>
    <row r="37" spans="1:56" ht="57.75" customHeight="1" x14ac:dyDescent="0.25">
      <c r="A37" s="7" t="s">
        <v>59</v>
      </c>
      <c r="B37" s="2" t="s">
        <v>551</v>
      </c>
      <c r="C37" s="2" t="s">
        <v>552</v>
      </c>
      <c r="D37" s="2" t="s">
        <v>553</v>
      </c>
      <c r="F37" s="3" t="s">
        <v>59</v>
      </c>
      <c r="G37" s="3" t="s">
        <v>60</v>
      </c>
      <c r="H37" s="3" t="s">
        <v>59</v>
      </c>
      <c r="I37" s="3" t="s">
        <v>59</v>
      </c>
      <c r="J37" s="3" t="s">
        <v>61</v>
      </c>
      <c r="K37" s="2" t="s">
        <v>554</v>
      </c>
      <c r="L37" s="2" t="s">
        <v>555</v>
      </c>
      <c r="M37" s="3" t="s">
        <v>93</v>
      </c>
      <c r="N37" s="2" t="s">
        <v>556</v>
      </c>
      <c r="O37" s="3" t="s">
        <v>64</v>
      </c>
      <c r="P37" s="3" t="s">
        <v>467</v>
      </c>
      <c r="R37" s="3" t="s">
        <v>67</v>
      </c>
      <c r="S37" s="4">
        <v>2</v>
      </c>
      <c r="T37" s="4">
        <v>2</v>
      </c>
      <c r="U37" s="5" t="s">
        <v>557</v>
      </c>
      <c r="V37" s="5" t="s">
        <v>557</v>
      </c>
      <c r="W37" s="5" t="s">
        <v>558</v>
      </c>
      <c r="X37" s="5" t="s">
        <v>558</v>
      </c>
      <c r="Y37" s="4">
        <v>1540</v>
      </c>
      <c r="Z37" s="4">
        <v>1453</v>
      </c>
      <c r="AA37" s="4">
        <v>1554</v>
      </c>
      <c r="AB37" s="4">
        <v>13</v>
      </c>
      <c r="AC37" s="4">
        <v>15</v>
      </c>
      <c r="AD37" s="4">
        <v>38</v>
      </c>
      <c r="AE37" s="4">
        <v>40</v>
      </c>
      <c r="AF37" s="4">
        <v>16</v>
      </c>
      <c r="AG37" s="4">
        <v>16</v>
      </c>
      <c r="AH37" s="4">
        <v>5</v>
      </c>
      <c r="AI37" s="4">
        <v>5</v>
      </c>
      <c r="AJ37" s="4">
        <v>19</v>
      </c>
      <c r="AK37" s="4">
        <v>20</v>
      </c>
      <c r="AL37" s="4">
        <v>7</v>
      </c>
      <c r="AM37" s="4">
        <v>8</v>
      </c>
      <c r="AN37" s="4">
        <v>0</v>
      </c>
      <c r="AO37" s="4">
        <v>0</v>
      </c>
      <c r="AP37" s="3" t="s">
        <v>59</v>
      </c>
      <c r="AQ37" s="3" t="s">
        <v>59</v>
      </c>
      <c r="AS37" s="6" t="str">
        <f>HYPERLINK("https://creighton-primo.hosted.exlibrisgroup.com/primo-explore/search?tab=default_tab&amp;search_scope=EVERYTHING&amp;vid=01CRU&amp;lang=en_US&amp;offset=0&amp;query=any,contains,991004111539702656","Catalog Record")</f>
        <v>Catalog Record</v>
      </c>
      <c r="AT37" s="6" t="str">
        <f>HYPERLINK("http://www.worldcat.org/oclc/52041418","WorldCat Record")</f>
        <v>WorldCat Record</v>
      </c>
      <c r="AU37" s="3" t="s">
        <v>559</v>
      </c>
      <c r="AV37" s="3" t="s">
        <v>560</v>
      </c>
      <c r="AW37" s="3" t="s">
        <v>561</v>
      </c>
      <c r="AX37" s="3" t="s">
        <v>561</v>
      </c>
      <c r="AY37" s="3" t="s">
        <v>562</v>
      </c>
      <c r="AZ37" s="3" t="s">
        <v>74</v>
      </c>
      <c r="BB37" s="3" t="s">
        <v>563</v>
      </c>
      <c r="BC37" s="3" t="s">
        <v>564</v>
      </c>
      <c r="BD37" s="3" t="s">
        <v>565</v>
      </c>
    </row>
    <row r="38" spans="1:56" ht="57.75" customHeight="1" x14ac:dyDescent="0.25">
      <c r="A38" s="7" t="s">
        <v>59</v>
      </c>
      <c r="B38" s="2" t="s">
        <v>566</v>
      </c>
      <c r="C38" s="2" t="s">
        <v>567</v>
      </c>
      <c r="D38" s="2" t="s">
        <v>568</v>
      </c>
      <c r="F38" s="3" t="s">
        <v>59</v>
      </c>
      <c r="G38" s="3" t="s">
        <v>60</v>
      </c>
      <c r="H38" s="3" t="s">
        <v>59</v>
      </c>
      <c r="I38" s="3" t="s">
        <v>59</v>
      </c>
      <c r="J38" s="3" t="s">
        <v>61</v>
      </c>
      <c r="K38" s="2" t="s">
        <v>569</v>
      </c>
      <c r="L38" s="2" t="s">
        <v>570</v>
      </c>
      <c r="M38" s="3" t="s">
        <v>571</v>
      </c>
      <c r="N38" s="2" t="s">
        <v>572</v>
      </c>
      <c r="O38" s="3" t="s">
        <v>64</v>
      </c>
      <c r="P38" s="3" t="s">
        <v>573</v>
      </c>
      <c r="R38" s="3" t="s">
        <v>67</v>
      </c>
      <c r="S38" s="4">
        <v>3</v>
      </c>
      <c r="T38" s="4">
        <v>3</v>
      </c>
      <c r="U38" s="5" t="s">
        <v>574</v>
      </c>
      <c r="V38" s="5" t="s">
        <v>574</v>
      </c>
      <c r="W38" s="5" t="s">
        <v>575</v>
      </c>
      <c r="X38" s="5" t="s">
        <v>575</v>
      </c>
      <c r="Y38" s="4">
        <v>615</v>
      </c>
      <c r="Z38" s="4">
        <v>533</v>
      </c>
      <c r="AA38" s="4">
        <v>580</v>
      </c>
      <c r="AB38" s="4">
        <v>5</v>
      </c>
      <c r="AC38" s="4">
        <v>6</v>
      </c>
      <c r="AD38" s="4">
        <v>18</v>
      </c>
      <c r="AE38" s="4">
        <v>23</v>
      </c>
      <c r="AF38" s="4">
        <v>5</v>
      </c>
      <c r="AG38" s="4">
        <v>6</v>
      </c>
      <c r="AH38" s="4">
        <v>4</v>
      </c>
      <c r="AI38" s="4">
        <v>5</v>
      </c>
      <c r="AJ38" s="4">
        <v>9</v>
      </c>
      <c r="AK38" s="4">
        <v>11</v>
      </c>
      <c r="AL38" s="4">
        <v>4</v>
      </c>
      <c r="AM38" s="4">
        <v>5</v>
      </c>
      <c r="AN38" s="4">
        <v>0</v>
      </c>
      <c r="AO38" s="4">
        <v>0</v>
      </c>
      <c r="AP38" s="3" t="s">
        <v>59</v>
      </c>
      <c r="AQ38" s="3" t="s">
        <v>69</v>
      </c>
      <c r="AR38" s="6" t="str">
        <f>HYPERLINK("http://catalog.hathitrust.org/Record/001496597","HathiTrust Record")</f>
        <v>HathiTrust Record</v>
      </c>
      <c r="AS38" s="6" t="str">
        <f>HYPERLINK("https://creighton-primo.hosted.exlibrisgroup.com/primo-explore/search?tab=default_tab&amp;search_scope=EVERYTHING&amp;vid=01CRU&amp;lang=en_US&amp;offset=0&amp;query=any,contains,991003180059702656","Catalog Record")</f>
        <v>Catalog Record</v>
      </c>
      <c r="AT38" s="6" t="str">
        <f>HYPERLINK("http://www.worldcat.org/oclc/711563","WorldCat Record")</f>
        <v>WorldCat Record</v>
      </c>
      <c r="AU38" s="3" t="s">
        <v>576</v>
      </c>
      <c r="AV38" s="3" t="s">
        <v>577</v>
      </c>
      <c r="AW38" s="3" t="s">
        <v>578</v>
      </c>
      <c r="AX38" s="3" t="s">
        <v>578</v>
      </c>
      <c r="AY38" s="3" t="s">
        <v>579</v>
      </c>
      <c r="AZ38" s="3" t="s">
        <v>74</v>
      </c>
      <c r="BC38" s="3" t="s">
        <v>580</v>
      </c>
      <c r="BD38" s="3" t="s">
        <v>581</v>
      </c>
    </row>
    <row r="39" spans="1:56" ht="57.75" customHeight="1" x14ac:dyDescent="0.25">
      <c r="A39" s="7" t="s">
        <v>59</v>
      </c>
      <c r="B39" s="2" t="s">
        <v>582</v>
      </c>
      <c r="C39" s="2" t="s">
        <v>583</v>
      </c>
      <c r="D39" s="2" t="s">
        <v>584</v>
      </c>
      <c r="F39" s="3" t="s">
        <v>59</v>
      </c>
      <c r="G39" s="3" t="s">
        <v>60</v>
      </c>
      <c r="H39" s="3" t="s">
        <v>59</v>
      </c>
      <c r="I39" s="3" t="s">
        <v>59</v>
      </c>
      <c r="J39" s="3" t="s">
        <v>61</v>
      </c>
      <c r="K39" s="2" t="s">
        <v>585</v>
      </c>
      <c r="L39" s="2" t="s">
        <v>586</v>
      </c>
      <c r="M39" s="3" t="s">
        <v>587</v>
      </c>
      <c r="O39" s="3" t="s">
        <v>64</v>
      </c>
      <c r="P39" s="3" t="s">
        <v>541</v>
      </c>
      <c r="Q39" s="2" t="s">
        <v>588</v>
      </c>
      <c r="R39" s="3" t="s">
        <v>67</v>
      </c>
      <c r="S39" s="4">
        <v>3</v>
      </c>
      <c r="T39" s="4">
        <v>3</v>
      </c>
      <c r="U39" s="5" t="s">
        <v>589</v>
      </c>
      <c r="V39" s="5" t="s">
        <v>589</v>
      </c>
      <c r="W39" s="5" t="s">
        <v>575</v>
      </c>
      <c r="X39" s="5" t="s">
        <v>575</v>
      </c>
      <c r="Y39" s="4">
        <v>532</v>
      </c>
      <c r="Z39" s="4">
        <v>398</v>
      </c>
      <c r="AA39" s="4">
        <v>421</v>
      </c>
      <c r="AB39" s="4">
        <v>3</v>
      </c>
      <c r="AC39" s="4">
        <v>3</v>
      </c>
      <c r="AD39" s="4">
        <v>14</v>
      </c>
      <c r="AE39" s="4">
        <v>15</v>
      </c>
      <c r="AF39" s="4">
        <v>4</v>
      </c>
      <c r="AG39" s="4">
        <v>5</v>
      </c>
      <c r="AH39" s="4">
        <v>4</v>
      </c>
      <c r="AI39" s="4">
        <v>4</v>
      </c>
      <c r="AJ39" s="4">
        <v>7</v>
      </c>
      <c r="AK39" s="4">
        <v>8</v>
      </c>
      <c r="AL39" s="4">
        <v>2</v>
      </c>
      <c r="AM39" s="4">
        <v>2</v>
      </c>
      <c r="AN39" s="4">
        <v>0</v>
      </c>
      <c r="AO39" s="4">
        <v>0</v>
      </c>
      <c r="AP39" s="3" t="s">
        <v>59</v>
      </c>
      <c r="AQ39" s="3" t="s">
        <v>69</v>
      </c>
      <c r="AR39" s="6" t="str">
        <f>HYPERLINK("http://catalog.hathitrust.org/Record/001498963","HathiTrust Record")</f>
        <v>HathiTrust Record</v>
      </c>
      <c r="AS39" s="6" t="str">
        <f>HYPERLINK("https://creighton-primo.hosted.exlibrisgroup.com/primo-explore/search?tab=default_tab&amp;search_scope=EVERYTHING&amp;vid=01CRU&amp;lang=en_US&amp;offset=0&amp;query=any,contains,991003027099702656","Catalog Record")</f>
        <v>Catalog Record</v>
      </c>
      <c r="AT39" s="6" t="str">
        <f>HYPERLINK("http://www.worldcat.org/oclc/590792","WorldCat Record")</f>
        <v>WorldCat Record</v>
      </c>
      <c r="AU39" s="3" t="s">
        <v>590</v>
      </c>
      <c r="AV39" s="3" t="s">
        <v>591</v>
      </c>
      <c r="AW39" s="3" t="s">
        <v>592</v>
      </c>
      <c r="AX39" s="3" t="s">
        <v>592</v>
      </c>
      <c r="AY39" s="3" t="s">
        <v>593</v>
      </c>
      <c r="AZ39" s="3" t="s">
        <v>74</v>
      </c>
      <c r="BB39" s="3" t="s">
        <v>594</v>
      </c>
      <c r="BC39" s="3" t="s">
        <v>595</v>
      </c>
      <c r="BD39" s="3" t="s">
        <v>596</v>
      </c>
    </row>
    <row r="40" spans="1:56" ht="57.75" customHeight="1" x14ac:dyDescent="0.25">
      <c r="A40" s="7" t="s">
        <v>59</v>
      </c>
      <c r="B40" s="2" t="s">
        <v>597</v>
      </c>
      <c r="C40" s="2" t="s">
        <v>598</v>
      </c>
      <c r="D40" s="2" t="s">
        <v>599</v>
      </c>
      <c r="F40" s="3" t="s">
        <v>59</v>
      </c>
      <c r="G40" s="3" t="s">
        <v>60</v>
      </c>
      <c r="H40" s="3" t="s">
        <v>59</v>
      </c>
      <c r="I40" s="3" t="s">
        <v>59</v>
      </c>
      <c r="J40" s="3" t="s">
        <v>61</v>
      </c>
      <c r="K40" s="2" t="s">
        <v>600</v>
      </c>
      <c r="L40" s="2" t="s">
        <v>601</v>
      </c>
      <c r="M40" s="3" t="s">
        <v>144</v>
      </c>
      <c r="O40" s="3" t="s">
        <v>64</v>
      </c>
      <c r="P40" s="3" t="s">
        <v>602</v>
      </c>
      <c r="R40" s="3" t="s">
        <v>67</v>
      </c>
      <c r="S40" s="4">
        <v>5</v>
      </c>
      <c r="T40" s="4">
        <v>5</v>
      </c>
      <c r="U40" s="5" t="s">
        <v>603</v>
      </c>
      <c r="V40" s="5" t="s">
        <v>603</v>
      </c>
      <c r="W40" s="5" t="s">
        <v>604</v>
      </c>
      <c r="X40" s="5" t="s">
        <v>604</v>
      </c>
      <c r="Y40" s="4">
        <v>410</v>
      </c>
      <c r="Z40" s="4">
        <v>347</v>
      </c>
      <c r="AA40" s="4">
        <v>347</v>
      </c>
      <c r="AB40" s="4">
        <v>2</v>
      </c>
      <c r="AC40" s="4">
        <v>2</v>
      </c>
      <c r="AD40" s="4">
        <v>17</v>
      </c>
      <c r="AE40" s="4">
        <v>17</v>
      </c>
      <c r="AF40" s="4">
        <v>7</v>
      </c>
      <c r="AG40" s="4">
        <v>7</v>
      </c>
      <c r="AH40" s="4">
        <v>2</v>
      </c>
      <c r="AI40" s="4">
        <v>2</v>
      </c>
      <c r="AJ40" s="4">
        <v>10</v>
      </c>
      <c r="AK40" s="4">
        <v>10</v>
      </c>
      <c r="AL40" s="4">
        <v>1</v>
      </c>
      <c r="AM40" s="4">
        <v>1</v>
      </c>
      <c r="AN40" s="4">
        <v>0</v>
      </c>
      <c r="AO40" s="4">
        <v>0</v>
      </c>
      <c r="AP40" s="3" t="s">
        <v>59</v>
      </c>
      <c r="AQ40" s="3" t="s">
        <v>59</v>
      </c>
      <c r="AS40" s="6" t="str">
        <f>HYPERLINK("https://creighton-primo.hosted.exlibrisgroup.com/primo-explore/search?tab=default_tab&amp;search_scope=EVERYTHING&amp;vid=01CRU&amp;lang=en_US&amp;offset=0&amp;query=any,contains,991005027349702656","Catalog Record")</f>
        <v>Catalog Record</v>
      </c>
      <c r="AT40" s="6" t="str">
        <f>HYPERLINK("http://www.worldcat.org/oclc/61699492","WorldCat Record")</f>
        <v>WorldCat Record</v>
      </c>
      <c r="AU40" s="3" t="s">
        <v>605</v>
      </c>
      <c r="AV40" s="3" t="s">
        <v>606</v>
      </c>
      <c r="AW40" s="3" t="s">
        <v>607</v>
      </c>
      <c r="AX40" s="3" t="s">
        <v>607</v>
      </c>
      <c r="AY40" s="3" t="s">
        <v>608</v>
      </c>
      <c r="AZ40" s="3" t="s">
        <v>74</v>
      </c>
      <c r="BB40" s="3" t="s">
        <v>609</v>
      </c>
      <c r="BC40" s="3" t="s">
        <v>610</v>
      </c>
      <c r="BD40" s="3" t="s">
        <v>611</v>
      </c>
    </row>
    <row r="41" spans="1:56" ht="57.75" customHeight="1" x14ac:dyDescent="0.25">
      <c r="A41" s="7" t="s">
        <v>59</v>
      </c>
      <c r="B41" s="2" t="s">
        <v>612</v>
      </c>
      <c r="C41" s="2" t="s">
        <v>613</v>
      </c>
      <c r="D41" s="2" t="s">
        <v>614</v>
      </c>
      <c r="F41" s="3" t="s">
        <v>59</v>
      </c>
      <c r="G41" s="3" t="s">
        <v>60</v>
      </c>
      <c r="H41" s="3" t="s">
        <v>59</v>
      </c>
      <c r="I41" s="3" t="s">
        <v>59</v>
      </c>
      <c r="J41" s="3" t="s">
        <v>61</v>
      </c>
      <c r="K41" s="2" t="s">
        <v>615</v>
      </c>
      <c r="L41" s="2" t="s">
        <v>616</v>
      </c>
      <c r="M41" s="3" t="s">
        <v>617</v>
      </c>
      <c r="O41" s="3" t="s">
        <v>64</v>
      </c>
      <c r="P41" s="3" t="s">
        <v>541</v>
      </c>
      <c r="R41" s="3" t="s">
        <v>67</v>
      </c>
      <c r="S41" s="4">
        <v>6</v>
      </c>
      <c r="T41" s="4">
        <v>6</v>
      </c>
      <c r="U41" s="5" t="s">
        <v>589</v>
      </c>
      <c r="V41" s="5" t="s">
        <v>589</v>
      </c>
      <c r="W41" s="5" t="s">
        <v>543</v>
      </c>
      <c r="X41" s="5" t="s">
        <v>543</v>
      </c>
      <c r="Y41" s="4">
        <v>454</v>
      </c>
      <c r="Z41" s="4">
        <v>337</v>
      </c>
      <c r="AA41" s="4">
        <v>365</v>
      </c>
      <c r="AB41" s="4">
        <v>3</v>
      </c>
      <c r="AC41" s="4">
        <v>3</v>
      </c>
      <c r="AD41" s="4">
        <v>9</v>
      </c>
      <c r="AE41" s="4">
        <v>10</v>
      </c>
      <c r="AF41" s="4">
        <v>1</v>
      </c>
      <c r="AG41" s="4">
        <v>2</v>
      </c>
      <c r="AH41" s="4">
        <v>2</v>
      </c>
      <c r="AI41" s="4">
        <v>2</v>
      </c>
      <c r="AJ41" s="4">
        <v>5</v>
      </c>
      <c r="AK41" s="4">
        <v>6</v>
      </c>
      <c r="AL41" s="4">
        <v>2</v>
      </c>
      <c r="AM41" s="4">
        <v>2</v>
      </c>
      <c r="AN41" s="4">
        <v>0</v>
      </c>
      <c r="AO41" s="4">
        <v>0</v>
      </c>
      <c r="AP41" s="3" t="s">
        <v>59</v>
      </c>
      <c r="AQ41" s="3" t="s">
        <v>69</v>
      </c>
      <c r="AR41" s="6" t="str">
        <f>HYPERLINK("http://catalog.hathitrust.org/Record/000734703","HathiTrust Record")</f>
        <v>HathiTrust Record</v>
      </c>
      <c r="AS41" s="6" t="str">
        <f>HYPERLINK("https://creighton-primo.hosted.exlibrisgroup.com/primo-explore/search?tab=default_tab&amp;search_scope=EVERYTHING&amp;vid=01CRU&amp;lang=en_US&amp;offset=0&amp;query=any,contains,991004991699702656","Catalog Record")</f>
        <v>Catalog Record</v>
      </c>
      <c r="AT41" s="6" t="str">
        <f>HYPERLINK("http://www.worldcat.org/oclc/6487503","WorldCat Record")</f>
        <v>WorldCat Record</v>
      </c>
      <c r="AU41" s="3" t="s">
        <v>618</v>
      </c>
      <c r="AV41" s="3" t="s">
        <v>619</v>
      </c>
      <c r="AW41" s="3" t="s">
        <v>620</v>
      </c>
      <c r="AX41" s="3" t="s">
        <v>620</v>
      </c>
      <c r="AY41" s="3" t="s">
        <v>621</v>
      </c>
      <c r="AZ41" s="3" t="s">
        <v>74</v>
      </c>
      <c r="BB41" s="3" t="s">
        <v>622</v>
      </c>
      <c r="BC41" s="3" t="s">
        <v>623</v>
      </c>
      <c r="BD41" s="3" t="s">
        <v>624</v>
      </c>
    </row>
    <row r="42" spans="1:56" ht="57.75" customHeight="1" x14ac:dyDescent="0.25">
      <c r="A42" s="7" t="s">
        <v>59</v>
      </c>
      <c r="B42" s="2" t="s">
        <v>625</v>
      </c>
      <c r="C42" s="2" t="s">
        <v>626</v>
      </c>
      <c r="D42" s="2" t="s">
        <v>627</v>
      </c>
      <c r="F42" s="3" t="s">
        <v>59</v>
      </c>
      <c r="G42" s="3" t="s">
        <v>60</v>
      </c>
      <c r="H42" s="3" t="s">
        <v>59</v>
      </c>
      <c r="I42" s="3" t="s">
        <v>59</v>
      </c>
      <c r="J42" s="3" t="s">
        <v>61</v>
      </c>
      <c r="K42" s="2" t="s">
        <v>628</v>
      </c>
      <c r="L42" s="2" t="s">
        <v>629</v>
      </c>
      <c r="M42" s="3" t="s">
        <v>144</v>
      </c>
      <c r="N42" s="2" t="s">
        <v>556</v>
      </c>
      <c r="O42" s="3" t="s">
        <v>64</v>
      </c>
      <c r="P42" s="3" t="s">
        <v>630</v>
      </c>
      <c r="R42" s="3" t="s">
        <v>67</v>
      </c>
      <c r="S42" s="4">
        <v>1</v>
      </c>
      <c r="T42" s="4">
        <v>1</v>
      </c>
      <c r="U42" s="5" t="s">
        <v>631</v>
      </c>
      <c r="V42" s="5" t="s">
        <v>631</v>
      </c>
      <c r="W42" s="5" t="s">
        <v>631</v>
      </c>
      <c r="X42" s="5" t="s">
        <v>631</v>
      </c>
      <c r="Y42" s="4">
        <v>919</v>
      </c>
      <c r="Z42" s="4">
        <v>806</v>
      </c>
      <c r="AA42" s="4">
        <v>864</v>
      </c>
      <c r="AB42" s="4">
        <v>6</v>
      </c>
      <c r="AC42" s="4">
        <v>7</v>
      </c>
      <c r="AD42" s="4">
        <v>21</v>
      </c>
      <c r="AE42" s="4">
        <v>21</v>
      </c>
      <c r="AF42" s="4">
        <v>7</v>
      </c>
      <c r="AG42" s="4">
        <v>7</v>
      </c>
      <c r="AH42" s="4">
        <v>4</v>
      </c>
      <c r="AI42" s="4">
        <v>4</v>
      </c>
      <c r="AJ42" s="4">
        <v>12</v>
      </c>
      <c r="AK42" s="4">
        <v>12</v>
      </c>
      <c r="AL42" s="4">
        <v>4</v>
      </c>
      <c r="AM42" s="4">
        <v>4</v>
      </c>
      <c r="AN42" s="4">
        <v>0</v>
      </c>
      <c r="AO42" s="4">
        <v>0</v>
      </c>
      <c r="AP42" s="3" t="s">
        <v>59</v>
      </c>
      <c r="AQ42" s="3" t="s">
        <v>59</v>
      </c>
      <c r="AS42" s="6" t="str">
        <f>HYPERLINK("https://creighton-primo.hosted.exlibrisgroup.com/primo-explore/search?tab=default_tab&amp;search_scope=EVERYTHING&amp;vid=01CRU&amp;lang=en_US&amp;offset=0&amp;query=any,contains,991004699389702656","Catalog Record")</f>
        <v>Catalog Record</v>
      </c>
      <c r="AT42" s="6" t="str">
        <f>HYPERLINK("http://www.worldcat.org/oclc/58843020","WorldCat Record")</f>
        <v>WorldCat Record</v>
      </c>
      <c r="AU42" s="3" t="s">
        <v>632</v>
      </c>
      <c r="AV42" s="3" t="s">
        <v>633</v>
      </c>
      <c r="AW42" s="3" t="s">
        <v>634</v>
      </c>
      <c r="AX42" s="3" t="s">
        <v>634</v>
      </c>
      <c r="AY42" s="3" t="s">
        <v>635</v>
      </c>
      <c r="AZ42" s="3" t="s">
        <v>74</v>
      </c>
      <c r="BB42" s="3" t="s">
        <v>636</v>
      </c>
      <c r="BC42" s="3" t="s">
        <v>637</v>
      </c>
      <c r="BD42" s="3" t="s">
        <v>638</v>
      </c>
    </row>
    <row r="43" spans="1:56" ht="57.75" customHeight="1" x14ac:dyDescent="0.25">
      <c r="A43" s="7" t="s">
        <v>59</v>
      </c>
      <c r="B43" s="2" t="s">
        <v>639</v>
      </c>
      <c r="C43" s="2" t="s">
        <v>640</v>
      </c>
      <c r="D43" s="2" t="s">
        <v>641</v>
      </c>
      <c r="F43" s="3" t="s">
        <v>59</v>
      </c>
      <c r="G43" s="3" t="s">
        <v>60</v>
      </c>
      <c r="H43" s="3" t="s">
        <v>59</v>
      </c>
      <c r="I43" s="3" t="s">
        <v>59</v>
      </c>
      <c r="J43" s="3" t="s">
        <v>61</v>
      </c>
      <c r="K43" s="2" t="s">
        <v>642</v>
      </c>
      <c r="L43" s="2" t="s">
        <v>643</v>
      </c>
      <c r="M43" s="3" t="s">
        <v>481</v>
      </c>
      <c r="O43" s="3" t="s">
        <v>64</v>
      </c>
      <c r="P43" s="3" t="s">
        <v>405</v>
      </c>
      <c r="R43" s="3" t="s">
        <v>67</v>
      </c>
      <c r="S43" s="4">
        <v>8</v>
      </c>
      <c r="T43" s="4">
        <v>8</v>
      </c>
      <c r="U43" s="5" t="s">
        <v>644</v>
      </c>
      <c r="V43" s="5" t="s">
        <v>644</v>
      </c>
      <c r="W43" s="5" t="s">
        <v>575</v>
      </c>
      <c r="X43" s="5" t="s">
        <v>575</v>
      </c>
      <c r="Y43" s="4">
        <v>535</v>
      </c>
      <c r="Z43" s="4">
        <v>360</v>
      </c>
      <c r="AA43" s="4">
        <v>399</v>
      </c>
      <c r="AB43" s="4">
        <v>5</v>
      </c>
      <c r="AC43" s="4">
        <v>5</v>
      </c>
      <c r="AD43" s="4">
        <v>19</v>
      </c>
      <c r="AE43" s="4">
        <v>21</v>
      </c>
      <c r="AF43" s="4">
        <v>8</v>
      </c>
      <c r="AG43" s="4">
        <v>9</v>
      </c>
      <c r="AH43" s="4">
        <v>5</v>
      </c>
      <c r="AI43" s="4">
        <v>7</v>
      </c>
      <c r="AJ43" s="4">
        <v>8</v>
      </c>
      <c r="AK43" s="4">
        <v>8</v>
      </c>
      <c r="AL43" s="4">
        <v>4</v>
      </c>
      <c r="AM43" s="4">
        <v>4</v>
      </c>
      <c r="AN43" s="4">
        <v>0</v>
      </c>
      <c r="AO43" s="4">
        <v>0</v>
      </c>
      <c r="AP43" s="3" t="s">
        <v>59</v>
      </c>
      <c r="AQ43" s="3" t="s">
        <v>69</v>
      </c>
      <c r="AR43" s="6" t="str">
        <f>HYPERLINK("http://catalog.hathitrust.org/Record/001490400","HathiTrust Record")</f>
        <v>HathiTrust Record</v>
      </c>
      <c r="AS43" s="6" t="str">
        <f>HYPERLINK("https://creighton-primo.hosted.exlibrisgroup.com/primo-explore/search?tab=default_tab&amp;search_scope=EVERYTHING&amp;vid=01CRU&amp;lang=en_US&amp;offset=0&amp;query=any,contains,991002983859702656","Catalog Record")</f>
        <v>Catalog Record</v>
      </c>
      <c r="AT43" s="6" t="str">
        <f>HYPERLINK("http://www.worldcat.org/oclc/556358","WorldCat Record")</f>
        <v>WorldCat Record</v>
      </c>
      <c r="AU43" s="3" t="s">
        <v>645</v>
      </c>
      <c r="AV43" s="3" t="s">
        <v>646</v>
      </c>
      <c r="AW43" s="3" t="s">
        <v>647</v>
      </c>
      <c r="AX43" s="3" t="s">
        <v>647</v>
      </c>
      <c r="AY43" s="3" t="s">
        <v>648</v>
      </c>
      <c r="AZ43" s="3" t="s">
        <v>74</v>
      </c>
      <c r="BC43" s="3" t="s">
        <v>649</v>
      </c>
      <c r="BD43" s="3" t="s">
        <v>650</v>
      </c>
    </row>
    <row r="44" spans="1:56" ht="57.75" customHeight="1" x14ac:dyDescent="0.25">
      <c r="A44" s="7" t="s">
        <v>59</v>
      </c>
      <c r="B44" s="2" t="s">
        <v>651</v>
      </c>
      <c r="C44" s="2" t="s">
        <v>652</v>
      </c>
      <c r="D44" s="2" t="s">
        <v>653</v>
      </c>
      <c r="F44" s="3" t="s">
        <v>59</v>
      </c>
      <c r="G44" s="3" t="s">
        <v>60</v>
      </c>
      <c r="H44" s="3" t="s">
        <v>59</v>
      </c>
      <c r="I44" s="3" t="s">
        <v>59</v>
      </c>
      <c r="J44" s="3" t="s">
        <v>61</v>
      </c>
      <c r="K44" s="2" t="s">
        <v>654</v>
      </c>
      <c r="L44" s="2" t="s">
        <v>655</v>
      </c>
      <c r="M44" s="3" t="s">
        <v>656</v>
      </c>
      <c r="O44" s="3" t="s">
        <v>64</v>
      </c>
      <c r="P44" s="3" t="s">
        <v>467</v>
      </c>
      <c r="Q44" s="2" t="s">
        <v>657</v>
      </c>
      <c r="R44" s="3" t="s">
        <v>67</v>
      </c>
      <c r="S44" s="4">
        <v>1</v>
      </c>
      <c r="T44" s="4">
        <v>1</v>
      </c>
      <c r="U44" s="5" t="s">
        <v>658</v>
      </c>
      <c r="V44" s="5" t="s">
        <v>658</v>
      </c>
      <c r="W44" s="5" t="s">
        <v>575</v>
      </c>
      <c r="X44" s="5" t="s">
        <v>575</v>
      </c>
      <c r="Y44" s="4">
        <v>303</v>
      </c>
      <c r="Z44" s="4">
        <v>264</v>
      </c>
      <c r="AA44" s="4">
        <v>314</v>
      </c>
      <c r="AB44" s="4">
        <v>2</v>
      </c>
      <c r="AC44" s="4">
        <v>3</v>
      </c>
      <c r="AD44" s="4">
        <v>12</v>
      </c>
      <c r="AE44" s="4">
        <v>14</v>
      </c>
      <c r="AF44" s="4">
        <v>5</v>
      </c>
      <c r="AG44" s="4">
        <v>6</v>
      </c>
      <c r="AH44" s="4">
        <v>3</v>
      </c>
      <c r="AI44" s="4">
        <v>3</v>
      </c>
      <c r="AJ44" s="4">
        <v>6</v>
      </c>
      <c r="AK44" s="4">
        <v>7</v>
      </c>
      <c r="AL44" s="4">
        <v>1</v>
      </c>
      <c r="AM44" s="4">
        <v>2</v>
      </c>
      <c r="AN44" s="4">
        <v>0</v>
      </c>
      <c r="AO44" s="4">
        <v>0</v>
      </c>
      <c r="AP44" s="3" t="s">
        <v>59</v>
      </c>
      <c r="AQ44" s="3" t="s">
        <v>69</v>
      </c>
      <c r="AR44" s="6" t="str">
        <f>HYPERLINK("http://catalog.hathitrust.org/Record/001498971","HathiTrust Record")</f>
        <v>HathiTrust Record</v>
      </c>
      <c r="AS44" s="6" t="str">
        <f>HYPERLINK("https://creighton-primo.hosted.exlibrisgroup.com/primo-explore/search?tab=default_tab&amp;search_scope=EVERYTHING&amp;vid=01CRU&amp;lang=en_US&amp;offset=0&amp;query=any,contains,991003814839702656","Catalog Record")</f>
        <v>Catalog Record</v>
      </c>
      <c r="AT44" s="6" t="str">
        <f>HYPERLINK("http://www.worldcat.org/oclc/1545936","WorldCat Record")</f>
        <v>WorldCat Record</v>
      </c>
      <c r="AU44" s="3" t="s">
        <v>659</v>
      </c>
      <c r="AV44" s="3" t="s">
        <v>660</v>
      </c>
      <c r="AW44" s="3" t="s">
        <v>661</v>
      </c>
      <c r="AX44" s="3" t="s">
        <v>661</v>
      </c>
      <c r="AY44" s="3" t="s">
        <v>662</v>
      </c>
      <c r="AZ44" s="3" t="s">
        <v>74</v>
      </c>
      <c r="BC44" s="3" t="s">
        <v>663</v>
      </c>
      <c r="BD44" s="3" t="s">
        <v>664</v>
      </c>
    </row>
    <row r="45" spans="1:56" ht="57.75" customHeight="1" x14ac:dyDescent="0.25">
      <c r="A45" s="7" t="s">
        <v>59</v>
      </c>
      <c r="B45" s="2" t="s">
        <v>665</v>
      </c>
      <c r="C45" s="2" t="s">
        <v>666</v>
      </c>
      <c r="D45" s="2" t="s">
        <v>667</v>
      </c>
      <c r="F45" s="3" t="s">
        <v>59</v>
      </c>
      <c r="G45" s="3" t="s">
        <v>60</v>
      </c>
      <c r="H45" s="3" t="s">
        <v>59</v>
      </c>
      <c r="I45" s="3" t="s">
        <v>59</v>
      </c>
      <c r="J45" s="3" t="s">
        <v>61</v>
      </c>
      <c r="K45" s="2" t="s">
        <v>668</v>
      </c>
      <c r="L45" s="2" t="s">
        <v>669</v>
      </c>
      <c r="M45" s="3" t="s">
        <v>670</v>
      </c>
      <c r="O45" s="3" t="s">
        <v>64</v>
      </c>
      <c r="P45" s="3" t="s">
        <v>467</v>
      </c>
      <c r="R45" s="3" t="s">
        <v>67</v>
      </c>
      <c r="S45" s="4">
        <v>8</v>
      </c>
      <c r="T45" s="4">
        <v>8</v>
      </c>
      <c r="U45" s="5" t="s">
        <v>671</v>
      </c>
      <c r="V45" s="5" t="s">
        <v>671</v>
      </c>
      <c r="W45" s="5" t="s">
        <v>543</v>
      </c>
      <c r="X45" s="5" t="s">
        <v>543</v>
      </c>
      <c r="Y45" s="4">
        <v>646</v>
      </c>
      <c r="Z45" s="4">
        <v>567</v>
      </c>
      <c r="AA45" s="4">
        <v>573</v>
      </c>
      <c r="AB45" s="4">
        <v>3</v>
      </c>
      <c r="AC45" s="4">
        <v>3</v>
      </c>
      <c r="AD45" s="4">
        <v>17</v>
      </c>
      <c r="AE45" s="4">
        <v>17</v>
      </c>
      <c r="AF45" s="4">
        <v>7</v>
      </c>
      <c r="AG45" s="4">
        <v>7</v>
      </c>
      <c r="AH45" s="4">
        <v>3</v>
      </c>
      <c r="AI45" s="4">
        <v>3</v>
      </c>
      <c r="AJ45" s="4">
        <v>13</v>
      </c>
      <c r="AK45" s="4">
        <v>13</v>
      </c>
      <c r="AL45" s="4">
        <v>2</v>
      </c>
      <c r="AM45" s="4">
        <v>2</v>
      </c>
      <c r="AN45" s="4">
        <v>0</v>
      </c>
      <c r="AO45" s="4">
        <v>0</v>
      </c>
      <c r="AP45" s="3" t="s">
        <v>59</v>
      </c>
      <c r="AQ45" s="3" t="s">
        <v>69</v>
      </c>
      <c r="AR45" s="6" t="str">
        <f>HYPERLINK("http://catalog.hathitrust.org/Record/000201490","HathiTrust Record")</f>
        <v>HathiTrust Record</v>
      </c>
      <c r="AS45" s="6" t="str">
        <f>HYPERLINK("https://creighton-primo.hosted.exlibrisgroup.com/primo-explore/search?tab=default_tab&amp;search_scope=EVERYTHING&amp;vid=01CRU&amp;lang=en_US&amp;offset=0&amp;query=any,contains,991005064839702656","Catalog Record")</f>
        <v>Catalog Record</v>
      </c>
      <c r="AT45" s="6" t="str">
        <f>HYPERLINK("http://www.worldcat.org/oclc/6943580","WorldCat Record")</f>
        <v>WorldCat Record</v>
      </c>
      <c r="AU45" s="3" t="s">
        <v>672</v>
      </c>
      <c r="AV45" s="3" t="s">
        <v>673</v>
      </c>
      <c r="AW45" s="3" t="s">
        <v>674</v>
      </c>
      <c r="AX45" s="3" t="s">
        <v>674</v>
      </c>
      <c r="AY45" s="3" t="s">
        <v>675</v>
      </c>
      <c r="AZ45" s="3" t="s">
        <v>74</v>
      </c>
      <c r="BB45" s="3" t="s">
        <v>676</v>
      </c>
      <c r="BC45" s="3" t="s">
        <v>677</v>
      </c>
      <c r="BD45" s="3" t="s">
        <v>678</v>
      </c>
    </row>
    <row r="46" spans="1:56" ht="57.75" customHeight="1" x14ac:dyDescent="0.25">
      <c r="A46" s="7" t="s">
        <v>59</v>
      </c>
      <c r="B46" s="2" t="s">
        <v>679</v>
      </c>
      <c r="C46" s="2" t="s">
        <v>680</v>
      </c>
      <c r="D46" s="2" t="s">
        <v>681</v>
      </c>
      <c r="F46" s="3" t="s">
        <v>59</v>
      </c>
      <c r="G46" s="3" t="s">
        <v>60</v>
      </c>
      <c r="H46" s="3" t="s">
        <v>59</v>
      </c>
      <c r="I46" s="3" t="s">
        <v>59</v>
      </c>
      <c r="J46" s="3" t="s">
        <v>61</v>
      </c>
      <c r="K46" s="2" t="s">
        <v>682</v>
      </c>
      <c r="L46" s="2" t="s">
        <v>683</v>
      </c>
      <c r="M46" s="3" t="s">
        <v>684</v>
      </c>
      <c r="N46" s="2" t="s">
        <v>556</v>
      </c>
      <c r="O46" s="3" t="s">
        <v>64</v>
      </c>
      <c r="P46" s="3" t="s">
        <v>467</v>
      </c>
      <c r="R46" s="3" t="s">
        <v>67</v>
      </c>
      <c r="S46" s="4">
        <v>4</v>
      </c>
      <c r="T46" s="4">
        <v>4</v>
      </c>
      <c r="U46" s="5" t="s">
        <v>685</v>
      </c>
      <c r="V46" s="5" t="s">
        <v>685</v>
      </c>
      <c r="W46" s="5" t="s">
        <v>685</v>
      </c>
      <c r="X46" s="5" t="s">
        <v>685</v>
      </c>
      <c r="Y46" s="4">
        <v>807</v>
      </c>
      <c r="Z46" s="4">
        <v>785</v>
      </c>
      <c r="AA46" s="4">
        <v>818</v>
      </c>
      <c r="AB46" s="4">
        <v>4</v>
      </c>
      <c r="AC46" s="4">
        <v>4</v>
      </c>
      <c r="AD46" s="4">
        <v>3</v>
      </c>
      <c r="AE46" s="4">
        <v>3</v>
      </c>
      <c r="AF46" s="4">
        <v>2</v>
      </c>
      <c r="AG46" s="4">
        <v>2</v>
      </c>
      <c r="AH46" s="4">
        <v>0</v>
      </c>
      <c r="AI46" s="4">
        <v>0</v>
      </c>
      <c r="AJ46" s="4">
        <v>1</v>
      </c>
      <c r="AK46" s="4">
        <v>1</v>
      </c>
      <c r="AL46" s="4">
        <v>0</v>
      </c>
      <c r="AM46" s="4">
        <v>0</v>
      </c>
      <c r="AN46" s="4">
        <v>0</v>
      </c>
      <c r="AO46" s="4">
        <v>0</v>
      </c>
      <c r="AP46" s="3" t="s">
        <v>59</v>
      </c>
      <c r="AQ46" s="3" t="s">
        <v>59</v>
      </c>
      <c r="AS46" s="6" t="str">
        <f>HYPERLINK("https://creighton-primo.hosted.exlibrisgroup.com/primo-explore/search?tab=default_tab&amp;search_scope=EVERYTHING&amp;vid=01CRU&amp;lang=en_US&amp;offset=0&amp;query=any,contains,991003703259702656","Catalog Record")</f>
        <v>Catalog Record</v>
      </c>
      <c r="AT46" s="6" t="str">
        <f>HYPERLINK("http://www.worldcat.org/oclc/42771519","WorldCat Record")</f>
        <v>WorldCat Record</v>
      </c>
      <c r="AU46" s="3" t="s">
        <v>686</v>
      </c>
      <c r="AV46" s="3" t="s">
        <v>687</v>
      </c>
      <c r="AW46" s="3" t="s">
        <v>688</v>
      </c>
      <c r="AX46" s="3" t="s">
        <v>688</v>
      </c>
      <c r="AY46" s="3" t="s">
        <v>689</v>
      </c>
      <c r="AZ46" s="3" t="s">
        <v>74</v>
      </c>
      <c r="BB46" s="3" t="s">
        <v>690</v>
      </c>
      <c r="BC46" s="3" t="s">
        <v>691</v>
      </c>
      <c r="BD46" s="3" t="s">
        <v>692</v>
      </c>
    </row>
    <row r="47" spans="1:56" ht="57.75" customHeight="1" x14ac:dyDescent="0.25">
      <c r="A47" s="7" t="s">
        <v>59</v>
      </c>
      <c r="B47" s="2" t="s">
        <v>693</v>
      </c>
      <c r="C47" s="2" t="s">
        <v>694</v>
      </c>
      <c r="D47" s="2" t="s">
        <v>695</v>
      </c>
      <c r="F47" s="3" t="s">
        <v>59</v>
      </c>
      <c r="G47" s="3" t="s">
        <v>60</v>
      </c>
      <c r="H47" s="3" t="s">
        <v>59</v>
      </c>
      <c r="I47" s="3" t="s">
        <v>59</v>
      </c>
      <c r="J47" s="3" t="s">
        <v>61</v>
      </c>
      <c r="K47" s="2" t="s">
        <v>696</v>
      </c>
      <c r="L47" s="2" t="s">
        <v>697</v>
      </c>
      <c r="M47" s="3" t="s">
        <v>698</v>
      </c>
      <c r="O47" s="3" t="s">
        <v>64</v>
      </c>
      <c r="P47" s="3" t="s">
        <v>467</v>
      </c>
      <c r="Q47" s="2" t="s">
        <v>699</v>
      </c>
      <c r="R47" s="3" t="s">
        <v>67</v>
      </c>
      <c r="S47" s="4">
        <v>2</v>
      </c>
      <c r="T47" s="4">
        <v>2</v>
      </c>
      <c r="U47" s="5" t="s">
        <v>700</v>
      </c>
      <c r="V47" s="5" t="s">
        <v>700</v>
      </c>
      <c r="W47" s="5" t="s">
        <v>575</v>
      </c>
      <c r="X47" s="5" t="s">
        <v>575</v>
      </c>
      <c r="Y47" s="4">
        <v>41</v>
      </c>
      <c r="Z47" s="4">
        <v>40</v>
      </c>
      <c r="AA47" s="4">
        <v>274</v>
      </c>
      <c r="AB47" s="4">
        <v>1</v>
      </c>
      <c r="AC47" s="4">
        <v>2</v>
      </c>
      <c r="AD47" s="4">
        <v>0</v>
      </c>
      <c r="AE47" s="4">
        <v>2</v>
      </c>
      <c r="AF47" s="4">
        <v>0</v>
      </c>
      <c r="AG47" s="4">
        <v>0</v>
      </c>
      <c r="AH47" s="4">
        <v>0</v>
      </c>
      <c r="AI47" s="4">
        <v>0</v>
      </c>
      <c r="AJ47" s="4">
        <v>0</v>
      </c>
      <c r="AK47" s="4">
        <v>1</v>
      </c>
      <c r="AL47" s="4">
        <v>0</v>
      </c>
      <c r="AM47" s="4">
        <v>1</v>
      </c>
      <c r="AN47" s="4">
        <v>0</v>
      </c>
      <c r="AO47" s="4">
        <v>0</v>
      </c>
      <c r="AP47" s="3" t="s">
        <v>59</v>
      </c>
      <c r="AQ47" s="3" t="s">
        <v>59</v>
      </c>
      <c r="AS47" s="6" t="str">
        <f>HYPERLINK("https://creighton-primo.hosted.exlibrisgroup.com/primo-explore/search?tab=default_tab&amp;search_scope=EVERYTHING&amp;vid=01CRU&amp;lang=en_US&amp;offset=0&amp;query=any,contains,991004423939702656","Catalog Record")</f>
        <v>Catalog Record</v>
      </c>
      <c r="AT47" s="6" t="str">
        <f>HYPERLINK("http://www.worldcat.org/oclc/3394997","WorldCat Record")</f>
        <v>WorldCat Record</v>
      </c>
      <c r="AU47" s="3" t="s">
        <v>701</v>
      </c>
      <c r="AV47" s="3" t="s">
        <v>702</v>
      </c>
      <c r="AW47" s="3" t="s">
        <v>703</v>
      </c>
      <c r="AX47" s="3" t="s">
        <v>703</v>
      </c>
      <c r="AY47" s="3" t="s">
        <v>704</v>
      </c>
      <c r="AZ47" s="3" t="s">
        <v>74</v>
      </c>
      <c r="BC47" s="3" t="s">
        <v>705</v>
      </c>
      <c r="BD47" s="3" t="s">
        <v>706</v>
      </c>
    </row>
    <row r="48" spans="1:56" ht="57.75" customHeight="1" x14ac:dyDescent="0.25">
      <c r="A48" s="7" t="s">
        <v>59</v>
      </c>
      <c r="B48" s="2" t="s">
        <v>707</v>
      </c>
      <c r="C48" s="2" t="s">
        <v>708</v>
      </c>
      <c r="D48" s="2" t="s">
        <v>709</v>
      </c>
      <c r="F48" s="3" t="s">
        <v>59</v>
      </c>
      <c r="G48" s="3" t="s">
        <v>60</v>
      </c>
      <c r="H48" s="3" t="s">
        <v>59</v>
      </c>
      <c r="I48" s="3" t="s">
        <v>59</v>
      </c>
      <c r="J48" s="3" t="s">
        <v>61</v>
      </c>
      <c r="K48" s="2" t="s">
        <v>710</v>
      </c>
      <c r="L48" s="2" t="s">
        <v>711</v>
      </c>
      <c r="M48" s="3" t="s">
        <v>712</v>
      </c>
      <c r="N48" s="2" t="s">
        <v>556</v>
      </c>
      <c r="O48" s="3" t="s">
        <v>64</v>
      </c>
      <c r="P48" s="3" t="s">
        <v>405</v>
      </c>
      <c r="R48" s="3" t="s">
        <v>67</v>
      </c>
      <c r="S48" s="4">
        <v>4</v>
      </c>
      <c r="T48" s="4">
        <v>4</v>
      </c>
      <c r="U48" s="5" t="s">
        <v>574</v>
      </c>
      <c r="V48" s="5" t="s">
        <v>574</v>
      </c>
      <c r="W48" s="5" t="s">
        <v>713</v>
      </c>
      <c r="X48" s="5" t="s">
        <v>713</v>
      </c>
      <c r="Y48" s="4">
        <v>264</v>
      </c>
      <c r="Z48" s="4">
        <v>150</v>
      </c>
      <c r="AA48" s="4">
        <v>150</v>
      </c>
      <c r="AB48" s="4">
        <v>2</v>
      </c>
      <c r="AC48" s="4">
        <v>2</v>
      </c>
      <c r="AD48" s="4">
        <v>4</v>
      </c>
      <c r="AE48" s="4">
        <v>4</v>
      </c>
      <c r="AF48" s="4">
        <v>1</v>
      </c>
      <c r="AG48" s="4">
        <v>1</v>
      </c>
      <c r="AH48" s="4">
        <v>1</v>
      </c>
      <c r="AI48" s="4">
        <v>1</v>
      </c>
      <c r="AJ48" s="4">
        <v>2</v>
      </c>
      <c r="AK48" s="4">
        <v>2</v>
      </c>
      <c r="AL48" s="4">
        <v>1</v>
      </c>
      <c r="AM48" s="4">
        <v>1</v>
      </c>
      <c r="AN48" s="4">
        <v>0</v>
      </c>
      <c r="AO48" s="4">
        <v>0</v>
      </c>
      <c r="AP48" s="3" t="s">
        <v>59</v>
      </c>
      <c r="AQ48" s="3" t="s">
        <v>59</v>
      </c>
      <c r="AS48" s="6" t="str">
        <f>HYPERLINK("https://creighton-primo.hosted.exlibrisgroup.com/primo-explore/search?tab=default_tab&amp;search_scope=EVERYTHING&amp;vid=01CRU&amp;lang=en_US&amp;offset=0&amp;query=any,contains,991002234839702656","Catalog Record")</f>
        <v>Catalog Record</v>
      </c>
      <c r="AT48" s="6" t="str">
        <f>HYPERLINK("http://www.worldcat.org/oclc/28800575","WorldCat Record")</f>
        <v>WorldCat Record</v>
      </c>
      <c r="AU48" s="3" t="s">
        <v>714</v>
      </c>
      <c r="AV48" s="3" t="s">
        <v>715</v>
      </c>
      <c r="AW48" s="3" t="s">
        <v>716</v>
      </c>
      <c r="AX48" s="3" t="s">
        <v>716</v>
      </c>
      <c r="AY48" s="3" t="s">
        <v>717</v>
      </c>
      <c r="AZ48" s="3" t="s">
        <v>74</v>
      </c>
      <c r="BB48" s="3" t="s">
        <v>718</v>
      </c>
      <c r="BC48" s="3" t="s">
        <v>719</v>
      </c>
      <c r="BD48" s="3" t="s">
        <v>720</v>
      </c>
    </row>
    <row r="49" spans="1:56" ht="57.75" customHeight="1" x14ac:dyDescent="0.25">
      <c r="A49" s="7" t="s">
        <v>59</v>
      </c>
      <c r="B49" s="2" t="s">
        <v>721</v>
      </c>
      <c r="C49" s="2" t="s">
        <v>722</v>
      </c>
      <c r="D49" s="2" t="s">
        <v>723</v>
      </c>
      <c r="F49" s="3" t="s">
        <v>59</v>
      </c>
      <c r="G49" s="3" t="s">
        <v>60</v>
      </c>
      <c r="H49" s="3" t="s">
        <v>59</v>
      </c>
      <c r="I49" s="3" t="s">
        <v>59</v>
      </c>
      <c r="J49" s="3" t="s">
        <v>61</v>
      </c>
      <c r="K49" s="2" t="s">
        <v>724</v>
      </c>
      <c r="L49" s="2" t="s">
        <v>539</v>
      </c>
      <c r="M49" s="3" t="s">
        <v>540</v>
      </c>
      <c r="O49" s="3" t="s">
        <v>64</v>
      </c>
      <c r="P49" s="3" t="s">
        <v>541</v>
      </c>
      <c r="R49" s="3" t="s">
        <v>67</v>
      </c>
      <c r="S49" s="4">
        <v>1</v>
      </c>
      <c r="T49" s="4">
        <v>1</v>
      </c>
      <c r="U49" s="5" t="s">
        <v>725</v>
      </c>
      <c r="V49" s="5" t="s">
        <v>725</v>
      </c>
      <c r="W49" s="5" t="s">
        <v>543</v>
      </c>
      <c r="X49" s="5" t="s">
        <v>543</v>
      </c>
      <c r="Y49" s="4">
        <v>497</v>
      </c>
      <c r="Z49" s="4">
        <v>363</v>
      </c>
      <c r="AA49" s="4">
        <v>381</v>
      </c>
      <c r="AB49" s="4">
        <v>5</v>
      </c>
      <c r="AC49" s="4">
        <v>5</v>
      </c>
      <c r="AD49" s="4">
        <v>14</v>
      </c>
      <c r="AE49" s="4">
        <v>14</v>
      </c>
      <c r="AF49" s="4">
        <v>4</v>
      </c>
      <c r="AG49" s="4">
        <v>4</v>
      </c>
      <c r="AH49" s="4">
        <v>3</v>
      </c>
      <c r="AI49" s="4">
        <v>3</v>
      </c>
      <c r="AJ49" s="4">
        <v>7</v>
      </c>
      <c r="AK49" s="4">
        <v>7</v>
      </c>
      <c r="AL49" s="4">
        <v>4</v>
      </c>
      <c r="AM49" s="4">
        <v>4</v>
      </c>
      <c r="AN49" s="4">
        <v>0</v>
      </c>
      <c r="AO49" s="4">
        <v>0</v>
      </c>
      <c r="AP49" s="3" t="s">
        <v>59</v>
      </c>
      <c r="AQ49" s="3" t="s">
        <v>69</v>
      </c>
      <c r="AR49" s="6" t="str">
        <f>HYPERLINK("http://catalog.hathitrust.org/Record/000771690","HathiTrust Record")</f>
        <v>HathiTrust Record</v>
      </c>
      <c r="AS49" s="6" t="str">
        <f>HYPERLINK("https://creighton-primo.hosted.exlibrisgroup.com/primo-explore/search?tab=default_tab&amp;search_scope=EVERYTHING&amp;vid=01CRU&amp;lang=en_US&amp;offset=0&amp;query=any,contains,991005134729702656","Catalog Record")</f>
        <v>Catalog Record</v>
      </c>
      <c r="AT49" s="6" t="str">
        <f>HYPERLINK("http://www.worldcat.org/oclc/7575660","WorldCat Record")</f>
        <v>WorldCat Record</v>
      </c>
      <c r="AU49" s="3" t="s">
        <v>726</v>
      </c>
      <c r="AV49" s="3" t="s">
        <v>727</v>
      </c>
      <c r="AW49" s="3" t="s">
        <v>728</v>
      </c>
      <c r="AX49" s="3" t="s">
        <v>728</v>
      </c>
      <c r="AY49" s="3" t="s">
        <v>729</v>
      </c>
      <c r="AZ49" s="3" t="s">
        <v>74</v>
      </c>
      <c r="BB49" s="3" t="s">
        <v>730</v>
      </c>
      <c r="BC49" s="3" t="s">
        <v>731</v>
      </c>
      <c r="BD49" s="3" t="s">
        <v>732</v>
      </c>
    </row>
    <row r="50" spans="1:56" ht="57.75" customHeight="1" x14ac:dyDescent="0.25">
      <c r="A50" s="7" t="s">
        <v>59</v>
      </c>
      <c r="B50" s="2" t="s">
        <v>733</v>
      </c>
      <c r="C50" s="2" t="s">
        <v>734</v>
      </c>
      <c r="D50" s="2" t="s">
        <v>735</v>
      </c>
      <c r="F50" s="3" t="s">
        <v>59</v>
      </c>
      <c r="G50" s="3" t="s">
        <v>60</v>
      </c>
      <c r="H50" s="3" t="s">
        <v>59</v>
      </c>
      <c r="I50" s="3" t="s">
        <v>59</v>
      </c>
      <c r="J50" s="3" t="s">
        <v>61</v>
      </c>
      <c r="K50" s="2" t="s">
        <v>736</v>
      </c>
      <c r="L50" s="2" t="s">
        <v>737</v>
      </c>
      <c r="M50" s="3" t="s">
        <v>738</v>
      </c>
      <c r="O50" s="3" t="s">
        <v>64</v>
      </c>
      <c r="P50" s="3" t="s">
        <v>405</v>
      </c>
      <c r="R50" s="3" t="s">
        <v>67</v>
      </c>
      <c r="S50" s="4">
        <v>4</v>
      </c>
      <c r="T50" s="4">
        <v>4</v>
      </c>
      <c r="U50" s="5" t="s">
        <v>739</v>
      </c>
      <c r="V50" s="5" t="s">
        <v>739</v>
      </c>
      <c r="W50" s="5" t="s">
        <v>575</v>
      </c>
      <c r="X50" s="5" t="s">
        <v>575</v>
      </c>
      <c r="Y50" s="4">
        <v>718</v>
      </c>
      <c r="Z50" s="4">
        <v>547</v>
      </c>
      <c r="AA50" s="4">
        <v>754</v>
      </c>
      <c r="AB50" s="4">
        <v>6</v>
      </c>
      <c r="AC50" s="4">
        <v>8</v>
      </c>
      <c r="AD50" s="4">
        <v>22</v>
      </c>
      <c r="AE50" s="4">
        <v>31</v>
      </c>
      <c r="AF50" s="4">
        <v>8</v>
      </c>
      <c r="AG50" s="4">
        <v>12</v>
      </c>
      <c r="AH50" s="4">
        <v>4</v>
      </c>
      <c r="AI50" s="4">
        <v>6</v>
      </c>
      <c r="AJ50" s="4">
        <v>10</v>
      </c>
      <c r="AK50" s="4">
        <v>15</v>
      </c>
      <c r="AL50" s="4">
        <v>4</v>
      </c>
      <c r="AM50" s="4">
        <v>6</v>
      </c>
      <c r="AN50" s="4">
        <v>0</v>
      </c>
      <c r="AO50" s="4">
        <v>0</v>
      </c>
      <c r="AP50" s="3" t="s">
        <v>59</v>
      </c>
      <c r="AQ50" s="3" t="s">
        <v>69</v>
      </c>
      <c r="AR50" s="6" t="str">
        <f>HYPERLINK("http://catalog.hathitrust.org/Record/001498979","HathiTrust Record")</f>
        <v>HathiTrust Record</v>
      </c>
      <c r="AS50" s="6" t="str">
        <f>HYPERLINK("https://creighton-primo.hosted.exlibrisgroup.com/primo-explore/search?tab=default_tab&amp;search_scope=EVERYTHING&amp;vid=01CRU&amp;lang=en_US&amp;offset=0&amp;query=any,contains,991002944479702656","Catalog Record")</f>
        <v>Catalog Record</v>
      </c>
      <c r="AT50" s="6" t="str">
        <f>HYPERLINK("http://www.worldcat.org/oclc/536492","WorldCat Record")</f>
        <v>WorldCat Record</v>
      </c>
      <c r="AU50" s="3" t="s">
        <v>740</v>
      </c>
      <c r="AV50" s="3" t="s">
        <v>741</v>
      </c>
      <c r="AW50" s="3" t="s">
        <v>742</v>
      </c>
      <c r="AX50" s="3" t="s">
        <v>742</v>
      </c>
      <c r="AY50" s="3" t="s">
        <v>743</v>
      </c>
      <c r="AZ50" s="3" t="s">
        <v>74</v>
      </c>
      <c r="BC50" s="3" t="s">
        <v>744</v>
      </c>
      <c r="BD50" s="3" t="s">
        <v>745</v>
      </c>
    </row>
    <row r="51" spans="1:56" ht="57.75" customHeight="1" x14ac:dyDescent="0.25">
      <c r="A51" s="7" t="s">
        <v>59</v>
      </c>
      <c r="B51" s="2" t="s">
        <v>746</v>
      </c>
      <c r="C51" s="2" t="s">
        <v>747</v>
      </c>
      <c r="D51" s="2" t="s">
        <v>748</v>
      </c>
      <c r="F51" s="3" t="s">
        <v>59</v>
      </c>
      <c r="G51" s="3" t="s">
        <v>60</v>
      </c>
      <c r="H51" s="3" t="s">
        <v>59</v>
      </c>
      <c r="I51" s="3" t="s">
        <v>59</v>
      </c>
      <c r="J51" s="3" t="s">
        <v>61</v>
      </c>
      <c r="K51" s="2" t="s">
        <v>749</v>
      </c>
      <c r="L51" s="2" t="s">
        <v>750</v>
      </c>
      <c r="M51" s="3" t="s">
        <v>452</v>
      </c>
      <c r="O51" s="3" t="s">
        <v>64</v>
      </c>
      <c r="P51" s="3" t="s">
        <v>467</v>
      </c>
      <c r="Q51" s="2" t="s">
        <v>751</v>
      </c>
      <c r="R51" s="3" t="s">
        <v>67</v>
      </c>
      <c r="S51" s="4">
        <v>2</v>
      </c>
      <c r="T51" s="4">
        <v>2</v>
      </c>
      <c r="U51" s="5" t="s">
        <v>752</v>
      </c>
      <c r="V51" s="5" t="s">
        <v>752</v>
      </c>
      <c r="W51" s="5" t="s">
        <v>575</v>
      </c>
      <c r="X51" s="5" t="s">
        <v>575</v>
      </c>
      <c r="Y51" s="4">
        <v>1058</v>
      </c>
      <c r="Z51" s="4">
        <v>982</v>
      </c>
      <c r="AA51" s="4">
        <v>993</v>
      </c>
      <c r="AB51" s="4">
        <v>10</v>
      </c>
      <c r="AC51" s="4">
        <v>10</v>
      </c>
      <c r="AD51" s="4">
        <v>17</v>
      </c>
      <c r="AE51" s="4">
        <v>17</v>
      </c>
      <c r="AF51" s="4">
        <v>8</v>
      </c>
      <c r="AG51" s="4">
        <v>8</v>
      </c>
      <c r="AH51" s="4">
        <v>3</v>
      </c>
      <c r="AI51" s="4">
        <v>3</v>
      </c>
      <c r="AJ51" s="4">
        <v>5</v>
      </c>
      <c r="AK51" s="4">
        <v>5</v>
      </c>
      <c r="AL51" s="4">
        <v>6</v>
      </c>
      <c r="AM51" s="4">
        <v>6</v>
      </c>
      <c r="AN51" s="4">
        <v>0</v>
      </c>
      <c r="AO51" s="4">
        <v>0</v>
      </c>
      <c r="AP51" s="3" t="s">
        <v>59</v>
      </c>
      <c r="AQ51" s="3" t="s">
        <v>69</v>
      </c>
      <c r="AR51" s="6" t="str">
        <f>HYPERLINK("http://catalog.hathitrust.org/Record/001498983","HathiTrust Record")</f>
        <v>HathiTrust Record</v>
      </c>
      <c r="AS51" s="6" t="str">
        <f>HYPERLINK("https://creighton-primo.hosted.exlibrisgroup.com/primo-explore/search?tab=default_tab&amp;search_scope=EVERYTHING&amp;vid=01CRU&amp;lang=en_US&amp;offset=0&amp;query=any,contains,991002990779702656","Catalog Record")</f>
        <v>Catalog Record</v>
      </c>
      <c r="AT51" s="6" t="str">
        <f>HYPERLINK("http://www.worldcat.org/oclc/560451","WorldCat Record")</f>
        <v>WorldCat Record</v>
      </c>
      <c r="AU51" s="3" t="s">
        <v>753</v>
      </c>
      <c r="AV51" s="3" t="s">
        <v>754</v>
      </c>
      <c r="AW51" s="3" t="s">
        <v>755</v>
      </c>
      <c r="AX51" s="3" t="s">
        <v>755</v>
      </c>
      <c r="AY51" s="3" t="s">
        <v>756</v>
      </c>
      <c r="AZ51" s="3" t="s">
        <v>74</v>
      </c>
      <c r="BC51" s="3" t="s">
        <v>757</v>
      </c>
      <c r="BD51" s="3" t="s">
        <v>758</v>
      </c>
    </row>
    <row r="52" spans="1:56" ht="57.75" customHeight="1" x14ac:dyDescent="0.25">
      <c r="A52" s="7" t="s">
        <v>59</v>
      </c>
      <c r="B52" s="2" t="s">
        <v>759</v>
      </c>
      <c r="C52" s="2" t="s">
        <v>760</v>
      </c>
      <c r="D52" s="2" t="s">
        <v>761</v>
      </c>
      <c r="F52" s="3" t="s">
        <v>59</v>
      </c>
      <c r="G52" s="3" t="s">
        <v>60</v>
      </c>
      <c r="H52" s="3" t="s">
        <v>59</v>
      </c>
      <c r="I52" s="3" t="s">
        <v>59</v>
      </c>
      <c r="J52" s="3" t="s">
        <v>61</v>
      </c>
      <c r="L52" s="2" t="s">
        <v>762</v>
      </c>
      <c r="M52" s="3" t="s">
        <v>763</v>
      </c>
      <c r="O52" s="3" t="s">
        <v>64</v>
      </c>
      <c r="P52" s="3" t="s">
        <v>467</v>
      </c>
      <c r="R52" s="3" t="s">
        <v>67</v>
      </c>
      <c r="S52" s="4">
        <v>3</v>
      </c>
      <c r="T52" s="4">
        <v>3</v>
      </c>
      <c r="U52" s="5" t="s">
        <v>764</v>
      </c>
      <c r="V52" s="5" t="s">
        <v>764</v>
      </c>
      <c r="W52" s="5" t="s">
        <v>543</v>
      </c>
      <c r="X52" s="5" t="s">
        <v>543</v>
      </c>
      <c r="Y52" s="4">
        <v>273</v>
      </c>
      <c r="Z52" s="4">
        <v>209</v>
      </c>
      <c r="AA52" s="4">
        <v>224</v>
      </c>
      <c r="AB52" s="4">
        <v>1</v>
      </c>
      <c r="AC52" s="4">
        <v>1</v>
      </c>
      <c r="AD52" s="4">
        <v>2</v>
      </c>
      <c r="AE52" s="4">
        <v>3</v>
      </c>
      <c r="AF52" s="4">
        <v>0</v>
      </c>
      <c r="AG52" s="4">
        <v>1</v>
      </c>
      <c r="AH52" s="4">
        <v>1</v>
      </c>
      <c r="AI52" s="4">
        <v>1</v>
      </c>
      <c r="AJ52" s="4">
        <v>1</v>
      </c>
      <c r="AK52" s="4">
        <v>2</v>
      </c>
      <c r="AL52" s="4">
        <v>0</v>
      </c>
      <c r="AM52" s="4">
        <v>0</v>
      </c>
      <c r="AN52" s="4">
        <v>0</v>
      </c>
      <c r="AO52" s="4">
        <v>0</v>
      </c>
      <c r="AP52" s="3" t="s">
        <v>59</v>
      </c>
      <c r="AQ52" s="3" t="s">
        <v>69</v>
      </c>
      <c r="AR52" s="6" t="str">
        <f>HYPERLINK("http://catalog.hathitrust.org/Record/000881289","HathiTrust Record")</f>
        <v>HathiTrust Record</v>
      </c>
      <c r="AS52" s="6" t="str">
        <f>HYPERLINK("https://creighton-primo.hosted.exlibrisgroup.com/primo-explore/search?tab=default_tab&amp;search_scope=EVERYTHING&amp;vid=01CRU&amp;lang=en_US&amp;offset=0&amp;query=any,contains,991001038709702656","Catalog Record")</f>
        <v>Catalog Record</v>
      </c>
      <c r="AT52" s="6" t="str">
        <f>HYPERLINK("http://www.worldcat.org/oclc/15551696","WorldCat Record")</f>
        <v>WorldCat Record</v>
      </c>
      <c r="AU52" s="3" t="s">
        <v>765</v>
      </c>
      <c r="AV52" s="3" t="s">
        <v>766</v>
      </c>
      <c r="AW52" s="3" t="s">
        <v>767</v>
      </c>
      <c r="AX52" s="3" t="s">
        <v>767</v>
      </c>
      <c r="AY52" s="3" t="s">
        <v>768</v>
      </c>
      <c r="AZ52" s="3" t="s">
        <v>74</v>
      </c>
      <c r="BC52" s="3" t="s">
        <v>769</v>
      </c>
      <c r="BD52" s="3" t="s">
        <v>770</v>
      </c>
    </row>
    <row r="53" spans="1:56" ht="57.75" customHeight="1" x14ac:dyDescent="0.25">
      <c r="A53" s="7" t="s">
        <v>59</v>
      </c>
      <c r="B53" s="2" t="s">
        <v>771</v>
      </c>
      <c r="C53" s="2" t="s">
        <v>772</v>
      </c>
      <c r="D53" s="2" t="s">
        <v>773</v>
      </c>
      <c r="F53" s="3" t="s">
        <v>59</v>
      </c>
      <c r="G53" s="3" t="s">
        <v>60</v>
      </c>
      <c r="H53" s="3" t="s">
        <v>59</v>
      </c>
      <c r="I53" s="3" t="s">
        <v>59</v>
      </c>
      <c r="J53" s="3" t="s">
        <v>61</v>
      </c>
      <c r="K53" s="2" t="s">
        <v>774</v>
      </c>
      <c r="L53" s="2" t="s">
        <v>775</v>
      </c>
      <c r="M53" s="3" t="s">
        <v>776</v>
      </c>
      <c r="O53" s="3" t="s">
        <v>64</v>
      </c>
      <c r="P53" s="3" t="s">
        <v>405</v>
      </c>
      <c r="R53" s="3" t="s">
        <v>67</v>
      </c>
      <c r="S53" s="4">
        <v>1</v>
      </c>
      <c r="T53" s="4">
        <v>1</v>
      </c>
      <c r="U53" s="5" t="s">
        <v>777</v>
      </c>
      <c r="V53" s="5" t="s">
        <v>777</v>
      </c>
      <c r="W53" s="5" t="s">
        <v>778</v>
      </c>
      <c r="X53" s="5" t="s">
        <v>778</v>
      </c>
      <c r="Y53" s="4">
        <v>407</v>
      </c>
      <c r="Z53" s="4">
        <v>274</v>
      </c>
      <c r="AA53" s="4">
        <v>280</v>
      </c>
      <c r="AB53" s="4">
        <v>3</v>
      </c>
      <c r="AC53" s="4">
        <v>3</v>
      </c>
      <c r="AD53" s="4">
        <v>9</v>
      </c>
      <c r="AE53" s="4">
        <v>9</v>
      </c>
      <c r="AF53" s="4">
        <v>3</v>
      </c>
      <c r="AG53" s="4">
        <v>3</v>
      </c>
      <c r="AH53" s="4">
        <v>1</v>
      </c>
      <c r="AI53" s="4">
        <v>1</v>
      </c>
      <c r="AJ53" s="4">
        <v>3</v>
      </c>
      <c r="AK53" s="4">
        <v>3</v>
      </c>
      <c r="AL53" s="4">
        <v>2</v>
      </c>
      <c r="AM53" s="4">
        <v>2</v>
      </c>
      <c r="AN53" s="4">
        <v>0</v>
      </c>
      <c r="AO53" s="4">
        <v>0</v>
      </c>
      <c r="AP53" s="3" t="s">
        <v>59</v>
      </c>
      <c r="AQ53" s="3" t="s">
        <v>69</v>
      </c>
      <c r="AR53" s="6" t="str">
        <f>HYPERLINK("http://catalog.hathitrust.org/Record/006215042","HathiTrust Record")</f>
        <v>HathiTrust Record</v>
      </c>
      <c r="AS53" s="6" t="str">
        <f>HYPERLINK("https://creighton-primo.hosted.exlibrisgroup.com/primo-explore/search?tab=default_tab&amp;search_scope=EVERYTHING&amp;vid=01CRU&amp;lang=en_US&amp;offset=0&amp;query=any,contains,991002228059702656","Catalog Record")</f>
        <v>Catalog Record</v>
      </c>
      <c r="AT53" s="6" t="str">
        <f>HYPERLINK("http://www.worldcat.org/oclc/292355","WorldCat Record")</f>
        <v>WorldCat Record</v>
      </c>
      <c r="AU53" s="3" t="s">
        <v>779</v>
      </c>
      <c r="AV53" s="3" t="s">
        <v>780</v>
      </c>
      <c r="AW53" s="3" t="s">
        <v>781</v>
      </c>
      <c r="AX53" s="3" t="s">
        <v>781</v>
      </c>
      <c r="AY53" s="3" t="s">
        <v>782</v>
      </c>
      <c r="AZ53" s="3" t="s">
        <v>74</v>
      </c>
      <c r="BB53" s="3" t="s">
        <v>783</v>
      </c>
      <c r="BC53" s="3" t="s">
        <v>784</v>
      </c>
      <c r="BD53" s="3" t="s">
        <v>785</v>
      </c>
    </row>
    <row r="54" spans="1:56" ht="57.75" customHeight="1" x14ac:dyDescent="0.25">
      <c r="A54" s="7" t="s">
        <v>59</v>
      </c>
      <c r="B54" s="2" t="s">
        <v>786</v>
      </c>
      <c r="C54" s="2" t="s">
        <v>787</v>
      </c>
      <c r="D54" s="2" t="s">
        <v>788</v>
      </c>
      <c r="F54" s="3" t="s">
        <v>59</v>
      </c>
      <c r="G54" s="3" t="s">
        <v>60</v>
      </c>
      <c r="H54" s="3" t="s">
        <v>59</v>
      </c>
      <c r="I54" s="3" t="s">
        <v>59</v>
      </c>
      <c r="J54" s="3" t="s">
        <v>61</v>
      </c>
      <c r="K54" s="2" t="s">
        <v>789</v>
      </c>
      <c r="L54" s="2" t="s">
        <v>790</v>
      </c>
      <c r="M54" s="3" t="s">
        <v>313</v>
      </c>
      <c r="N54" s="2" t="s">
        <v>791</v>
      </c>
      <c r="O54" s="3" t="s">
        <v>64</v>
      </c>
      <c r="P54" s="3" t="s">
        <v>467</v>
      </c>
      <c r="R54" s="3" t="s">
        <v>67</v>
      </c>
      <c r="S54" s="4">
        <v>12</v>
      </c>
      <c r="T54" s="4">
        <v>12</v>
      </c>
      <c r="U54" s="5" t="s">
        <v>792</v>
      </c>
      <c r="V54" s="5" t="s">
        <v>792</v>
      </c>
      <c r="W54" s="5" t="s">
        <v>793</v>
      </c>
      <c r="X54" s="5" t="s">
        <v>793</v>
      </c>
      <c r="Y54" s="4">
        <v>1016</v>
      </c>
      <c r="Z54" s="4">
        <v>977</v>
      </c>
      <c r="AA54" s="4">
        <v>1010</v>
      </c>
      <c r="AB54" s="4">
        <v>9</v>
      </c>
      <c r="AC54" s="4">
        <v>9</v>
      </c>
      <c r="AD54" s="4">
        <v>6</v>
      </c>
      <c r="AE54" s="4">
        <v>6</v>
      </c>
      <c r="AF54" s="4">
        <v>2</v>
      </c>
      <c r="AG54" s="4">
        <v>2</v>
      </c>
      <c r="AH54" s="4">
        <v>1</v>
      </c>
      <c r="AI54" s="4">
        <v>1</v>
      </c>
      <c r="AJ54" s="4">
        <v>3</v>
      </c>
      <c r="AK54" s="4">
        <v>3</v>
      </c>
      <c r="AL54" s="4">
        <v>2</v>
      </c>
      <c r="AM54" s="4">
        <v>2</v>
      </c>
      <c r="AN54" s="4">
        <v>0</v>
      </c>
      <c r="AO54" s="4">
        <v>0</v>
      </c>
      <c r="AP54" s="3" t="s">
        <v>59</v>
      </c>
      <c r="AQ54" s="3" t="s">
        <v>69</v>
      </c>
      <c r="AR54" s="6" t="str">
        <f>HYPERLINK("http://catalog.hathitrust.org/Record/007244474","HathiTrust Record")</f>
        <v>HathiTrust Record</v>
      </c>
      <c r="AS54" s="6" t="str">
        <f>HYPERLINK("https://creighton-primo.hosted.exlibrisgroup.com/primo-explore/search?tab=default_tab&amp;search_scope=EVERYTHING&amp;vid=01CRU&amp;lang=en_US&amp;offset=0&amp;query=any,contains,991003820629702656","Catalog Record")</f>
        <v>Catalog Record</v>
      </c>
      <c r="AT54" s="6" t="str">
        <f>HYPERLINK("http://www.worldcat.org/oclc/48880798","WorldCat Record")</f>
        <v>WorldCat Record</v>
      </c>
      <c r="AU54" s="3" t="s">
        <v>794</v>
      </c>
      <c r="AV54" s="3" t="s">
        <v>795</v>
      </c>
      <c r="AW54" s="3" t="s">
        <v>796</v>
      </c>
      <c r="AX54" s="3" t="s">
        <v>796</v>
      </c>
      <c r="AY54" s="3" t="s">
        <v>797</v>
      </c>
      <c r="AZ54" s="3" t="s">
        <v>74</v>
      </c>
      <c r="BB54" s="3" t="s">
        <v>798</v>
      </c>
      <c r="BC54" s="3" t="s">
        <v>799</v>
      </c>
      <c r="BD54" s="3" t="s">
        <v>800</v>
      </c>
    </row>
    <row r="55" spans="1:56" ht="57.75" customHeight="1" x14ac:dyDescent="0.25">
      <c r="A55" s="7" t="s">
        <v>59</v>
      </c>
      <c r="B55" s="2" t="s">
        <v>801</v>
      </c>
      <c r="C55" s="2" t="s">
        <v>802</v>
      </c>
      <c r="D55" s="2" t="s">
        <v>803</v>
      </c>
      <c r="F55" s="3" t="s">
        <v>59</v>
      </c>
      <c r="G55" s="3" t="s">
        <v>60</v>
      </c>
      <c r="H55" s="3" t="s">
        <v>59</v>
      </c>
      <c r="I55" s="3" t="s">
        <v>59</v>
      </c>
      <c r="J55" s="3" t="s">
        <v>61</v>
      </c>
      <c r="K55" s="2" t="s">
        <v>804</v>
      </c>
      <c r="L55" s="2" t="s">
        <v>805</v>
      </c>
      <c r="M55" s="3" t="s">
        <v>712</v>
      </c>
      <c r="N55" s="2" t="s">
        <v>556</v>
      </c>
      <c r="O55" s="3" t="s">
        <v>64</v>
      </c>
      <c r="P55" s="3" t="s">
        <v>467</v>
      </c>
      <c r="R55" s="3" t="s">
        <v>67</v>
      </c>
      <c r="S55" s="4">
        <v>3</v>
      </c>
      <c r="T55" s="4">
        <v>3</v>
      </c>
      <c r="U55" s="5" t="s">
        <v>806</v>
      </c>
      <c r="V55" s="5" t="s">
        <v>806</v>
      </c>
      <c r="W55" s="5" t="s">
        <v>807</v>
      </c>
      <c r="X55" s="5" t="s">
        <v>807</v>
      </c>
      <c r="Y55" s="4">
        <v>974</v>
      </c>
      <c r="Z55" s="4">
        <v>927</v>
      </c>
      <c r="AA55" s="4">
        <v>1051</v>
      </c>
      <c r="AB55" s="4">
        <v>7</v>
      </c>
      <c r="AC55" s="4">
        <v>7</v>
      </c>
      <c r="AD55" s="4">
        <v>16</v>
      </c>
      <c r="AE55" s="4">
        <v>16</v>
      </c>
      <c r="AF55" s="4">
        <v>4</v>
      </c>
      <c r="AG55" s="4">
        <v>4</v>
      </c>
      <c r="AH55" s="4">
        <v>6</v>
      </c>
      <c r="AI55" s="4">
        <v>6</v>
      </c>
      <c r="AJ55" s="4">
        <v>8</v>
      </c>
      <c r="AK55" s="4">
        <v>8</v>
      </c>
      <c r="AL55" s="4">
        <v>2</v>
      </c>
      <c r="AM55" s="4">
        <v>2</v>
      </c>
      <c r="AN55" s="4">
        <v>0</v>
      </c>
      <c r="AO55" s="4">
        <v>0</v>
      </c>
      <c r="AP55" s="3" t="s">
        <v>59</v>
      </c>
      <c r="AQ55" s="3" t="s">
        <v>69</v>
      </c>
      <c r="AR55" s="6" t="str">
        <f>HYPERLINK("http://catalog.hathitrust.org/Record/002908317","HathiTrust Record")</f>
        <v>HathiTrust Record</v>
      </c>
      <c r="AS55" s="6" t="str">
        <f>HYPERLINK("https://creighton-primo.hosted.exlibrisgroup.com/primo-explore/search?tab=default_tab&amp;search_scope=EVERYTHING&amp;vid=01CRU&amp;lang=en_US&amp;offset=0&amp;query=any,contains,991002288819702656","Catalog Record")</f>
        <v>Catalog Record</v>
      </c>
      <c r="AT55" s="6" t="str">
        <f>HYPERLINK("http://www.worldcat.org/oclc/29669349","WorldCat Record")</f>
        <v>WorldCat Record</v>
      </c>
      <c r="AU55" s="3" t="s">
        <v>808</v>
      </c>
      <c r="AV55" s="3" t="s">
        <v>809</v>
      </c>
      <c r="AW55" s="3" t="s">
        <v>810</v>
      </c>
      <c r="AX55" s="3" t="s">
        <v>810</v>
      </c>
      <c r="AY55" s="3" t="s">
        <v>811</v>
      </c>
      <c r="AZ55" s="3" t="s">
        <v>74</v>
      </c>
      <c r="BB55" s="3" t="s">
        <v>812</v>
      </c>
      <c r="BC55" s="3" t="s">
        <v>813</v>
      </c>
      <c r="BD55" s="3" t="s">
        <v>814</v>
      </c>
    </row>
    <row r="56" spans="1:56" ht="57.75" customHeight="1" x14ac:dyDescent="0.25">
      <c r="A56" s="7" t="s">
        <v>59</v>
      </c>
      <c r="B56" s="2" t="s">
        <v>815</v>
      </c>
      <c r="C56" s="2" t="s">
        <v>816</v>
      </c>
      <c r="D56" s="2" t="s">
        <v>817</v>
      </c>
      <c r="F56" s="3" t="s">
        <v>59</v>
      </c>
      <c r="G56" s="3" t="s">
        <v>60</v>
      </c>
      <c r="H56" s="3" t="s">
        <v>59</v>
      </c>
      <c r="I56" s="3" t="s">
        <v>59</v>
      </c>
      <c r="J56" s="3" t="s">
        <v>61</v>
      </c>
      <c r="K56" s="2" t="s">
        <v>818</v>
      </c>
      <c r="L56" s="2" t="s">
        <v>819</v>
      </c>
      <c r="M56" s="3" t="s">
        <v>820</v>
      </c>
      <c r="O56" s="3" t="s">
        <v>64</v>
      </c>
      <c r="P56" s="3" t="s">
        <v>821</v>
      </c>
      <c r="R56" s="3" t="s">
        <v>67</v>
      </c>
      <c r="S56" s="4">
        <v>7</v>
      </c>
      <c r="T56" s="4">
        <v>7</v>
      </c>
      <c r="U56" s="5" t="s">
        <v>822</v>
      </c>
      <c r="V56" s="5" t="s">
        <v>822</v>
      </c>
      <c r="W56" s="5" t="s">
        <v>543</v>
      </c>
      <c r="X56" s="5" t="s">
        <v>543</v>
      </c>
      <c r="Y56" s="4">
        <v>144</v>
      </c>
      <c r="Z56" s="4">
        <v>110</v>
      </c>
      <c r="AA56" s="4">
        <v>165</v>
      </c>
      <c r="AB56" s="4">
        <v>1</v>
      </c>
      <c r="AC56" s="4">
        <v>2</v>
      </c>
      <c r="AD56" s="4">
        <v>1</v>
      </c>
      <c r="AE56" s="4">
        <v>5</v>
      </c>
      <c r="AF56" s="4">
        <v>0</v>
      </c>
      <c r="AG56" s="4">
        <v>0</v>
      </c>
      <c r="AH56" s="4">
        <v>0</v>
      </c>
      <c r="AI56" s="4">
        <v>3</v>
      </c>
      <c r="AJ56" s="4">
        <v>1</v>
      </c>
      <c r="AK56" s="4">
        <v>3</v>
      </c>
      <c r="AL56" s="4">
        <v>0</v>
      </c>
      <c r="AM56" s="4">
        <v>1</v>
      </c>
      <c r="AN56" s="4">
        <v>0</v>
      </c>
      <c r="AO56" s="4">
        <v>0</v>
      </c>
      <c r="AP56" s="3" t="s">
        <v>59</v>
      </c>
      <c r="AQ56" s="3" t="s">
        <v>59</v>
      </c>
      <c r="AS56" s="6" t="str">
        <f>HYPERLINK("https://creighton-primo.hosted.exlibrisgroup.com/primo-explore/search?tab=default_tab&amp;search_scope=EVERYTHING&amp;vid=01CRU&amp;lang=en_US&amp;offset=0&amp;query=any,contains,991000664809702656","Catalog Record")</f>
        <v>Catalog Record</v>
      </c>
      <c r="AT56" s="6" t="str">
        <f>HYPERLINK("http://www.worldcat.org/oclc/12262983","WorldCat Record")</f>
        <v>WorldCat Record</v>
      </c>
      <c r="AU56" s="3" t="s">
        <v>823</v>
      </c>
      <c r="AV56" s="3" t="s">
        <v>824</v>
      </c>
      <c r="AW56" s="3" t="s">
        <v>825</v>
      </c>
      <c r="AX56" s="3" t="s">
        <v>825</v>
      </c>
      <c r="AY56" s="3" t="s">
        <v>826</v>
      </c>
      <c r="AZ56" s="3" t="s">
        <v>74</v>
      </c>
      <c r="BB56" s="3" t="s">
        <v>827</v>
      </c>
      <c r="BC56" s="3" t="s">
        <v>828</v>
      </c>
      <c r="BD56" s="3" t="s">
        <v>829</v>
      </c>
    </row>
    <row r="57" spans="1:56" ht="57.75" customHeight="1" x14ac:dyDescent="0.25">
      <c r="A57" s="7" t="s">
        <v>59</v>
      </c>
      <c r="B57" s="2" t="s">
        <v>830</v>
      </c>
      <c r="C57" s="2" t="s">
        <v>831</v>
      </c>
      <c r="D57" s="2" t="s">
        <v>832</v>
      </c>
      <c r="F57" s="3" t="s">
        <v>59</v>
      </c>
      <c r="G57" s="3" t="s">
        <v>60</v>
      </c>
      <c r="H57" s="3" t="s">
        <v>59</v>
      </c>
      <c r="I57" s="3" t="s">
        <v>59</v>
      </c>
      <c r="J57" s="3" t="s">
        <v>61</v>
      </c>
      <c r="K57" s="2" t="s">
        <v>833</v>
      </c>
      <c r="L57" s="2" t="s">
        <v>834</v>
      </c>
      <c r="M57" s="3" t="s">
        <v>835</v>
      </c>
      <c r="O57" s="3" t="s">
        <v>64</v>
      </c>
      <c r="P57" s="3" t="s">
        <v>467</v>
      </c>
      <c r="R57" s="3" t="s">
        <v>67</v>
      </c>
      <c r="S57" s="4">
        <v>26</v>
      </c>
      <c r="T57" s="4">
        <v>26</v>
      </c>
      <c r="U57" s="5" t="s">
        <v>836</v>
      </c>
      <c r="V57" s="5" t="s">
        <v>836</v>
      </c>
      <c r="W57" s="5" t="s">
        <v>543</v>
      </c>
      <c r="X57" s="5" t="s">
        <v>543</v>
      </c>
      <c r="Y57" s="4">
        <v>570</v>
      </c>
      <c r="Z57" s="4">
        <v>534</v>
      </c>
      <c r="AA57" s="4">
        <v>547</v>
      </c>
      <c r="AB57" s="4">
        <v>3</v>
      </c>
      <c r="AC57" s="4">
        <v>3</v>
      </c>
      <c r="AD57" s="4">
        <v>15</v>
      </c>
      <c r="AE57" s="4">
        <v>15</v>
      </c>
      <c r="AF57" s="4">
        <v>5</v>
      </c>
      <c r="AG57" s="4">
        <v>5</v>
      </c>
      <c r="AH57" s="4">
        <v>3</v>
      </c>
      <c r="AI57" s="4">
        <v>3</v>
      </c>
      <c r="AJ57" s="4">
        <v>9</v>
      </c>
      <c r="AK57" s="4">
        <v>9</v>
      </c>
      <c r="AL57" s="4">
        <v>1</v>
      </c>
      <c r="AM57" s="4">
        <v>1</v>
      </c>
      <c r="AN57" s="4">
        <v>0</v>
      </c>
      <c r="AO57" s="4">
        <v>0</v>
      </c>
      <c r="AP57" s="3" t="s">
        <v>59</v>
      </c>
      <c r="AQ57" s="3" t="s">
        <v>59</v>
      </c>
      <c r="AS57" s="6" t="str">
        <f>HYPERLINK("https://creighton-primo.hosted.exlibrisgroup.com/primo-explore/search?tab=default_tab&amp;search_scope=EVERYTHING&amp;vid=01CRU&amp;lang=en_US&amp;offset=0&amp;query=any,contains,991004712119702656","Catalog Record")</f>
        <v>Catalog Record</v>
      </c>
      <c r="AT57" s="6" t="str">
        <f>HYPERLINK("http://www.worldcat.org/oclc/4774511","WorldCat Record")</f>
        <v>WorldCat Record</v>
      </c>
      <c r="AU57" s="3" t="s">
        <v>837</v>
      </c>
      <c r="AV57" s="3" t="s">
        <v>838</v>
      </c>
      <c r="AW57" s="3" t="s">
        <v>839</v>
      </c>
      <c r="AX57" s="3" t="s">
        <v>839</v>
      </c>
      <c r="AY57" s="3" t="s">
        <v>840</v>
      </c>
      <c r="AZ57" s="3" t="s">
        <v>74</v>
      </c>
      <c r="BB57" s="3" t="s">
        <v>841</v>
      </c>
      <c r="BC57" s="3" t="s">
        <v>842</v>
      </c>
      <c r="BD57" s="3" t="s">
        <v>843</v>
      </c>
    </row>
    <row r="58" spans="1:56" ht="57.75" customHeight="1" x14ac:dyDescent="0.25">
      <c r="A58" s="7" t="s">
        <v>59</v>
      </c>
      <c r="B58" s="2" t="s">
        <v>844</v>
      </c>
      <c r="C58" s="2" t="s">
        <v>845</v>
      </c>
      <c r="D58" s="2" t="s">
        <v>846</v>
      </c>
      <c r="F58" s="3" t="s">
        <v>59</v>
      </c>
      <c r="G58" s="3" t="s">
        <v>60</v>
      </c>
      <c r="H58" s="3" t="s">
        <v>59</v>
      </c>
      <c r="I58" s="3" t="s">
        <v>59</v>
      </c>
      <c r="J58" s="3" t="s">
        <v>61</v>
      </c>
      <c r="K58" s="2" t="s">
        <v>847</v>
      </c>
      <c r="L58" s="2" t="s">
        <v>848</v>
      </c>
      <c r="M58" s="3" t="s">
        <v>436</v>
      </c>
      <c r="O58" s="3" t="s">
        <v>64</v>
      </c>
      <c r="P58" s="3" t="s">
        <v>467</v>
      </c>
      <c r="Q58" s="2" t="s">
        <v>849</v>
      </c>
      <c r="R58" s="3" t="s">
        <v>67</v>
      </c>
      <c r="S58" s="4">
        <v>5</v>
      </c>
      <c r="T58" s="4">
        <v>5</v>
      </c>
      <c r="U58" s="5" t="s">
        <v>850</v>
      </c>
      <c r="V58" s="5" t="s">
        <v>850</v>
      </c>
      <c r="W58" s="5" t="s">
        <v>851</v>
      </c>
      <c r="X58" s="5" t="s">
        <v>851</v>
      </c>
      <c r="Y58" s="4">
        <v>323</v>
      </c>
      <c r="Z58" s="4">
        <v>222</v>
      </c>
      <c r="AA58" s="4">
        <v>224</v>
      </c>
      <c r="AB58" s="4">
        <v>3</v>
      </c>
      <c r="AC58" s="4">
        <v>3</v>
      </c>
      <c r="AD58" s="4">
        <v>3</v>
      </c>
      <c r="AE58" s="4">
        <v>3</v>
      </c>
      <c r="AF58" s="4">
        <v>0</v>
      </c>
      <c r="AG58" s="4">
        <v>0</v>
      </c>
      <c r="AH58" s="4">
        <v>1</v>
      </c>
      <c r="AI58" s="4">
        <v>1</v>
      </c>
      <c r="AJ58" s="4">
        <v>0</v>
      </c>
      <c r="AK58" s="4">
        <v>0</v>
      </c>
      <c r="AL58" s="4">
        <v>2</v>
      </c>
      <c r="AM58" s="4">
        <v>2</v>
      </c>
      <c r="AN58" s="4">
        <v>0</v>
      </c>
      <c r="AO58" s="4">
        <v>0</v>
      </c>
      <c r="AP58" s="3" t="s">
        <v>59</v>
      </c>
      <c r="AQ58" s="3" t="s">
        <v>69</v>
      </c>
      <c r="AR58" s="6" t="str">
        <f>HYPERLINK("http://catalog.hathitrust.org/Record/000173961","HathiTrust Record")</f>
        <v>HathiTrust Record</v>
      </c>
      <c r="AS58" s="6" t="str">
        <f>HYPERLINK("https://creighton-primo.hosted.exlibrisgroup.com/primo-explore/search?tab=default_tab&amp;search_scope=EVERYTHING&amp;vid=01CRU&amp;lang=en_US&amp;offset=0&amp;query=any,contains,991004544329702656","Catalog Record")</f>
        <v>Catalog Record</v>
      </c>
      <c r="AT58" s="6" t="str">
        <f>HYPERLINK("http://www.worldcat.org/oclc/3912628","WorldCat Record")</f>
        <v>WorldCat Record</v>
      </c>
      <c r="AU58" s="3" t="s">
        <v>852</v>
      </c>
      <c r="AV58" s="3" t="s">
        <v>853</v>
      </c>
      <c r="AW58" s="3" t="s">
        <v>854</v>
      </c>
      <c r="AX58" s="3" t="s">
        <v>854</v>
      </c>
      <c r="AY58" s="3" t="s">
        <v>855</v>
      </c>
      <c r="AZ58" s="3" t="s">
        <v>74</v>
      </c>
      <c r="BB58" s="3" t="s">
        <v>856</v>
      </c>
      <c r="BC58" s="3" t="s">
        <v>857</v>
      </c>
      <c r="BD58" s="3" t="s">
        <v>858</v>
      </c>
    </row>
    <row r="59" spans="1:56" ht="57.75" customHeight="1" x14ac:dyDescent="0.25">
      <c r="A59" s="7" t="s">
        <v>59</v>
      </c>
      <c r="B59" s="2" t="s">
        <v>859</v>
      </c>
      <c r="C59" s="2" t="s">
        <v>860</v>
      </c>
      <c r="D59" s="2" t="s">
        <v>861</v>
      </c>
      <c r="F59" s="3" t="s">
        <v>59</v>
      </c>
      <c r="G59" s="3" t="s">
        <v>60</v>
      </c>
      <c r="H59" s="3" t="s">
        <v>59</v>
      </c>
      <c r="I59" s="3" t="s">
        <v>59</v>
      </c>
      <c r="J59" s="3" t="s">
        <v>61</v>
      </c>
      <c r="K59" s="2" t="s">
        <v>862</v>
      </c>
      <c r="L59" s="2" t="s">
        <v>863</v>
      </c>
      <c r="M59" s="3" t="s">
        <v>864</v>
      </c>
      <c r="O59" s="3" t="s">
        <v>64</v>
      </c>
      <c r="P59" s="3" t="s">
        <v>405</v>
      </c>
      <c r="R59" s="3" t="s">
        <v>67</v>
      </c>
      <c r="S59" s="4">
        <v>4</v>
      </c>
      <c r="T59" s="4">
        <v>4</v>
      </c>
      <c r="U59" s="5" t="s">
        <v>725</v>
      </c>
      <c r="V59" s="5" t="s">
        <v>725</v>
      </c>
      <c r="W59" s="5" t="s">
        <v>575</v>
      </c>
      <c r="X59" s="5" t="s">
        <v>575</v>
      </c>
      <c r="Y59" s="4">
        <v>230</v>
      </c>
      <c r="Z59" s="4">
        <v>94</v>
      </c>
      <c r="AA59" s="4">
        <v>541</v>
      </c>
      <c r="AB59" s="4">
        <v>1</v>
      </c>
      <c r="AC59" s="4">
        <v>5</v>
      </c>
      <c r="AD59" s="4">
        <v>3</v>
      </c>
      <c r="AE59" s="4">
        <v>18</v>
      </c>
      <c r="AF59" s="4">
        <v>0</v>
      </c>
      <c r="AG59" s="4">
        <v>4</v>
      </c>
      <c r="AH59" s="4">
        <v>0</v>
      </c>
      <c r="AI59" s="4">
        <v>4</v>
      </c>
      <c r="AJ59" s="4">
        <v>3</v>
      </c>
      <c r="AK59" s="4">
        <v>9</v>
      </c>
      <c r="AL59" s="4">
        <v>0</v>
      </c>
      <c r="AM59" s="4">
        <v>4</v>
      </c>
      <c r="AN59" s="4">
        <v>0</v>
      </c>
      <c r="AO59" s="4">
        <v>0</v>
      </c>
      <c r="AP59" s="3" t="s">
        <v>59</v>
      </c>
      <c r="AQ59" s="3" t="s">
        <v>69</v>
      </c>
      <c r="AR59" s="6" t="str">
        <f>HYPERLINK("http://catalog.hathitrust.org/Record/009159149","HathiTrust Record")</f>
        <v>HathiTrust Record</v>
      </c>
      <c r="AS59" s="6" t="str">
        <f>HYPERLINK("https://creighton-primo.hosted.exlibrisgroup.com/primo-explore/search?tab=default_tab&amp;search_scope=EVERYTHING&amp;vid=01CRU&amp;lang=en_US&amp;offset=0&amp;query=any,contains,991000629909702656","Catalog Record")</f>
        <v>Catalog Record</v>
      </c>
      <c r="AT59" s="6" t="str">
        <f>HYPERLINK("http://www.worldcat.org/oclc/105670","WorldCat Record")</f>
        <v>WorldCat Record</v>
      </c>
      <c r="AU59" s="3" t="s">
        <v>865</v>
      </c>
      <c r="AV59" s="3" t="s">
        <v>866</v>
      </c>
      <c r="AW59" s="3" t="s">
        <v>867</v>
      </c>
      <c r="AX59" s="3" t="s">
        <v>867</v>
      </c>
      <c r="AY59" s="3" t="s">
        <v>868</v>
      </c>
      <c r="AZ59" s="3" t="s">
        <v>74</v>
      </c>
      <c r="BB59" s="3" t="s">
        <v>869</v>
      </c>
      <c r="BC59" s="3" t="s">
        <v>870</v>
      </c>
      <c r="BD59" s="3" t="s">
        <v>871</v>
      </c>
    </row>
    <row r="60" spans="1:56" ht="57.75" customHeight="1" x14ac:dyDescent="0.25">
      <c r="A60" s="7" t="s">
        <v>59</v>
      </c>
      <c r="B60" s="2" t="s">
        <v>872</v>
      </c>
      <c r="C60" s="2" t="s">
        <v>873</v>
      </c>
      <c r="D60" s="2" t="s">
        <v>874</v>
      </c>
      <c r="F60" s="3" t="s">
        <v>59</v>
      </c>
      <c r="G60" s="3" t="s">
        <v>60</v>
      </c>
      <c r="H60" s="3" t="s">
        <v>59</v>
      </c>
      <c r="I60" s="3" t="s">
        <v>59</v>
      </c>
      <c r="J60" s="3" t="s">
        <v>61</v>
      </c>
      <c r="K60" s="2" t="s">
        <v>875</v>
      </c>
      <c r="L60" s="2" t="s">
        <v>876</v>
      </c>
      <c r="M60" s="3" t="s">
        <v>481</v>
      </c>
      <c r="N60" s="2" t="s">
        <v>877</v>
      </c>
      <c r="O60" s="3" t="s">
        <v>64</v>
      </c>
      <c r="P60" s="3" t="s">
        <v>405</v>
      </c>
      <c r="R60" s="3" t="s">
        <v>67</v>
      </c>
      <c r="S60" s="4">
        <v>16</v>
      </c>
      <c r="T60" s="4">
        <v>16</v>
      </c>
      <c r="U60" s="5" t="s">
        <v>878</v>
      </c>
      <c r="V60" s="5" t="s">
        <v>878</v>
      </c>
      <c r="W60" s="5" t="s">
        <v>879</v>
      </c>
      <c r="X60" s="5" t="s">
        <v>879</v>
      </c>
      <c r="Y60" s="4">
        <v>335</v>
      </c>
      <c r="Z60" s="4">
        <v>223</v>
      </c>
      <c r="AA60" s="4">
        <v>752</v>
      </c>
      <c r="AB60" s="4">
        <v>2</v>
      </c>
      <c r="AC60" s="4">
        <v>7</v>
      </c>
      <c r="AD60" s="4">
        <v>9</v>
      </c>
      <c r="AE60" s="4">
        <v>36</v>
      </c>
      <c r="AF60" s="4">
        <v>4</v>
      </c>
      <c r="AG60" s="4">
        <v>18</v>
      </c>
      <c r="AH60" s="4">
        <v>1</v>
      </c>
      <c r="AI60" s="4">
        <v>3</v>
      </c>
      <c r="AJ60" s="4">
        <v>5</v>
      </c>
      <c r="AK60" s="4">
        <v>17</v>
      </c>
      <c r="AL60" s="4">
        <v>1</v>
      </c>
      <c r="AM60" s="4">
        <v>6</v>
      </c>
      <c r="AN60" s="4">
        <v>0</v>
      </c>
      <c r="AO60" s="4">
        <v>0</v>
      </c>
      <c r="AP60" s="3" t="s">
        <v>59</v>
      </c>
      <c r="AQ60" s="3" t="s">
        <v>59</v>
      </c>
      <c r="AS60" s="6" t="str">
        <f>HYPERLINK("https://creighton-primo.hosted.exlibrisgroup.com/primo-explore/search?tab=default_tab&amp;search_scope=EVERYTHING&amp;vid=01CRU&amp;lang=en_US&amp;offset=0&amp;query=any,contains,991003415829702656","Catalog Record")</f>
        <v>Catalog Record</v>
      </c>
      <c r="AT60" s="6" t="str">
        <f>HYPERLINK("http://www.worldcat.org/oclc/955646","WorldCat Record")</f>
        <v>WorldCat Record</v>
      </c>
      <c r="AU60" s="3" t="s">
        <v>880</v>
      </c>
      <c r="AV60" s="3" t="s">
        <v>881</v>
      </c>
      <c r="AW60" s="3" t="s">
        <v>882</v>
      </c>
      <c r="AX60" s="3" t="s">
        <v>882</v>
      </c>
      <c r="AY60" s="3" t="s">
        <v>883</v>
      </c>
      <c r="AZ60" s="3" t="s">
        <v>74</v>
      </c>
      <c r="BC60" s="3" t="s">
        <v>884</v>
      </c>
      <c r="BD60" s="3" t="s">
        <v>885</v>
      </c>
    </row>
    <row r="61" spans="1:56" ht="57.75" customHeight="1" x14ac:dyDescent="0.25">
      <c r="A61" s="7" t="s">
        <v>59</v>
      </c>
      <c r="B61" s="2" t="s">
        <v>886</v>
      </c>
      <c r="C61" s="2" t="s">
        <v>887</v>
      </c>
      <c r="D61" s="2" t="s">
        <v>888</v>
      </c>
      <c r="F61" s="3" t="s">
        <v>59</v>
      </c>
      <c r="G61" s="3" t="s">
        <v>60</v>
      </c>
      <c r="H61" s="3" t="s">
        <v>59</v>
      </c>
      <c r="I61" s="3" t="s">
        <v>59</v>
      </c>
      <c r="J61" s="3" t="s">
        <v>61</v>
      </c>
      <c r="K61" s="2" t="s">
        <v>889</v>
      </c>
      <c r="L61" s="2" t="s">
        <v>890</v>
      </c>
      <c r="M61" s="3" t="s">
        <v>255</v>
      </c>
      <c r="O61" s="3" t="s">
        <v>64</v>
      </c>
      <c r="P61" s="3" t="s">
        <v>630</v>
      </c>
      <c r="Q61" s="2" t="s">
        <v>891</v>
      </c>
      <c r="R61" s="3" t="s">
        <v>67</v>
      </c>
      <c r="S61" s="4">
        <v>3</v>
      </c>
      <c r="T61" s="4">
        <v>3</v>
      </c>
      <c r="U61" s="5" t="s">
        <v>892</v>
      </c>
      <c r="V61" s="5" t="s">
        <v>892</v>
      </c>
      <c r="W61" s="5" t="s">
        <v>893</v>
      </c>
      <c r="X61" s="5" t="s">
        <v>893</v>
      </c>
      <c r="Y61" s="4">
        <v>373</v>
      </c>
      <c r="Z61" s="4">
        <v>338</v>
      </c>
      <c r="AA61" s="4">
        <v>365</v>
      </c>
      <c r="AB61" s="4">
        <v>2</v>
      </c>
      <c r="AC61" s="4">
        <v>2</v>
      </c>
      <c r="AD61" s="4">
        <v>10</v>
      </c>
      <c r="AE61" s="4">
        <v>10</v>
      </c>
      <c r="AF61" s="4">
        <v>4</v>
      </c>
      <c r="AG61" s="4">
        <v>4</v>
      </c>
      <c r="AH61" s="4">
        <v>1</v>
      </c>
      <c r="AI61" s="4">
        <v>1</v>
      </c>
      <c r="AJ61" s="4">
        <v>5</v>
      </c>
      <c r="AK61" s="4">
        <v>5</v>
      </c>
      <c r="AL61" s="4">
        <v>1</v>
      </c>
      <c r="AM61" s="4">
        <v>1</v>
      </c>
      <c r="AN61" s="4">
        <v>0</v>
      </c>
      <c r="AO61" s="4">
        <v>0</v>
      </c>
      <c r="AP61" s="3" t="s">
        <v>59</v>
      </c>
      <c r="AQ61" s="3" t="s">
        <v>59</v>
      </c>
      <c r="AS61" s="6" t="str">
        <f>HYPERLINK("https://creighton-primo.hosted.exlibrisgroup.com/primo-explore/search?tab=default_tab&amp;search_scope=EVERYTHING&amp;vid=01CRU&amp;lang=en_US&amp;offset=0&amp;query=any,contains,991003496679702656","Catalog Record")</f>
        <v>Catalog Record</v>
      </c>
      <c r="AT61" s="6" t="str">
        <f>HYPERLINK("http://www.worldcat.org/oclc/40153193","WorldCat Record")</f>
        <v>WorldCat Record</v>
      </c>
      <c r="AU61" s="3" t="s">
        <v>894</v>
      </c>
      <c r="AV61" s="3" t="s">
        <v>895</v>
      </c>
      <c r="AW61" s="3" t="s">
        <v>896</v>
      </c>
      <c r="AX61" s="3" t="s">
        <v>896</v>
      </c>
      <c r="AY61" s="3" t="s">
        <v>897</v>
      </c>
      <c r="AZ61" s="3" t="s">
        <v>74</v>
      </c>
      <c r="BB61" s="3" t="s">
        <v>898</v>
      </c>
      <c r="BC61" s="3" t="s">
        <v>899</v>
      </c>
      <c r="BD61" s="3" t="s">
        <v>900</v>
      </c>
    </row>
    <row r="62" spans="1:56" ht="57.75" customHeight="1" x14ac:dyDescent="0.25">
      <c r="A62" s="7" t="s">
        <v>59</v>
      </c>
      <c r="B62" s="2" t="s">
        <v>901</v>
      </c>
      <c r="C62" s="2" t="s">
        <v>902</v>
      </c>
      <c r="D62" s="2" t="s">
        <v>903</v>
      </c>
      <c r="E62" s="3" t="s">
        <v>904</v>
      </c>
      <c r="F62" s="3" t="s">
        <v>69</v>
      </c>
      <c r="G62" s="3" t="s">
        <v>60</v>
      </c>
      <c r="H62" s="3" t="s">
        <v>59</v>
      </c>
      <c r="I62" s="3" t="s">
        <v>59</v>
      </c>
      <c r="J62" s="3" t="s">
        <v>61</v>
      </c>
      <c r="K62" s="2" t="s">
        <v>905</v>
      </c>
      <c r="L62" s="2" t="s">
        <v>906</v>
      </c>
      <c r="M62" s="3" t="s">
        <v>587</v>
      </c>
      <c r="O62" s="3" t="s">
        <v>64</v>
      </c>
      <c r="P62" s="3" t="s">
        <v>467</v>
      </c>
      <c r="R62" s="3" t="s">
        <v>67</v>
      </c>
      <c r="S62" s="4">
        <v>3</v>
      </c>
      <c r="T62" s="4">
        <v>6</v>
      </c>
      <c r="U62" s="5" t="s">
        <v>907</v>
      </c>
      <c r="V62" s="5" t="s">
        <v>908</v>
      </c>
      <c r="W62" s="5" t="s">
        <v>909</v>
      </c>
      <c r="X62" s="5" t="s">
        <v>909</v>
      </c>
      <c r="Y62" s="4">
        <v>669</v>
      </c>
      <c r="Z62" s="4">
        <v>563</v>
      </c>
      <c r="AA62" s="4">
        <v>571</v>
      </c>
      <c r="AB62" s="4">
        <v>5</v>
      </c>
      <c r="AC62" s="4">
        <v>5</v>
      </c>
      <c r="AD62" s="4">
        <v>19</v>
      </c>
      <c r="AE62" s="4">
        <v>19</v>
      </c>
      <c r="AF62" s="4">
        <v>6</v>
      </c>
      <c r="AG62" s="4">
        <v>6</v>
      </c>
      <c r="AH62" s="4">
        <v>4</v>
      </c>
      <c r="AI62" s="4">
        <v>4</v>
      </c>
      <c r="AJ62" s="4">
        <v>10</v>
      </c>
      <c r="AK62" s="4">
        <v>10</v>
      </c>
      <c r="AL62" s="4">
        <v>4</v>
      </c>
      <c r="AM62" s="4">
        <v>4</v>
      </c>
      <c r="AN62" s="4">
        <v>0</v>
      </c>
      <c r="AO62" s="4">
        <v>0</v>
      </c>
      <c r="AP62" s="3" t="s">
        <v>59</v>
      </c>
      <c r="AQ62" s="3" t="s">
        <v>69</v>
      </c>
      <c r="AR62" s="6" t="str">
        <f>HYPERLINK("http://catalog.hathitrust.org/Record/000684338","HathiTrust Record")</f>
        <v>HathiTrust Record</v>
      </c>
      <c r="AS62" s="6" t="str">
        <f>HYPERLINK("https://creighton-primo.hosted.exlibrisgroup.com/primo-explore/search?tab=default_tab&amp;search_scope=EVERYTHING&amp;vid=01CRU&amp;lang=en_US&amp;offset=0&amp;query=any,contains,991002395509702656","Catalog Record")</f>
        <v>Catalog Record</v>
      </c>
      <c r="AT62" s="6" t="str">
        <f>HYPERLINK("http://www.worldcat.org/oclc/334507","WorldCat Record")</f>
        <v>WorldCat Record</v>
      </c>
      <c r="AU62" s="3" t="s">
        <v>910</v>
      </c>
      <c r="AV62" s="3" t="s">
        <v>911</v>
      </c>
      <c r="AW62" s="3" t="s">
        <v>912</v>
      </c>
      <c r="AX62" s="3" t="s">
        <v>912</v>
      </c>
      <c r="AY62" s="3" t="s">
        <v>913</v>
      </c>
      <c r="AZ62" s="3" t="s">
        <v>74</v>
      </c>
      <c r="BB62" s="3" t="s">
        <v>914</v>
      </c>
      <c r="BC62" s="3" t="s">
        <v>915</v>
      </c>
      <c r="BD62" s="3" t="s">
        <v>916</v>
      </c>
    </row>
    <row r="63" spans="1:56" ht="57.75" customHeight="1" x14ac:dyDescent="0.25">
      <c r="A63" s="7" t="s">
        <v>59</v>
      </c>
      <c r="B63" s="2" t="s">
        <v>901</v>
      </c>
      <c r="C63" s="2" t="s">
        <v>902</v>
      </c>
      <c r="D63" s="2" t="s">
        <v>903</v>
      </c>
      <c r="E63" s="3" t="s">
        <v>917</v>
      </c>
      <c r="F63" s="3" t="s">
        <v>69</v>
      </c>
      <c r="G63" s="3" t="s">
        <v>60</v>
      </c>
      <c r="H63" s="3" t="s">
        <v>59</v>
      </c>
      <c r="I63" s="3" t="s">
        <v>59</v>
      </c>
      <c r="J63" s="3" t="s">
        <v>61</v>
      </c>
      <c r="K63" s="2" t="s">
        <v>905</v>
      </c>
      <c r="L63" s="2" t="s">
        <v>906</v>
      </c>
      <c r="M63" s="3" t="s">
        <v>587</v>
      </c>
      <c r="O63" s="3" t="s">
        <v>64</v>
      </c>
      <c r="P63" s="3" t="s">
        <v>467</v>
      </c>
      <c r="R63" s="3" t="s">
        <v>67</v>
      </c>
      <c r="S63" s="4">
        <v>1</v>
      </c>
      <c r="T63" s="4">
        <v>6</v>
      </c>
      <c r="V63" s="5" t="s">
        <v>908</v>
      </c>
      <c r="W63" s="5" t="s">
        <v>909</v>
      </c>
      <c r="X63" s="5" t="s">
        <v>909</v>
      </c>
      <c r="Y63" s="4">
        <v>669</v>
      </c>
      <c r="Z63" s="4">
        <v>563</v>
      </c>
      <c r="AA63" s="4">
        <v>571</v>
      </c>
      <c r="AB63" s="4">
        <v>5</v>
      </c>
      <c r="AC63" s="4">
        <v>5</v>
      </c>
      <c r="AD63" s="4">
        <v>19</v>
      </c>
      <c r="AE63" s="4">
        <v>19</v>
      </c>
      <c r="AF63" s="4">
        <v>6</v>
      </c>
      <c r="AG63" s="4">
        <v>6</v>
      </c>
      <c r="AH63" s="4">
        <v>4</v>
      </c>
      <c r="AI63" s="4">
        <v>4</v>
      </c>
      <c r="AJ63" s="4">
        <v>10</v>
      </c>
      <c r="AK63" s="4">
        <v>10</v>
      </c>
      <c r="AL63" s="4">
        <v>4</v>
      </c>
      <c r="AM63" s="4">
        <v>4</v>
      </c>
      <c r="AN63" s="4">
        <v>0</v>
      </c>
      <c r="AO63" s="4">
        <v>0</v>
      </c>
      <c r="AP63" s="3" t="s">
        <v>59</v>
      </c>
      <c r="AQ63" s="3" t="s">
        <v>69</v>
      </c>
      <c r="AR63" s="6" t="str">
        <f>HYPERLINK("http://catalog.hathitrust.org/Record/000684338","HathiTrust Record")</f>
        <v>HathiTrust Record</v>
      </c>
      <c r="AS63" s="6" t="str">
        <f>HYPERLINK("https://creighton-primo.hosted.exlibrisgroup.com/primo-explore/search?tab=default_tab&amp;search_scope=EVERYTHING&amp;vid=01CRU&amp;lang=en_US&amp;offset=0&amp;query=any,contains,991002395509702656","Catalog Record")</f>
        <v>Catalog Record</v>
      </c>
      <c r="AT63" s="6" t="str">
        <f>HYPERLINK("http://www.worldcat.org/oclc/334507","WorldCat Record")</f>
        <v>WorldCat Record</v>
      </c>
      <c r="AU63" s="3" t="s">
        <v>910</v>
      </c>
      <c r="AV63" s="3" t="s">
        <v>911</v>
      </c>
      <c r="AW63" s="3" t="s">
        <v>912</v>
      </c>
      <c r="AX63" s="3" t="s">
        <v>912</v>
      </c>
      <c r="AY63" s="3" t="s">
        <v>913</v>
      </c>
      <c r="AZ63" s="3" t="s">
        <v>74</v>
      </c>
      <c r="BB63" s="3" t="s">
        <v>914</v>
      </c>
      <c r="BC63" s="3" t="s">
        <v>918</v>
      </c>
      <c r="BD63" s="3" t="s">
        <v>919</v>
      </c>
    </row>
    <row r="64" spans="1:56" ht="57.75" customHeight="1" x14ac:dyDescent="0.25">
      <c r="A64" s="7" t="s">
        <v>59</v>
      </c>
      <c r="B64" s="2" t="s">
        <v>901</v>
      </c>
      <c r="C64" s="2" t="s">
        <v>902</v>
      </c>
      <c r="D64" s="2" t="s">
        <v>903</v>
      </c>
      <c r="E64" s="3" t="s">
        <v>920</v>
      </c>
      <c r="F64" s="3" t="s">
        <v>69</v>
      </c>
      <c r="G64" s="3" t="s">
        <v>60</v>
      </c>
      <c r="H64" s="3" t="s">
        <v>59</v>
      </c>
      <c r="I64" s="3" t="s">
        <v>59</v>
      </c>
      <c r="J64" s="3" t="s">
        <v>61</v>
      </c>
      <c r="K64" s="2" t="s">
        <v>905</v>
      </c>
      <c r="L64" s="2" t="s">
        <v>906</v>
      </c>
      <c r="M64" s="3" t="s">
        <v>587</v>
      </c>
      <c r="O64" s="3" t="s">
        <v>64</v>
      </c>
      <c r="P64" s="3" t="s">
        <v>467</v>
      </c>
      <c r="R64" s="3" t="s">
        <v>67</v>
      </c>
      <c r="S64" s="4">
        <v>0</v>
      </c>
      <c r="T64" s="4">
        <v>6</v>
      </c>
      <c r="V64" s="5" t="s">
        <v>908</v>
      </c>
      <c r="W64" s="5" t="s">
        <v>909</v>
      </c>
      <c r="X64" s="5" t="s">
        <v>909</v>
      </c>
      <c r="Y64" s="4">
        <v>669</v>
      </c>
      <c r="Z64" s="4">
        <v>563</v>
      </c>
      <c r="AA64" s="4">
        <v>571</v>
      </c>
      <c r="AB64" s="4">
        <v>5</v>
      </c>
      <c r="AC64" s="4">
        <v>5</v>
      </c>
      <c r="AD64" s="4">
        <v>19</v>
      </c>
      <c r="AE64" s="4">
        <v>19</v>
      </c>
      <c r="AF64" s="4">
        <v>6</v>
      </c>
      <c r="AG64" s="4">
        <v>6</v>
      </c>
      <c r="AH64" s="4">
        <v>4</v>
      </c>
      <c r="AI64" s="4">
        <v>4</v>
      </c>
      <c r="AJ64" s="4">
        <v>10</v>
      </c>
      <c r="AK64" s="4">
        <v>10</v>
      </c>
      <c r="AL64" s="4">
        <v>4</v>
      </c>
      <c r="AM64" s="4">
        <v>4</v>
      </c>
      <c r="AN64" s="4">
        <v>0</v>
      </c>
      <c r="AO64" s="4">
        <v>0</v>
      </c>
      <c r="AP64" s="3" t="s">
        <v>59</v>
      </c>
      <c r="AQ64" s="3" t="s">
        <v>69</v>
      </c>
      <c r="AR64" s="6" t="str">
        <f>HYPERLINK("http://catalog.hathitrust.org/Record/000684338","HathiTrust Record")</f>
        <v>HathiTrust Record</v>
      </c>
      <c r="AS64" s="6" t="str">
        <f>HYPERLINK("https://creighton-primo.hosted.exlibrisgroup.com/primo-explore/search?tab=default_tab&amp;search_scope=EVERYTHING&amp;vid=01CRU&amp;lang=en_US&amp;offset=0&amp;query=any,contains,991002395509702656","Catalog Record")</f>
        <v>Catalog Record</v>
      </c>
      <c r="AT64" s="6" t="str">
        <f>HYPERLINK("http://www.worldcat.org/oclc/334507","WorldCat Record")</f>
        <v>WorldCat Record</v>
      </c>
      <c r="AU64" s="3" t="s">
        <v>910</v>
      </c>
      <c r="AV64" s="3" t="s">
        <v>911</v>
      </c>
      <c r="AW64" s="3" t="s">
        <v>912</v>
      </c>
      <c r="AX64" s="3" t="s">
        <v>912</v>
      </c>
      <c r="AY64" s="3" t="s">
        <v>913</v>
      </c>
      <c r="AZ64" s="3" t="s">
        <v>74</v>
      </c>
      <c r="BB64" s="3" t="s">
        <v>914</v>
      </c>
      <c r="BC64" s="3" t="s">
        <v>921</v>
      </c>
      <c r="BD64" s="3" t="s">
        <v>922</v>
      </c>
    </row>
    <row r="65" spans="1:56" ht="57.75" customHeight="1" x14ac:dyDescent="0.25">
      <c r="A65" s="7" t="s">
        <v>59</v>
      </c>
      <c r="B65" s="2" t="s">
        <v>901</v>
      </c>
      <c r="C65" s="2" t="s">
        <v>902</v>
      </c>
      <c r="D65" s="2" t="s">
        <v>903</v>
      </c>
      <c r="E65" s="3" t="s">
        <v>923</v>
      </c>
      <c r="F65" s="3" t="s">
        <v>69</v>
      </c>
      <c r="G65" s="3" t="s">
        <v>60</v>
      </c>
      <c r="H65" s="3" t="s">
        <v>59</v>
      </c>
      <c r="I65" s="3" t="s">
        <v>59</v>
      </c>
      <c r="J65" s="3" t="s">
        <v>61</v>
      </c>
      <c r="K65" s="2" t="s">
        <v>905</v>
      </c>
      <c r="L65" s="2" t="s">
        <v>906</v>
      </c>
      <c r="M65" s="3" t="s">
        <v>587</v>
      </c>
      <c r="O65" s="3" t="s">
        <v>64</v>
      </c>
      <c r="P65" s="3" t="s">
        <v>467</v>
      </c>
      <c r="R65" s="3" t="s">
        <v>67</v>
      </c>
      <c r="S65" s="4">
        <v>2</v>
      </c>
      <c r="T65" s="4">
        <v>6</v>
      </c>
      <c r="U65" s="5" t="s">
        <v>908</v>
      </c>
      <c r="V65" s="5" t="s">
        <v>908</v>
      </c>
      <c r="W65" s="5" t="s">
        <v>909</v>
      </c>
      <c r="X65" s="5" t="s">
        <v>909</v>
      </c>
      <c r="Y65" s="4">
        <v>669</v>
      </c>
      <c r="Z65" s="4">
        <v>563</v>
      </c>
      <c r="AA65" s="4">
        <v>571</v>
      </c>
      <c r="AB65" s="4">
        <v>5</v>
      </c>
      <c r="AC65" s="4">
        <v>5</v>
      </c>
      <c r="AD65" s="4">
        <v>19</v>
      </c>
      <c r="AE65" s="4">
        <v>19</v>
      </c>
      <c r="AF65" s="4">
        <v>6</v>
      </c>
      <c r="AG65" s="4">
        <v>6</v>
      </c>
      <c r="AH65" s="4">
        <v>4</v>
      </c>
      <c r="AI65" s="4">
        <v>4</v>
      </c>
      <c r="AJ65" s="4">
        <v>10</v>
      </c>
      <c r="AK65" s="4">
        <v>10</v>
      </c>
      <c r="AL65" s="4">
        <v>4</v>
      </c>
      <c r="AM65" s="4">
        <v>4</v>
      </c>
      <c r="AN65" s="4">
        <v>0</v>
      </c>
      <c r="AO65" s="4">
        <v>0</v>
      </c>
      <c r="AP65" s="3" t="s">
        <v>59</v>
      </c>
      <c r="AQ65" s="3" t="s">
        <v>69</v>
      </c>
      <c r="AR65" s="6" t="str">
        <f>HYPERLINK("http://catalog.hathitrust.org/Record/000684338","HathiTrust Record")</f>
        <v>HathiTrust Record</v>
      </c>
      <c r="AS65" s="6" t="str">
        <f>HYPERLINK("https://creighton-primo.hosted.exlibrisgroup.com/primo-explore/search?tab=default_tab&amp;search_scope=EVERYTHING&amp;vid=01CRU&amp;lang=en_US&amp;offset=0&amp;query=any,contains,991002395509702656","Catalog Record")</f>
        <v>Catalog Record</v>
      </c>
      <c r="AT65" s="6" t="str">
        <f>HYPERLINK("http://www.worldcat.org/oclc/334507","WorldCat Record")</f>
        <v>WorldCat Record</v>
      </c>
      <c r="AU65" s="3" t="s">
        <v>910</v>
      </c>
      <c r="AV65" s="3" t="s">
        <v>911</v>
      </c>
      <c r="AW65" s="3" t="s">
        <v>912</v>
      </c>
      <c r="AX65" s="3" t="s">
        <v>912</v>
      </c>
      <c r="AY65" s="3" t="s">
        <v>913</v>
      </c>
      <c r="AZ65" s="3" t="s">
        <v>74</v>
      </c>
      <c r="BB65" s="3" t="s">
        <v>914</v>
      </c>
      <c r="BC65" s="3" t="s">
        <v>924</v>
      </c>
      <c r="BD65" s="3" t="s">
        <v>925</v>
      </c>
    </row>
    <row r="66" spans="1:56" ht="57.75" customHeight="1" x14ac:dyDescent="0.25">
      <c r="A66" s="7" t="s">
        <v>59</v>
      </c>
      <c r="B66" s="2" t="s">
        <v>926</v>
      </c>
      <c r="C66" s="2" t="s">
        <v>927</v>
      </c>
      <c r="D66" s="2" t="s">
        <v>928</v>
      </c>
      <c r="E66" s="3" t="s">
        <v>904</v>
      </c>
      <c r="F66" s="3" t="s">
        <v>69</v>
      </c>
      <c r="G66" s="3" t="s">
        <v>60</v>
      </c>
      <c r="H66" s="3" t="s">
        <v>59</v>
      </c>
      <c r="I66" s="3" t="s">
        <v>59</v>
      </c>
      <c r="J66" s="3" t="s">
        <v>61</v>
      </c>
      <c r="K66" s="2" t="s">
        <v>929</v>
      </c>
      <c r="L66" s="2" t="s">
        <v>930</v>
      </c>
      <c r="M66" s="3" t="s">
        <v>931</v>
      </c>
      <c r="O66" s="3" t="s">
        <v>64</v>
      </c>
      <c r="P66" s="3" t="s">
        <v>932</v>
      </c>
      <c r="R66" s="3" t="s">
        <v>67</v>
      </c>
      <c r="S66" s="4">
        <v>6</v>
      </c>
      <c r="T66" s="4">
        <v>50</v>
      </c>
      <c r="U66" s="5" t="s">
        <v>933</v>
      </c>
      <c r="V66" s="5" t="s">
        <v>934</v>
      </c>
      <c r="W66" s="5" t="s">
        <v>935</v>
      </c>
      <c r="X66" s="5" t="s">
        <v>935</v>
      </c>
      <c r="Y66" s="4">
        <v>287</v>
      </c>
      <c r="Z66" s="4">
        <v>283</v>
      </c>
      <c r="AA66" s="4">
        <v>327</v>
      </c>
      <c r="AB66" s="4">
        <v>4</v>
      </c>
      <c r="AC66" s="4">
        <v>4</v>
      </c>
      <c r="AD66" s="4">
        <v>2</v>
      </c>
      <c r="AE66" s="4">
        <v>4</v>
      </c>
      <c r="AF66" s="4">
        <v>2</v>
      </c>
      <c r="AG66" s="4">
        <v>3</v>
      </c>
      <c r="AH66" s="4">
        <v>0</v>
      </c>
      <c r="AI66" s="4">
        <v>1</v>
      </c>
      <c r="AJ66" s="4">
        <v>0</v>
      </c>
      <c r="AK66" s="4">
        <v>0</v>
      </c>
      <c r="AL66" s="4">
        <v>0</v>
      </c>
      <c r="AM66" s="4">
        <v>0</v>
      </c>
      <c r="AN66" s="4">
        <v>0</v>
      </c>
      <c r="AO66" s="4">
        <v>0</v>
      </c>
      <c r="AP66" s="3" t="s">
        <v>59</v>
      </c>
      <c r="AQ66" s="3" t="s">
        <v>69</v>
      </c>
      <c r="AR66" s="6" t="str">
        <f t="shared" ref="AR66:AR85" si="0">HYPERLINK("http://catalog.hathitrust.org/Record/009804339","HathiTrust Record")</f>
        <v>HathiTrust Record</v>
      </c>
      <c r="AS66" s="6" t="str">
        <f t="shared" ref="AS66:AS85" si="1">HYPERLINK("https://creighton-primo.hosted.exlibrisgroup.com/primo-explore/search?tab=default_tab&amp;search_scope=EVERYTHING&amp;vid=01CRU&amp;lang=en_US&amp;offset=0&amp;query=any,contains,991004229909702656","Catalog Record")</f>
        <v>Catalog Record</v>
      </c>
      <c r="AT66" s="6" t="str">
        <f t="shared" ref="AT66:AT85" si="2">HYPERLINK("http://www.worldcat.org/oclc/975423","WorldCat Record")</f>
        <v>WorldCat Record</v>
      </c>
      <c r="AU66" s="3" t="s">
        <v>936</v>
      </c>
      <c r="AV66" s="3" t="s">
        <v>937</v>
      </c>
      <c r="AW66" s="3" t="s">
        <v>938</v>
      </c>
      <c r="AX66" s="3" t="s">
        <v>938</v>
      </c>
      <c r="AY66" s="3" t="s">
        <v>939</v>
      </c>
      <c r="AZ66" s="3" t="s">
        <v>74</v>
      </c>
      <c r="BC66" s="3" t="s">
        <v>940</v>
      </c>
      <c r="BD66" s="3" t="s">
        <v>941</v>
      </c>
    </row>
    <row r="67" spans="1:56" ht="57.75" customHeight="1" x14ac:dyDescent="0.25">
      <c r="A67" s="7" t="s">
        <v>59</v>
      </c>
      <c r="B67" s="2" t="s">
        <v>926</v>
      </c>
      <c r="C67" s="2" t="s">
        <v>927</v>
      </c>
      <c r="D67" s="2" t="s">
        <v>928</v>
      </c>
      <c r="E67" s="3" t="s">
        <v>942</v>
      </c>
      <c r="F67" s="3" t="s">
        <v>69</v>
      </c>
      <c r="G67" s="3" t="s">
        <v>60</v>
      </c>
      <c r="H67" s="3" t="s">
        <v>59</v>
      </c>
      <c r="I67" s="3" t="s">
        <v>59</v>
      </c>
      <c r="J67" s="3" t="s">
        <v>61</v>
      </c>
      <c r="K67" s="2" t="s">
        <v>929</v>
      </c>
      <c r="L67" s="2" t="s">
        <v>930</v>
      </c>
      <c r="M67" s="3" t="s">
        <v>931</v>
      </c>
      <c r="O67" s="3" t="s">
        <v>64</v>
      </c>
      <c r="P67" s="3" t="s">
        <v>932</v>
      </c>
      <c r="R67" s="3" t="s">
        <v>67</v>
      </c>
      <c r="S67" s="4">
        <v>3</v>
      </c>
      <c r="T67" s="4">
        <v>50</v>
      </c>
      <c r="V67" s="5" t="s">
        <v>934</v>
      </c>
      <c r="W67" s="5" t="s">
        <v>935</v>
      </c>
      <c r="X67" s="5" t="s">
        <v>935</v>
      </c>
      <c r="Y67" s="4">
        <v>287</v>
      </c>
      <c r="Z67" s="4">
        <v>283</v>
      </c>
      <c r="AA67" s="4">
        <v>327</v>
      </c>
      <c r="AB67" s="4">
        <v>4</v>
      </c>
      <c r="AC67" s="4">
        <v>4</v>
      </c>
      <c r="AD67" s="4">
        <v>2</v>
      </c>
      <c r="AE67" s="4">
        <v>4</v>
      </c>
      <c r="AF67" s="4">
        <v>2</v>
      </c>
      <c r="AG67" s="4">
        <v>3</v>
      </c>
      <c r="AH67" s="4">
        <v>0</v>
      </c>
      <c r="AI67" s="4">
        <v>1</v>
      </c>
      <c r="AJ67" s="4">
        <v>0</v>
      </c>
      <c r="AK67" s="4">
        <v>0</v>
      </c>
      <c r="AL67" s="4">
        <v>0</v>
      </c>
      <c r="AM67" s="4">
        <v>0</v>
      </c>
      <c r="AN67" s="4">
        <v>0</v>
      </c>
      <c r="AO67" s="4">
        <v>0</v>
      </c>
      <c r="AP67" s="3" t="s">
        <v>59</v>
      </c>
      <c r="AQ67" s="3" t="s">
        <v>69</v>
      </c>
      <c r="AR67" s="6" t="str">
        <f t="shared" si="0"/>
        <v>HathiTrust Record</v>
      </c>
      <c r="AS67" s="6" t="str">
        <f t="shared" si="1"/>
        <v>Catalog Record</v>
      </c>
      <c r="AT67" s="6" t="str">
        <f t="shared" si="2"/>
        <v>WorldCat Record</v>
      </c>
      <c r="AU67" s="3" t="s">
        <v>936</v>
      </c>
      <c r="AV67" s="3" t="s">
        <v>937</v>
      </c>
      <c r="AW67" s="3" t="s">
        <v>938</v>
      </c>
      <c r="AX67" s="3" t="s">
        <v>938</v>
      </c>
      <c r="AY67" s="3" t="s">
        <v>939</v>
      </c>
      <c r="AZ67" s="3" t="s">
        <v>74</v>
      </c>
      <c r="BC67" s="3" t="s">
        <v>943</v>
      </c>
      <c r="BD67" s="3" t="s">
        <v>944</v>
      </c>
    </row>
    <row r="68" spans="1:56" ht="57.75" customHeight="1" x14ac:dyDescent="0.25">
      <c r="A68" s="7" t="s">
        <v>59</v>
      </c>
      <c r="B68" s="2" t="s">
        <v>926</v>
      </c>
      <c r="C68" s="2" t="s">
        <v>927</v>
      </c>
      <c r="D68" s="2" t="s">
        <v>928</v>
      </c>
      <c r="E68" s="3" t="s">
        <v>945</v>
      </c>
      <c r="F68" s="3" t="s">
        <v>69</v>
      </c>
      <c r="G68" s="3" t="s">
        <v>60</v>
      </c>
      <c r="H68" s="3" t="s">
        <v>59</v>
      </c>
      <c r="I68" s="3" t="s">
        <v>59</v>
      </c>
      <c r="J68" s="3" t="s">
        <v>61</v>
      </c>
      <c r="K68" s="2" t="s">
        <v>929</v>
      </c>
      <c r="L68" s="2" t="s">
        <v>930</v>
      </c>
      <c r="M68" s="3" t="s">
        <v>931</v>
      </c>
      <c r="O68" s="3" t="s">
        <v>64</v>
      </c>
      <c r="P68" s="3" t="s">
        <v>932</v>
      </c>
      <c r="R68" s="3" t="s">
        <v>67</v>
      </c>
      <c r="S68" s="4">
        <v>0</v>
      </c>
      <c r="T68" s="4">
        <v>50</v>
      </c>
      <c r="V68" s="5" t="s">
        <v>934</v>
      </c>
      <c r="W68" s="5" t="s">
        <v>946</v>
      </c>
      <c r="X68" s="5" t="s">
        <v>935</v>
      </c>
      <c r="Y68" s="4">
        <v>287</v>
      </c>
      <c r="Z68" s="4">
        <v>283</v>
      </c>
      <c r="AA68" s="4">
        <v>327</v>
      </c>
      <c r="AB68" s="4">
        <v>4</v>
      </c>
      <c r="AC68" s="4">
        <v>4</v>
      </c>
      <c r="AD68" s="4">
        <v>2</v>
      </c>
      <c r="AE68" s="4">
        <v>4</v>
      </c>
      <c r="AF68" s="4">
        <v>2</v>
      </c>
      <c r="AG68" s="4">
        <v>3</v>
      </c>
      <c r="AH68" s="4">
        <v>0</v>
      </c>
      <c r="AI68" s="4">
        <v>1</v>
      </c>
      <c r="AJ68" s="4">
        <v>0</v>
      </c>
      <c r="AK68" s="4">
        <v>0</v>
      </c>
      <c r="AL68" s="4">
        <v>0</v>
      </c>
      <c r="AM68" s="4">
        <v>0</v>
      </c>
      <c r="AN68" s="4">
        <v>0</v>
      </c>
      <c r="AO68" s="4">
        <v>0</v>
      </c>
      <c r="AP68" s="3" t="s">
        <v>59</v>
      </c>
      <c r="AQ68" s="3" t="s">
        <v>69</v>
      </c>
      <c r="AR68" s="6" t="str">
        <f t="shared" si="0"/>
        <v>HathiTrust Record</v>
      </c>
      <c r="AS68" s="6" t="str">
        <f t="shared" si="1"/>
        <v>Catalog Record</v>
      </c>
      <c r="AT68" s="6" t="str">
        <f t="shared" si="2"/>
        <v>WorldCat Record</v>
      </c>
      <c r="AU68" s="3" t="s">
        <v>936</v>
      </c>
      <c r="AV68" s="3" t="s">
        <v>937</v>
      </c>
      <c r="AW68" s="3" t="s">
        <v>938</v>
      </c>
      <c r="AX68" s="3" t="s">
        <v>938</v>
      </c>
      <c r="AY68" s="3" t="s">
        <v>939</v>
      </c>
      <c r="AZ68" s="3" t="s">
        <v>74</v>
      </c>
      <c r="BC68" s="3" t="s">
        <v>947</v>
      </c>
      <c r="BD68" s="3" t="s">
        <v>948</v>
      </c>
    </row>
    <row r="69" spans="1:56" ht="57.75" customHeight="1" x14ac:dyDescent="0.25">
      <c r="A69" s="7" t="s">
        <v>59</v>
      </c>
      <c r="B69" s="2" t="s">
        <v>926</v>
      </c>
      <c r="C69" s="2" t="s">
        <v>927</v>
      </c>
      <c r="D69" s="2" t="s">
        <v>928</v>
      </c>
      <c r="E69" s="3" t="s">
        <v>917</v>
      </c>
      <c r="F69" s="3" t="s">
        <v>69</v>
      </c>
      <c r="G69" s="3" t="s">
        <v>60</v>
      </c>
      <c r="H69" s="3" t="s">
        <v>59</v>
      </c>
      <c r="I69" s="3" t="s">
        <v>59</v>
      </c>
      <c r="J69" s="3" t="s">
        <v>61</v>
      </c>
      <c r="K69" s="2" t="s">
        <v>929</v>
      </c>
      <c r="L69" s="2" t="s">
        <v>930</v>
      </c>
      <c r="M69" s="3" t="s">
        <v>931</v>
      </c>
      <c r="O69" s="3" t="s">
        <v>64</v>
      </c>
      <c r="P69" s="3" t="s">
        <v>932</v>
      </c>
      <c r="R69" s="3" t="s">
        <v>67</v>
      </c>
      <c r="S69" s="4">
        <v>6</v>
      </c>
      <c r="T69" s="4">
        <v>50</v>
      </c>
      <c r="U69" s="5" t="s">
        <v>949</v>
      </c>
      <c r="V69" s="5" t="s">
        <v>934</v>
      </c>
      <c r="W69" s="5" t="s">
        <v>935</v>
      </c>
      <c r="X69" s="5" t="s">
        <v>935</v>
      </c>
      <c r="Y69" s="4">
        <v>287</v>
      </c>
      <c r="Z69" s="4">
        <v>283</v>
      </c>
      <c r="AA69" s="4">
        <v>327</v>
      </c>
      <c r="AB69" s="4">
        <v>4</v>
      </c>
      <c r="AC69" s="4">
        <v>4</v>
      </c>
      <c r="AD69" s="4">
        <v>2</v>
      </c>
      <c r="AE69" s="4">
        <v>4</v>
      </c>
      <c r="AF69" s="4">
        <v>2</v>
      </c>
      <c r="AG69" s="4">
        <v>3</v>
      </c>
      <c r="AH69" s="4">
        <v>0</v>
      </c>
      <c r="AI69" s="4">
        <v>1</v>
      </c>
      <c r="AJ69" s="4">
        <v>0</v>
      </c>
      <c r="AK69" s="4">
        <v>0</v>
      </c>
      <c r="AL69" s="4">
        <v>0</v>
      </c>
      <c r="AM69" s="4">
        <v>0</v>
      </c>
      <c r="AN69" s="4">
        <v>0</v>
      </c>
      <c r="AO69" s="4">
        <v>0</v>
      </c>
      <c r="AP69" s="3" t="s">
        <v>59</v>
      </c>
      <c r="AQ69" s="3" t="s">
        <v>69</v>
      </c>
      <c r="AR69" s="6" t="str">
        <f t="shared" si="0"/>
        <v>HathiTrust Record</v>
      </c>
      <c r="AS69" s="6" t="str">
        <f t="shared" si="1"/>
        <v>Catalog Record</v>
      </c>
      <c r="AT69" s="6" t="str">
        <f t="shared" si="2"/>
        <v>WorldCat Record</v>
      </c>
      <c r="AU69" s="3" t="s">
        <v>936</v>
      </c>
      <c r="AV69" s="3" t="s">
        <v>937</v>
      </c>
      <c r="AW69" s="3" t="s">
        <v>938</v>
      </c>
      <c r="AX69" s="3" t="s">
        <v>938</v>
      </c>
      <c r="AY69" s="3" t="s">
        <v>939</v>
      </c>
      <c r="AZ69" s="3" t="s">
        <v>74</v>
      </c>
      <c r="BC69" s="3" t="s">
        <v>950</v>
      </c>
      <c r="BD69" s="3" t="s">
        <v>951</v>
      </c>
    </row>
    <row r="70" spans="1:56" ht="57.75" customHeight="1" x14ac:dyDescent="0.25">
      <c r="A70" s="7" t="s">
        <v>59</v>
      </c>
      <c r="B70" s="2" t="s">
        <v>926</v>
      </c>
      <c r="C70" s="2" t="s">
        <v>927</v>
      </c>
      <c r="D70" s="2" t="s">
        <v>928</v>
      </c>
      <c r="E70" s="3" t="s">
        <v>952</v>
      </c>
      <c r="F70" s="3" t="s">
        <v>69</v>
      </c>
      <c r="G70" s="3" t="s">
        <v>60</v>
      </c>
      <c r="H70" s="3" t="s">
        <v>59</v>
      </c>
      <c r="I70" s="3" t="s">
        <v>59</v>
      </c>
      <c r="J70" s="3" t="s">
        <v>61</v>
      </c>
      <c r="K70" s="2" t="s">
        <v>929</v>
      </c>
      <c r="L70" s="2" t="s">
        <v>930</v>
      </c>
      <c r="M70" s="3" t="s">
        <v>931</v>
      </c>
      <c r="O70" s="3" t="s">
        <v>64</v>
      </c>
      <c r="P70" s="3" t="s">
        <v>932</v>
      </c>
      <c r="R70" s="3" t="s">
        <v>67</v>
      </c>
      <c r="S70" s="4">
        <v>2</v>
      </c>
      <c r="T70" s="4">
        <v>50</v>
      </c>
      <c r="U70" s="5" t="s">
        <v>953</v>
      </c>
      <c r="V70" s="5" t="s">
        <v>934</v>
      </c>
      <c r="W70" s="5" t="s">
        <v>935</v>
      </c>
      <c r="X70" s="5" t="s">
        <v>935</v>
      </c>
      <c r="Y70" s="4">
        <v>287</v>
      </c>
      <c r="Z70" s="4">
        <v>283</v>
      </c>
      <c r="AA70" s="4">
        <v>327</v>
      </c>
      <c r="AB70" s="4">
        <v>4</v>
      </c>
      <c r="AC70" s="4">
        <v>4</v>
      </c>
      <c r="AD70" s="4">
        <v>2</v>
      </c>
      <c r="AE70" s="4">
        <v>4</v>
      </c>
      <c r="AF70" s="4">
        <v>2</v>
      </c>
      <c r="AG70" s="4">
        <v>3</v>
      </c>
      <c r="AH70" s="4">
        <v>0</v>
      </c>
      <c r="AI70" s="4">
        <v>1</v>
      </c>
      <c r="AJ70" s="4">
        <v>0</v>
      </c>
      <c r="AK70" s="4">
        <v>0</v>
      </c>
      <c r="AL70" s="4">
        <v>0</v>
      </c>
      <c r="AM70" s="4">
        <v>0</v>
      </c>
      <c r="AN70" s="4">
        <v>0</v>
      </c>
      <c r="AO70" s="4">
        <v>0</v>
      </c>
      <c r="AP70" s="3" t="s">
        <v>59</v>
      </c>
      <c r="AQ70" s="3" t="s">
        <v>69</v>
      </c>
      <c r="AR70" s="6" t="str">
        <f t="shared" si="0"/>
        <v>HathiTrust Record</v>
      </c>
      <c r="AS70" s="6" t="str">
        <f t="shared" si="1"/>
        <v>Catalog Record</v>
      </c>
      <c r="AT70" s="6" t="str">
        <f t="shared" si="2"/>
        <v>WorldCat Record</v>
      </c>
      <c r="AU70" s="3" t="s">
        <v>936</v>
      </c>
      <c r="AV70" s="3" t="s">
        <v>937</v>
      </c>
      <c r="AW70" s="3" t="s">
        <v>938</v>
      </c>
      <c r="AX70" s="3" t="s">
        <v>938</v>
      </c>
      <c r="AY70" s="3" t="s">
        <v>939</v>
      </c>
      <c r="AZ70" s="3" t="s">
        <v>74</v>
      </c>
      <c r="BC70" s="3" t="s">
        <v>954</v>
      </c>
      <c r="BD70" s="3" t="s">
        <v>955</v>
      </c>
    </row>
    <row r="71" spans="1:56" ht="57.75" customHeight="1" x14ac:dyDescent="0.25">
      <c r="A71" s="7" t="s">
        <v>59</v>
      </c>
      <c r="B71" s="2" t="s">
        <v>926</v>
      </c>
      <c r="C71" s="2" t="s">
        <v>927</v>
      </c>
      <c r="D71" s="2" t="s">
        <v>928</v>
      </c>
      <c r="E71" s="3" t="s">
        <v>956</v>
      </c>
      <c r="F71" s="3" t="s">
        <v>69</v>
      </c>
      <c r="G71" s="3" t="s">
        <v>60</v>
      </c>
      <c r="H71" s="3" t="s">
        <v>59</v>
      </c>
      <c r="I71" s="3" t="s">
        <v>59</v>
      </c>
      <c r="J71" s="3" t="s">
        <v>61</v>
      </c>
      <c r="K71" s="2" t="s">
        <v>929</v>
      </c>
      <c r="L71" s="2" t="s">
        <v>930</v>
      </c>
      <c r="M71" s="3" t="s">
        <v>931</v>
      </c>
      <c r="O71" s="3" t="s">
        <v>64</v>
      </c>
      <c r="P71" s="3" t="s">
        <v>932</v>
      </c>
      <c r="R71" s="3" t="s">
        <v>67</v>
      </c>
      <c r="S71" s="4">
        <v>1</v>
      </c>
      <c r="T71" s="4">
        <v>50</v>
      </c>
      <c r="V71" s="5" t="s">
        <v>934</v>
      </c>
      <c r="W71" s="5" t="s">
        <v>935</v>
      </c>
      <c r="X71" s="5" t="s">
        <v>935</v>
      </c>
      <c r="Y71" s="4">
        <v>287</v>
      </c>
      <c r="Z71" s="4">
        <v>283</v>
      </c>
      <c r="AA71" s="4">
        <v>327</v>
      </c>
      <c r="AB71" s="4">
        <v>4</v>
      </c>
      <c r="AC71" s="4">
        <v>4</v>
      </c>
      <c r="AD71" s="4">
        <v>2</v>
      </c>
      <c r="AE71" s="4">
        <v>4</v>
      </c>
      <c r="AF71" s="4">
        <v>2</v>
      </c>
      <c r="AG71" s="4">
        <v>3</v>
      </c>
      <c r="AH71" s="4">
        <v>0</v>
      </c>
      <c r="AI71" s="4">
        <v>1</v>
      </c>
      <c r="AJ71" s="4">
        <v>0</v>
      </c>
      <c r="AK71" s="4">
        <v>0</v>
      </c>
      <c r="AL71" s="4">
        <v>0</v>
      </c>
      <c r="AM71" s="4">
        <v>0</v>
      </c>
      <c r="AN71" s="4">
        <v>0</v>
      </c>
      <c r="AO71" s="4">
        <v>0</v>
      </c>
      <c r="AP71" s="3" t="s">
        <v>59</v>
      </c>
      <c r="AQ71" s="3" t="s">
        <v>69</v>
      </c>
      <c r="AR71" s="6" t="str">
        <f t="shared" si="0"/>
        <v>HathiTrust Record</v>
      </c>
      <c r="AS71" s="6" t="str">
        <f t="shared" si="1"/>
        <v>Catalog Record</v>
      </c>
      <c r="AT71" s="6" t="str">
        <f t="shared" si="2"/>
        <v>WorldCat Record</v>
      </c>
      <c r="AU71" s="3" t="s">
        <v>936</v>
      </c>
      <c r="AV71" s="3" t="s">
        <v>937</v>
      </c>
      <c r="AW71" s="3" t="s">
        <v>938</v>
      </c>
      <c r="AX71" s="3" t="s">
        <v>938</v>
      </c>
      <c r="AY71" s="3" t="s">
        <v>939</v>
      </c>
      <c r="AZ71" s="3" t="s">
        <v>74</v>
      </c>
      <c r="BC71" s="3" t="s">
        <v>957</v>
      </c>
      <c r="BD71" s="3" t="s">
        <v>958</v>
      </c>
    </row>
    <row r="72" spans="1:56" ht="57.75" customHeight="1" x14ac:dyDescent="0.25">
      <c r="A72" s="7" t="s">
        <v>59</v>
      </c>
      <c r="B72" s="2" t="s">
        <v>926</v>
      </c>
      <c r="C72" s="2" t="s">
        <v>927</v>
      </c>
      <c r="D72" s="2" t="s">
        <v>928</v>
      </c>
      <c r="E72" s="3" t="s">
        <v>959</v>
      </c>
      <c r="F72" s="3" t="s">
        <v>69</v>
      </c>
      <c r="G72" s="3" t="s">
        <v>60</v>
      </c>
      <c r="H72" s="3" t="s">
        <v>59</v>
      </c>
      <c r="I72" s="3" t="s">
        <v>59</v>
      </c>
      <c r="J72" s="3" t="s">
        <v>61</v>
      </c>
      <c r="K72" s="2" t="s">
        <v>929</v>
      </c>
      <c r="L72" s="2" t="s">
        <v>930</v>
      </c>
      <c r="M72" s="3" t="s">
        <v>931</v>
      </c>
      <c r="O72" s="3" t="s">
        <v>64</v>
      </c>
      <c r="P72" s="3" t="s">
        <v>932</v>
      </c>
      <c r="R72" s="3" t="s">
        <v>67</v>
      </c>
      <c r="S72" s="4">
        <v>1</v>
      </c>
      <c r="T72" s="4">
        <v>50</v>
      </c>
      <c r="V72" s="5" t="s">
        <v>934</v>
      </c>
      <c r="W72" s="5" t="s">
        <v>935</v>
      </c>
      <c r="X72" s="5" t="s">
        <v>935</v>
      </c>
      <c r="Y72" s="4">
        <v>287</v>
      </c>
      <c r="Z72" s="4">
        <v>283</v>
      </c>
      <c r="AA72" s="4">
        <v>327</v>
      </c>
      <c r="AB72" s="4">
        <v>4</v>
      </c>
      <c r="AC72" s="4">
        <v>4</v>
      </c>
      <c r="AD72" s="4">
        <v>2</v>
      </c>
      <c r="AE72" s="4">
        <v>4</v>
      </c>
      <c r="AF72" s="4">
        <v>2</v>
      </c>
      <c r="AG72" s="4">
        <v>3</v>
      </c>
      <c r="AH72" s="4">
        <v>0</v>
      </c>
      <c r="AI72" s="4">
        <v>1</v>
      </c>
      <c r="AJ72" s="4">
        <v>0</v>
      </c>
      <c r="AK72" s="4">
        <v>0</v>
      </c>
      <c r="AL72" s="4">
        <v>0</v>
      </c>
      <c r="AM72" s="4">
        <v>0</v>
      </c>
      <c r="AN72" s="4">
        <v>0</v>
      </c>
      <c r="AO72" s="4">
        <v>0</v>
      </c>
      <c r="AP72" s="3" t="s">
        <v>59</v>
      </c>
      <c r="AQ72" s="3" t="s">
        <v>69</v>
      </c>
      <c r="AR72" s="6" t="str">
        <f t="shared" si="0"/>
        <v>HathiTrust Record</v>
      </c>
      <c r="AS72" s="6" t="str">
        <f t="shared" si="1"/>
        <v>Catalog Record</v>
      </c>
      <c r="AT72" s="6" t="str">
        <f t="shared" si="2"/>
        <v>WorldCat Record</v>
      </c>
      <c r="AU72" s="3" t="s">
        <v>936</v>
      </c>
      <c r="AV72" s="3" t="s">
        <v>937</v>
      </c>
      <c r="AW72" s="3" t="s">
        <v>938</v>
      </c>
      <c r="AX72" s="3" t="s">
        <v>938</v>
      </c>
      <c r="AY72" s="3" t="s">
        <v>939</v>
      </c>
      <c r="AZ72" s="3" t="s">
        <v>74</v>
      </c>
      <c r="BC72" s="3" t="s">
        <v>960</v>
      </c>
      <c r="BD72" s="3" t="s">
        <v>961</v>
      </c>
    </row>
    <row r="73" spans="1:56" ht="57.75" customHeight="1" x14ac:dyDescent="0.25">
      <c r="A73" s="7" t="s">
        <v>59</v>
      </c>
      <c r="B73" s="2" t="s">
        <v>926</v>
      </c>
      <c r="C73" s="2" t="s">
        <v>927</v>
      </c>
      <c r="D73" s="2" t="s">
        <v>928</v>
      </c>
      <c r="E73" s="3" t="s">
        <v>962</v>
      </c>
      <c r="F73" s="3" t="s">
        <v>69</v>
      </c>
      <c r="G73" s="3" t="s">
        <v>60</v>
      </c>
      <c r="H73" s="3" t="s">
        <v>59</v>
      </c>
      <c r="I73" s="3" t="s">
        <v>59</v>
      </c>
      <c r="J73" s="3" t="s">
        <v>61</v>
      </c>
      <c r="K73" s="2" t="s">
        <v>929</v>
      </c>
      <c r="L73" s="2" t="s">
        <v>930</v>
      </c>
      <c r="M73" s="3" t="s">
        <v>931</v>
      </c>
      <c r="O73" s="3" t="s">
        <v>64</v>
      </c>
      <c r="P73" s="3" t="s">
        <v>932</v>
      </c>
      <c r="R73" s="3" t="s">
        <v>67</v>
      </c>
      <c r="S73" s="4">
        <v>4</v>
      </c>
      <c r="T73" s="4">
        <v>50</v>
      </c>
      <c r="U73" s="5" t="s">
        <v>963</v>
      </c>
      <c r="V73" s="5" t="s">
        <v>934</v>
      </c>
      <c r="W73" s="5" t="s">
        <v>935</v>
      </c>
      <c r="X73" s="5" t="s">
        <v>935</v>
      </c>
      <c r="Y73" s="4">
        <v>287</v>
      </c>
      <c r="Z73" s="4">
        <v>283</v>
      </c>
      <c r="AA73" s="4">
        <v>327</v>
      </c>
      <c r="AB73" s="4">
        <v>4</v>
      </c>
      <c r="AC73" s="4">
        <v>4</v>
      </c>
      <c r="AD73" s="4">
        <v>2</v>
      </c>
      <c r="AE73" s="4">
        <v>4</v>
      </c>
      <c r="AF73" s="4">
        <v>2</v>
      </c>
      <c r="AG73" s="4">
        <v>3</v>
      </c>
      <c r="AH73" s="4">
        <v>0</v>
      </c>
      <c r="AI73" s="4">
        <v>1</v>
      </c>
      <c r="AJ73" s="4">
        <v>0</v>
      </c>
      <c r="AK73" s="4">
        <v>0</v>
      </c>
      <c r="AL73" s="4">
        <v>0</v>
      </c>
      <c r="AM73" s="4">
        <v>0</v>
      </c>
      <c r="AN73" s="4">
        <v>0</v>
      </c>
      <c r="AO73" s="4">
        <v>0</v>
      </c>
      <c r="AP73" s="3" t="s">
        <v>59</v>
      </c>
      <c r="AQ73" s="3" t="s">
        <v>69</v>
      </c>
      <c r="AR73" s="6" t="str">
        <f t="shared" si="0"/>
        <v>HathiTrust Record</v>
      </c>
      <c r="AS73" s="6" t="str">
        <f t="shared" si="1"/>
        <v>Catalog Record</v>
      </c>
      <c r="AT73" s="6" t="str">
        <f t="shared" si="2"/>
        <v>WorldCat Record</v>
      </c>
      <c r="AU73" s="3" t="s">
        <v>936</v>
      </c>
      <c r="AV73" s="3" t="s">
        <v>937</v>
      </c>
      <c r="AW73" s="3" t="s">
        <v>938</v>
      </c>
      <c r="AX73" s="3" t="s">
        <v>938</v>
      </c>
      <c r="AY73" s="3" t="s">
        <v>939</v>
      </c>
      <c r="AZ73" s="3" t="s">
        <v>74</v>
      </c>
      <c r="BC73" s="3" t="s">
        <v>964</v>
      </c>
      <c r="BD73" s="3" t="s">
        <v>965</v>
      </c>
    </row>
    <row r="74" spans="1:56" ht="57.75" customHeight="1" x14ac:dyDescent="0.25">
      <c r="A74" s="7" t="s">
        <v>59</v>
      </c>
      <c r="B74" s="2" t="s">
        <v>926</v>
      </c>
      <c r="C74" s="2" t="s">
        <v>927</v>
      </c>
      <c r="D74" s="2" t="s">
        <v>928</v>
      </c>
      <c r="E74" s="3" t="s">
        <v>966</v>
      </c>
      <c r="F74" s="3" t="s">
        <v>69</v>
      </c>
      <c r="G74" s="3" t="s">
        <v>60</v>
      </c>
      <c r="H74" s="3" t="s">
        <v>59</v>
      </c>
      <c r="I74" s="3" t="s">
        <v>59</v>
      </c>
      <c r="J74" s="3" t="s">
        <v>61</v>
      </c>
      <c r="K74" s="2" t="s">
        <v>929</v>
      </c>
      <c r="L74" s="2" t="s">
        <v>930</v>
      </c>
      <c r="M74" s="3" t="s">
        <v>931</v>
      </c>
      <c r="O74" s="3" t="s">
        <v>64</v>
      </c>
      <c r="P74" s="3" t="s">
        <v>932</v>
      </c>
      <c r="R74" s="3" t="s">
        <v>67</v>
      </c>
      <c r="S74" s="4">
        <v>2</v>
      </c>
      <c r="T74" s="4">
        <v>50</v>
      </c>
      <c r="V74" s="5" t="s">
        <v>934</v>
      </c>
      <c r="W74" s="5" t="s">
        <v>935</v>
      </c>
      <c r="X74" s="5" t="s">
        <v>935</v>
      </c>
      <c r="Y74" s="4">
        <v>287</v>
      </c>
      <c r="Z74" s="4">
        <v>283</v>
      </c>
      <c r="AA74" s="4">
        <v>327</v>
      </c>
      <c r="AB74" s="4">
        <v>4</v>
      </c>
      <c r="AC74" s="4">
        <v>4</v>
      </c>
      <c r="AD74" s="4">
        <v>2</v>
      </c>
      <c r="AE74" s="4">
        <v>4</v>
      </c>
      <c r="AF74" s="4">
        <v>2</v>
      </c>
      <c r="AG74" s="4">
        <v>3</v>
      </c>
      <c r="AH74" s="4">
        <v>0</v>
      </c>
      <c r="AI74" s="4">
        <v>1</v>
      </c>
      <c r="AJ74" s="4">
        <v>0</v>
      </c>
      <c r="AK74" s="4">
        <v>0</v>
      </c>
      <c r="AL74" s="4">
        <v>0</v>
      </c>
      <c r="AM74" s="4">
        <v>0</v>
      </c>
      <c r="AN74" s="4">
        <v>0</v>
      </c>
      <c r="AO74" s="4">
        <v>0</v>
      </c>
      <c r="AP74" s="3" t="s">
        <v>59</v>
      </c>
      <c r="AQ74" s="3" t="s">
        <v>69</v>
      </c>
      <c r="AR74" s="6" t="str">
        <f t="shared" si="0"/>
        <v>HathiTrust Record</v>
      </c>
      <c r="AS74" s="6" t="str">
        <f t="shared" si="1"/>
        <v>Catalog Record</v>
      </c>
      <c r="AT74" s="6" t="str">
        <f t="shared" si="2"/>
        <v>WorldCat Record</v>
      </c>
      <c r="AU74" s="3" t="s">
        <v>936</v>
      </c>
      <c r="AV74" s="3" t="s">
        <v>937</v>
      </c>
      <c r="AW74" s="3" t="s">
        <v>938</v>
      </c>
      <c r="AX74" s="3" t="s">
        <v>938</v>
      </c>
      <c r="AY74" s="3" t="s">
        <v>939</v>
      </c>
      <c r="AZ74" s="3" t="s">
        <v>74</v>
      </c>
      <c r="BC74" s="3" t="s">
        <v>967</v>
      </c>
      <c r="BD74" s="3" t="s">
        <v>968</v>
      </c>
    </row>
    <row r="75" spans="1:56" ht="57.75" customHeight="1" x14ac:dyDescent="0.25">
      <c r="A75" s="7" t="s">
        <v>59</v>
      </c>
      <c r="B75" s="2" t="s">
        <v>926</v>
      </c>
      <c r="C75" s="2" t="s">
        <v>927</v>
      </c>
      <c r="D75" s="2" t="s">
        <v>928</v>
      </c>
      <c r="E75" s="3" t="s">
        <v>969</v>
      </c>
      <c r="F75" s="3" t="s">
        <v>69</v>
      </c>
      <c r="G75" s="3" t="s">
        <v>60</v>
      </c>
      <c r="H75" s="3" t="s">
        <v>59</v>
      </c>
      <c r="I75" s="3" t="s">
        <v>59</v>
      </c>
      <c r="J75" s="3" t="s">
        <v>61</v>
      </c>
      <c r="K75" s="2" t="s">
        <v>929</v>
      </c>
      <c r="L75" s="2" t="s">
        <v>930</v>
      </c>
      <c r="M75" s="3" t="s">
        <v>931</v>
      </c>
      <c r="O75" s="3" t="s">
        <v>64</v>
      </c>
      <c r="P75" s="3" t="s">
        <v>932</v>
      </c>
      <c r="R75" s="3" t="s">
        <v>67</v>
      </c>
      <c r="S75" s="4">
        <v>0</v>
      </c>
      <c r="T75" s="4">
        <v>50</v>
      </c>
      <c r="V75" s="5" t="s">
        <v>934</v>
      </c>
      <c r="W75" s="5" t="s">
        <v>935</v>
      </c>
      <c r="X75" s="5" t="s">
        <v>935</v>
      </c>
      <c r="Y75" s="4">
        <v>287</v>
      </c>
      <c r="Z75" s="4">
        <v>283</v>
      </c>
      <c r="AA75" s="4">
        <v>327</v>
      </c>
      <c r="AB75" s="4">
        <v>4</v>
      </c>
      <c r="AC75" s="4">
        <v>4</v>
      </c>
      <c r="AD75" s="4">
        <v>2</v>
      </c>
      <c r="AE75" s="4">
        <v>4</v>
      </c>
      <c r="AF75" s="4">
        <v>2</v>
      </c>
      <c r="AG75" s="4">
        <v>3</v>
      </c>
      <c r="AH75" s="4">
        <v>0</v>
      </c>
      <c r="AI75" s="4">
        <v>1</v>
      </c>
      <c r="AJ75" s="4">
        <v>0</v>
      </c>
      <c r="AK75" s="4">
        <v>0</v>
      </c>
      <c r="AL75" s="4">
        <v>0</v>
      </c>
      <c r="AM75" s="4">
        <v>0</v>
      </c>
      <c r="AN75" s="4">
        <v>0</v>
      </c>
      <c r="AO75" s="4">
        <v>0</v>
      </c>
      <c r="AP75" s="3" t="s">
        <v>59</v>
      </c>
      <c r="AQ75" s="3" t="s">
        <v>69</v>
      </c>
      <c r="AR75" s="6" t="str">
        <f t="shared" si="0"/>
        <v>HathiTrust Record</v>
      </c>
      <c r="AS75" s="6" t="str">
        <f t="shared" si="1"/>
        <v>Catalog Record</v>
      </c>
      <c r="AT75" s="6" t="str">
        <f t="shared" si="2"/>
        <v>WorldCat Record</v>
      </c>
      <c r="AU75" s="3" t="s">
        <v>936</v>
      </c>
      <c r="AV75" s="3" t="s">
        <v>937</v>
      </c>
      <c r="AW75" s="3" t="s">
        <v>938</v>
      </c>
      <c r="AX75" s="3" t="s">
        <v>938</v>
      </c>
      <c r="AY75" s="3" t="s">
        <v>939</v>
      </c>
      <c r="AZ75" s="3" t="s">
        <v>74</v>
      </c>
      <c r="BC75" s="3" t="s">
        <v>970</v>
      </c>
      <c r="BD75" s="3" t="s">
        <v>971</v>
      </c>
    </row>
    <row r="76" spans="1:56" ht="57.75" customHeight="1" x14ac:dyDescent="0.25">
      <c r="A76" s="7" t="s">
        <v>59</v>
      </c>
      <c r="B76" s="2" t="s">
        <v>926</v>
      </c>
      <c r="C76" s="2" t="s">
        <v>927</v>
      </c>
      <c r="D76" s="2" t="s">
        <v>928</v>
      </c>
      <c r="E76" s="3" t="s">
        <v>972</v>
      </c>
      <c r="F76" s="3" t="s">
        <v>69</v>
      </c>
      <c r="G76" s="3" t="s">
        <v>60</v>
      </c>
      <c r="H76" s="3" t="s">
        <v>59</v>
      </c>
      <c r="I76" s="3" t="s">
        <v>59</v>
      </c>
      <c r="J76" s="3" t="s">
        <v>61</v>
      </c>
      <c r="K76" s="2" t="s">
        <v>929</v>
      </c>
      <c r="L76" s="2" t="s">
        <v>930</v>
      </c>
      <c r="M76" s="3" t="s">
        <v>931</v>
      </c>
      <c r="O76" s="3" t="s">
        <v>64</v>
      </c>
      <c r="P76" s="3" t="s">
        <v>932</v>
      </c>
      <c r="R76" s="3" t="s">
        <v>67</v>
      </c>
      <c r="S76" s="4">
        <v>3</v>
      </c>
      <c r="T76" s="4">
        <v>50</v>
      </c>
      <c r="U76" s="5" t="s">
        <v>963</v>
      </c>
      <c r="V76" s="5" t="s">
        <v>934</v>
      </c>
      <c r="W76" s="5" t="s">
        <v>935</v>
      </c>
      <c r="X76" s="5" t="s">
        <v>935</v>
      </c>
      <c r="Y76" s="4">
        <v>287</v>
      </c>
      <c r="Z76" s="4">
        <v>283</v>
      </c>
      <c r="AA76" s="4">
        <v>327</v>
      </c>
      <c r="AB76" s="4">
        <v>4</v>
      </c>
      <c r="AC76" s="4">
        <v>4</v>
      </c>
      <c r="AD76" s="4">
        <v>2</v>
      </c>
      <c r="AE76" s="4">
        <v>4</v>
      </c>
      <c r="AF76" s="4">
        <v>2</v>
      </c>
      <c r="AG76" s="4">
        <v>3</v>
      </c>
      <c r="AH76" s="4">
        <v>0</v>
      </c>
      <c r="AI76" s="4">
        <v>1</v>
      </c>
      <c r="AJ76" s="4">
        <v>0</v>
      </c>
      <c r="AK76" s="4">
        <v>0</v>
      </c>
      <c r="AL76" s="4">
        <v>0</v>
      </c>
      <c r="AM76" s="4">
        <v>0</v>
      </c>
      <c r="AN76" s="4">
        <v>0</v>
      </c>
      <c r="AO76" s="4">
        <v>0</v>
      </c>
      <c r="AP76" s="3" t="s">
        <v>59</v>
      </c>
      <c r="AQ76" s="3" t="s">
        <v>69</v>
      </c>
      <c r="AR76" s="6" t="str">
        <f t="shared" si="0"/>
        <v>HathiTrust Record</v>
      </c>
      <c r="AS76" s="6" t="str">
        <f t="shared" si="1"/>
        <v>Catalog Record</v>
      </c>
      <c r="AT76" s="6" t="str">
        <f t="shared" si="2"/>
        <v>WorldCat Record</v>
      </c>
      <c r="AU76" s="3" t="s">
        <v>936</v>
      </c>
      <c r="AV76" s="3" t="s">
        <v>937</v>
      </c>
      <c r="AW76" s="3" t="s">
        <v>938</v>
      </c>
      <c r="AX76" s="3" t="s">
        <v>938</v>
      </c>
      <c r="AY76" s="3" t="s">
        <v>939</v>
      </c>
      <c r="AZ76" s="3" t="s">
        <v>74</v>
      </c>
      <c r="BC76" s="3" t="s">
        <v>973</v>
      </c>
      <c r="BD76" s="3" t="s">
        <v>974</v>
      </c>
    </row>
    <row r="77" spans="1:56" ht="57.75" customHeight="1" x14ac:dyDescent="0.25">
      <c r="A77" s="7" t="s">
        <v>59</v>
      </c>
      <c r="B77" s="2" t="s">
        <v>926</v>
      </c>
      <c r="C77" s="2" t="s">
        <v>927</v>
      </c>
      <c r="D77" s="2" t="s">
        <v>928</v>
      </c>
      <c r="E77" s="3" t="s">
        <v>923</v>
      </c>
      <c r="F77" s="3" t="s">
        <v>69</v>
      </c>
      <c r="G77" s="3" t="s">
        <v>60</v>
      </c>
      <c r="H77" s="3" t="s">
        <v>59</v>
      </c>
      <c r="I77" s="3" t="s">
        <v>59</v>
      </c>
      <c r="J77" s="3" t="s">
        <v>61</v>
      </c>
      <c r="K77" s="2" t="s">
        <v>929</v>
      </c>
      <c r="L77" s="2" t="s">
        <v>930</v>
      </c>
      <c r="M77" s="3" t="s">
        <v>931</v>
      </c>
      <c r="O77" s="3" t="s">
        <v>64</v>
      </c>
      <c r="P77" s="3" t="s">
        <v>932</v>
      </c>
      <c r="R77" s="3" t="s">
        <v>67</v>
      </c>
      <c r="S77" s="4">
        <v>2</v>
      </c>
      <c r="T77" s="4">
        <v>50</v>
      </c>
      <c r="U77" s="5" t="s">
        <v>975</v>
      </c>
      <c r="V77" s="5" t="s">
        <v>934</v>
      </c>
      <c r="W77" s="5" t="s">
        <v>935</v>
      </c>
      <c r="X77" s="5" t="s">
        <v>935</v>
      </c>
      <c r="Y77" s="4">
        <v>287</v>
      </c>
      <c r="Z77" s="4">
        <v>283</v>
      </c>
      <c r="AA77" s="4">
        <v>327</v>
      </c>
      <c r="AB77" s="4">
        <v>4</v>
      </c>
      <c r="AC77" s="4">
        <v>4</v>
      </c>
      <c r="AD77" s="4">
        <v>2</v>
      </c>
      <c r="AE77" s="4">
        <v>4</v>
      </c>
      <c r="AF77" s="4">
        <v>2</v>
      </c>
      <c r="AG77" s="4">
        <v>3</v>
      </c>
      <c r="AH77" s="4">
        <v>0</v>
      </c>
      <c r="AI77" s="4">
        <v>1</v>
      </c>
      <c r="AJ77" s="4">
        <v>0</v>
      </c>
      <c r="AK77" s="4">
        <v>0</v>
      </c>
      <c r="AL77" s="4">
        <v>0</v>
      </c>
      <c r="AM77" s="4">
        <v>0</v>
      </c>
      <c r="AN77" s="4">
        <v>0</v>
      </c>
      <c r="AO77" s="4">
        <v>0</v>
      </c>
      <c r="AP77" s="3" t="s">
        <v>59</v>
      </c>
      <c r="AQ77" s="3" t="s">
        <v>69</v>
      </c>
      <c r="AR77" s="6" t="str">
        <f t="shared" si="0"/>
        <v>HathiTrust Record</v>
      </c>
      <c r="AS77" s="6" t="str">
        <f t="shared" si="1"/>
        <v>Catalog Record</v>
      </c>
      <c r="AT77" s="6" t="str">
        <f t="shared" si="2"/>
        <v>WorldCat Record</v>
      </c>
      <c r="AU77" s="3" t="s">
        <v>936</v>
      </c>
      <c r="AV77" s="3" t="s">
        <v>937</v>
      </c>
      <c r="AW77" s="3" t="s">
        <v>938</v>
      </c>
      <c r="AX77" s="3" t="s">
        <v>938</v>
      </c>
      <c r="AY77" s="3" t="s">
        <v>939</v>
      </c>
      <c r="AZ77" s="3" t="s">
        <v>74</v>
      </c>
      <c r="BC77" s="3" t="s">
        <v>976</v>
      </c>
      <c r="BD77" s="3" t="s">
        <v>977</v>
      </c>
    </row>
    <row r="78" spans="1:56" ht="57.75" customHeight="1" x14ac:dyDescent="0.25">
      <c r="A78" s="7" t="s">
        <v>59</v>
      </c>
      <c r="B78" s="2" t="s">
        <v>926</v>
      </c>
      <c r="C78" s="2" t="s">
        <v>927</v>
      </c>
      <c r="D78" s="2" t="s">
        <v>928</v>
      </c>
      <c r="E78" s="3" t="s">
        <v>920</v>
      </c>
      <c r="F78" s="3" t="s">
        <v>69</v>
      </c>
      <c r="G78" s="3" t="s">
        <v>60</v>
      </c>
      <c r="H78" s="3" t="s">
        <v>59</v>
      </c>
      <c r="I78" s="3" t="s">
        <v>59</v>
      </c>
      <c r="J78" s="3" t="s">
        <v>61</v>
      </c>
      <c r="K78" s="2" t="s">
        <v>929</v>
      </c>
      <c r="L78" s="2" t="s">
        <v>930</v>
      </c>
      <c r="M78" s="3" t="s">
        <v>931</v>
      </c>
      <c r="O78" s="3" t="s">
        <v>64</v>
      </c>
      <c r="P78" s="3" t="s">
        <v>932</v>
      </c>
      <c r="R78" s="3" t="s">
        <v>67</v>
      </c>
      <c r="S78" s="4">
        <v>1</v>
      </c>
      <c r="T78" s="4">
        <v>50</v>
      </c>
      <c r="U78" s="5" t="s">
        <v>978</v>
      </c>
      <c r="V78" s="5" t="s">
        <v>934</v>
      </c>
      <c r="W78" s="5" t="s">
        <v>935</v>
      </c>
      <c r="X78" s="5" t="s">
        <v>935</v>
      </c>
      <c r="Y78" s="4">
        <v>287</v>
      </c>
      <c r="Z78" s="4">
        <v>283</v>
      </c>
      <c r="AA78" s="4">
        <v>327</v>
      </c>
      <c r="AB78" s="4">
        <v>4</v>
      </c>
      <c r="AC78" s="4">
        <v>4</v>
      </c>
      <c r="AD78" s="4">
        <v>2</v>
      </c>
      <c r="AE78" s="4">
        <v>4</v>
      </c>
      <c r="AF78" s="4">
        <v>2</v>
      </c>
      <c r="AG78" s="4">
        <v>3</v>
      </c>
      <c r="AH78" s="4">
        <v>0</v>
      </c>
      <c r="AI78" s="4">
        <v>1</v>
      </c>
      <c r="AJ78" s="4">
        <v>0</v>
      </c>
      <c r="AK78" s="4">
        <v>0</v>
      </c>
      <c r="AL78" s="4">
        <v>0</v>
      </c>
      <c r="AM78" s="4">
        <v>0</v>
      </c>
      <c r="AN78" s="4">
        <v>0</v>
      </c>
      <c r="AO78" s="4">
        <v>0</v>
      </c>
      <c r="AP78" s="3" t="s">
        <v>59</v>
      </c>
      <c r="AQ78" s="3" t="s">
        <v>69</v>
      </c>
      <c r="AR78" s="6" t="str">
        <f t="shared" si="0"/>
        <v>HathiTrust Record</v>
      </c>
      <c r="AS78" s="6" t="str">
        <f t="shared" si="1"/>
        <v>Catalog Record</v>
      </c>
      <c r="AT78" s="6" t="str">
        <f t="shared" si="2"/>
        <v>WorldCat Record</v>
      </c>
      <c r="AU78" s="3" t="s">
        <v>936</v>
      </c>
      <c r="AV78" s="3" t="s">
        <v>937</v>
      </c>
      <c r="AW78" s="3" t="s">
        <v>938</v>
      </c>
      <c r="AX78" s="3" t="s">
        <v>938</v>
      </c>
      <c r="AY78" s="3" t="s">
        <v>939</v>
      </c>
      <c r="AZ78" s="3" t="s">
        <v>74</v>
      </c>
      <c r="BC78" s="3" t="s">
        <v>979</v>
      </c>
      <c r="BD78" s="3" t="s">
        <v>980</v>
      </c>
    </row>
    <row r="79" spans="1:56" ht="57.75" customHeight="1" x14ac:dyDescent="0.25">
      <c r="A79" s="7" t="s">
        <v>59</v>
      </c>
      <c r="B79" s="2" t="s">
        <v>926</v>
      </c>
      <c r="C79" s="2" t="s">
        <v>927</v>
      </c>
      <c r="D79" s="2" t="s">
        <v>928</v>
      </c>
      <c r="E79" s="3" t="s">
        <v>981</v>
      </c>
      <c r="F79" s="3" t="s">
        <v>69</v>
      </c>
      <c r="G79" s="3" t="s">
        <v>60</v>
      </c>
      <c r="H79" s="3" t="s">
        <v>59</v>
      </c>
      <c r="I79" s="3" t="s">
        <v>59</v>
      </c>
      <c r="J79" s="3" t="s">
        <v>61</v>
      </c>
      <c r="K79" s="2" t="s">
        <v>929</v>
      </c>
      <c r="L79" s="2" t="s">
        <v>930</v>
      </c>
      <c r="M79" s="3" t="s">
        <v>931</v>
      </c>
      <c r="O79" s="3" t="s">
        <v>64</v>
      </c>
      <c r="P79" s="3" t="s">
        <v>932</v>
      </c>
      <c r="R79" s="3" t="s">
        <v>67</v>
      </c>
      <c r="S79" s="4">
        <v>0</v>
      </c>
      <c r="T79" s="4">
        <v>50</v>
      </c>
      <c r="V79" s="5" t="s">
        <v>934</v>
      </c>
      <c r="W79" s="5" t="s">
        <v>935</v>
      </c>
      <c r="X79" s="5" t="s">
        <v>935</v>
      </c>
      <c r="Y79" s="4">
        <v>287</v>
      </c>
      <c r="Z79" s="4">
        <v>283</v>
      </c>
      <c r="AA79" s="4">
        <v>327</v>
      </c>
      <c r="AB79" s="4">
        <v>4</v>
      </c>
      <c r="AC79" s="4">
        <v>4</v>
      </c>
      <c r="AD79" s="4">
        <v>2</v>
      </c>
      <c r="AE79" s="4">
        <v>4</v>
      </c>
      <c r="AF79" s="4">
        <v>2</v>
      </c>
      <c r="AG79" s="4">
        <v>3</v>
      </c>
      <c r="AH79" s="4">
        <v>0</v>
      </c>
      <c r="AI79" s="4">
        <v>1</v>
      </c>
      <c r="AJ79" s="4">
        <v>0</v>
      </c>
      <c r="AK79" s="4">
        <v>0</v>
      </c>
      <c r="AL79" s="4">
        <v>0</v>
      </c>
      <c r="AM79" s="4">
        <v>0</v>
      </c>
      <c r="AN79" s="4">
        <v>0</v>
      </c>
      <c r="AO79" s="4">
        <v>0</v>
      </c>
      <c r="AP79" s="3" t="s">
        <v>59</v>
      </c>
      <c r="AQ79" s="3" t="s">
        <v>69</v>
      </c>
      <c r="AR79" s="6" t="str">
        <f t="shared" si="0"/>
        <v>HathiTrust Record</v>
      </c>
      <c r="AS79" s="6" t="str">
        <f t="shared" si="1"/>
        <v>Catalog Record</v>
      </c>
      <c r="AT79" s="6" t="str">
        <f t="shared" si="2"/>
        <v>WorldCat Record</v>
      </c>
      <c r="AU79" s="3" t="s">
        <v>936</v>
      </c>
      <c r="AV79" s="3" t="s">
        <v>937</v>
      </c>
      <c r="AW79" s="3" t="s">
        <v>938</v>
      </c>
      <c r="AX79" s="3" t="s">
        <v>938</v>
      </c>
      <c r="AY79" s="3" t="s">
        <v>939</v>
      </c>
      <c r="AZ79" s="3" t="s">
        <v>74</v>
      </c>
      <c r="BC79" s="3" t="s">
        <v>982</v>
      </c>
      <c r="BD79" s="3" t="s">
        <v>983</v>
      </c>
    </row>
    <row r="80" spans="1:56" ht="57.75" customHeight="1" x14ac:dyDescent="0.25">
      <c r="A80" s="7" t="s">
        <v>59</v>
      </c>
      <c r="B80" s="2" t="s">
        <v>926</v>
      </c>
      <c r="C80" s="2" t="s">
        <v>927</v>
      </c>
      <c r="D80" s="2" t="s">
        <v>928</v>
      </c>
      <c r="E80" s="3" t="s">
        <v>984</v>
      </c>
      <c r="F80" s="3" t="s">
        <v>69</v>
      </c>
      <c r="G80" s="3" t="s">
        <v>60</v>
      </c>
      <c r="H80" s="3" t="s">
        <v>59</v>
      </c>
      <c r="I80" s="3" t="s">
        <v>59</v>
      </c>
      <c r="J80" s="3" t="s">
        <v>61</v>
      </c>
      <c r="K80" s="2" t="s">
        <v>929</v>
      </c>
      <c r="L80" s="2" t="s">
        <v>930</v>
      </c>
      <c r="M80" s="3" t="s">
        <v>931</v>
      </c>
      <c r="O80" s="3" t="s">
        <v>64</v>
      </c>
      <c r="P80" s="3" t="s">
        <v>932</v>
      </c>
      <c r="R80" s="3" t="s">
        <v>67</v>
      </c>
      <c r="S80" s="4">
        <v>4</v>
      </c>
      <c r="T80" s="4">
        <v>50</v>
      </c>
      <c r="U80" s="5" t="s">
        <v>934</v>
      </c>
      <c r="V80" s="5" t="s">
        <v>934</v>
      </c>
      <c r="W80" s="5" t="s">
        <v>935</v>
      </c>
      <c r="X80" s="5" t="s">
        <v>935</v>
      </c>
      <c r="Y80" s="4">
        <v>287</v>
      </c>
      <c r="Z80" s="4">
        <v>283</v>
      </c>
      <c r="AA80" s="4">
        <v>327</v>
      </c>
      <c r="AB80" s="4">
        <v>4</v>
      </c>
      <c r="AC80" s="4">
        <v>4</v>
      </c>
      <c r="AD80" s="4">
        <v>2</v>
      </c>
      <c r="AE80" s="4">
        <v>4</v>
      </c>
      <c r="AF80" s="4">
        <v>2</v>
      </c>
      <c r="AG80" s="4">
        <v>3</v>
      </c>
      <c r="AH80" s="4">
        <v>0</v>
      </c>
      <c r="AI80" s="4">
        <v>1</v>
      </c>
      <c r="AJ80" s="4">
        <v>0</v>
      </c>
      <c r="AK80" s="4">
        <v>0</v>
      </c>
      <c r="AL80" s="4">
        <v>0</v>
      </c>
      <c r="AM80" s="4">
        <v>0</v>
      </c>
      <c r="AN80" s="4">
        <v>0</v>
      </c>
      <c r="AO80" s="4">
        <v>0</v>
      </c>
      <c r="AP80" s="3" t="s">
        <v>59</v>
      </c>
      <c r="AQ80" s="3" t="s">
        <v>69</v>
      </c>
      <c r="AR80" s="6" t="str">
        <f t="shared" si="0"/>
        <v>HathiTrust Record</v>
      </c>
      <c r="AS80" s="6" t="str">
        <f t="shared" si="1"/>
        <v>Catalog Record</v>
      </c>
      <c r="AT80" s="6" t="str">
        <f t="shared" si="2"/>
        <v>WorldCat Record</v>
      </c>
      <c r="AU80" s="3" t="s">
        <v>936</v>
      </c>
      <c r="AV80" s="3" t="s">
        <v>937</v>
      </c>
      <c r="AW80" s="3" t="s">
        <v>938</v>
      </c>
      <c r="AX80" s="3" t="s">
        <v>938</v>
      </c>
      <c r="AY80" s="3" t="s">
        <v>939</v>
      </c>
      <c r="AZ80" s="3" t="s">
        <v>74</v>
      </c>
      <c r="BC80" s="3" t="s">
        <v>985</v>
      </c>
      <c r="BD80" s="3" t="s">
        <v>986</v>
      </c>
    </row>
    <row r="81" spans="1:56" ht="57.75" customHeight="1" x14ac:dyDescent="0.25">
      <c r="A81" s="7" t="s">
        <v>59</v>
      </c>
      <c r="B81" s="2" t="s">
        <v>926</v>
      </c>
      <c r="C81" s="2" t="s">
        <v>927</v>
      </c>
      <c r="D81" s="2" t="s">
        <v>928</v>
      </c>
      <c r="E81" s="3" t="s">
        <v>987</v>
      </c>
      <c r="F81" s="3" t="s">
        <v>69</v>
      </c>
      <c r="G81" s="3" t="s">
        <v>60</v>
      </c>
      <c r="H81" s="3" t="s">
        <v>59</v>
      </c>
      <c r="I81" s="3" t="s">
        <v>59</v>
      </c>
      <c r="J81" s="3" t="s">
        <v>61</v>
      </c>
      <c r="K81" s="2" t="s">
        <v>929</v>
      </c>
      <c r="L81" s="2" t="s">
        <v>930</v>
      </c>
      <c r="M81" s="3" t="s">
        <v>931</v>
      </c>
      <c r="O81" s="3" t="s">
        <v>64</v>
      </c>
      <c r="P81" s="3" t="s">
        <v>932</v>
      </c>
      <c r="R81" s="3" t="s">
        <v>67</v>
      </c>
      <c r="S81" s="4">
        <v>3</v>
      </c>
      <c r="T81" s="4">
        <v>50</v>
      </c>
      <c r="U81" s="5" t="s">
        <v>975</v>
      </c>
      <c r="V81" s="5" t="s">
        <v>934</v>
      </c>
      <c r="W81" s="5" t="s">
        <v>935</v>
      </c>
      <c r="X81" s="5" t="s">
        <v>935</v>
      </c>
      <c r="Y81" s="4">
        <v>287</v>
      </c>
      <c r="Z81" s="4">
        <v>283</v>
      </c>
      <c r="AA81" s="4">
        <v>327</v>
      </c>
      <c r="AB81" s="4">
        <v>4</v>
      </c>
      <c r="AC81" s="4">
        <v>4</v>
      </c>
      <c r="AD81" s="4">
        <v>2</v>
      </c>
      <c r="AE81" s="4">
        <v>4</v>
      </c>
      <c r="AF81" s="4">
        <v>2</v>
      </c>
      <c r="AG81" s="4">
        <v>3</v>
      </c>
      <c r="AH81" s="4">
        <v>0</v>
      </c>
      <c r="AI81" s="4">
        <v>1</v>
      </c>
      <c r="AJ81" s="4">
        <v>0</v>
      </c>
      <c r="AK81" s="4">
        <v>0</v>
      </c>
      <c r="AL81" s="4">
        <v>0</v>
      </c>
      <c r="AM81" s="4">
        <v>0</v>
      </c>
      <c r="AN81" s="4">
        <v>0</v>
      </c>
      <c r="AO81" s="4">
        <v>0</v>
      </c>
      <c r="AP81" s="3" t="s">
        <v>59</v>
      </c>
      <c r="AQ81" s="3" t="s">
        <v>69</v>
      </c>
      <c r="AR81" s="6" t="str">
        <f t="shared" si="0"/>
        <v>HathiTrust Record</v>
      </c>
      <c r="AS81" s="6" t="str">
        <f t="shared" si="1"/>
        <v>Catalog Record</v>
      </c>
      <c r="AT81" s="6" t="str">
        <f t="shared" si="2"/>
        <v>WorldCat Record</v>
      </c>
      <c r="AU81" s="3" t="s">
        <v>936</v>
      </c>
      <c r="AV81" s="3" t="s">
        <v>937</v>
      </c>
      <c r="AW81" s="3" t="s">
        <v>938</v>
      </c>
      <c r="AX81" s="3" t="s">
        <v>938</v>
      </c>
      <c r="AY81" s="3" t="s">
        <v>939</v>
      </c>
      <c r="AZ81" s="3" t="s">
        <v>74</v>
      </c>
      <c r="BC81" s="3" t="s">
        <v>988</v>
      </c>
      <c r="BD81" s="3" t="s">
        <v>989</v>
      </c>
    </row>
    <row r="82" spans="1:56" ht="57.75" customHeight="1" x14ac:dyDescent="0.25">
      <c r="A82" s="7" t="s">
        <v>59</v>
      </c>
      <c r="B82" s="2" t="s">
        <v>926</v>
      </c>
      <c r="C82" s="2" t="s">
        <v>927</v>
      </c>
      <c r="D82" s="2" t="s">
        <v>928</v>
      </c>
      <c r="E82" s="3" t="s">
        <v>990</v>
      </c>
      <c r="F82" s="3" t="s">
        <v>69</v>
      </c>
      <c r="G82" s="3" t="s">
        <v>60</v>
      </c>
      <c r="H82" s="3" t="s">
        <v>59</v>
      </c>
      <c r="I82" s="3" t="s">
        <v>59</v>
      </c>
      <c r="J82" s="3" t="s">
        <v>61</v>
      </c>
      <c r="K82" s="2" t="s">
        <v>929</v>
      </c>
      <c r="L82" s="2" t="s">
        <v>930</v>
      </c>
      <c r="M82" s="3" t="s">
        <v>931</v>
      </c>
      <c r="O82" s="3" t="s">
        <v>64</v>
      </c>
      <c r="P82" s="3" t="s">
        <v>932</v>
      </c>
      <c r="R82" s="3" t="s">
        <v>67</v>
      </c>
      <c r="S82" s="4">
        <v>3</v>
      </c>
      <c r="T82" s="4">
        <v>50</v>
      </c>
      <c r="U82" s="5" t="s">
        <v>934</v>
      </c>
      <c r="V82" s="5" t="s">
        <v>934</v>
      </c>
      <c r="W82" s="5" t="s">
        <v>935</v>
      </c>
      <c r="X82" s="5" t="s">
        <v>935</v>
      </c>
      <c r="Y82" s="4">
        <v>287</v>
      </c>
      <c r="Z82" s="4">
        <v>283</v>
      </c>
      <c r="AA82" s="4">
        <v>327</v>
      </c>
      <c r="AB82" s="4">
        <v>4</v>
      </c>
      <c r="AC82" s="4">
        <v>4</v>
      </c>
      <c r="AD82" s="4">
        <v>2</v>
      </c>
      <c r="AE82" s="4">
        <v>4</v>
      </c>
      <c r="AF82" s="4">
        <v>2</v>
      </c>
      <c r="AG82" s="4">
        <v>3</v>
      </c>
      <c r="AH82" s="4">
        <v>0</v>
      </c>
      <c r="AI82" s="4">
        <v>1</v>
      </c>
      <c r="AJ82" s="4">
        <v>0</v>
      </c>
      <c r="AK82" s="4">
        <v>0</v>
      </c>
      <c r="AL82" s="4">
        <v>0</v>
      </c>
      <c r="AM82" s="4">
        <v>0</v>
      </c>
      <c r="AN82" s="4">
        <v>0</v>
      </c>
      <c r="AO82" s="4">
        <v>0</v>
      </c>
      <c r="AP82" s="3" t="s">
        <v>59</v>
      </c>
      <c r="AQ82" s="3" t="s">
        <v>69</v>
      </c>
      <c r="AR82" s="6" t="str">
        <f t="shared" si="0"/>
        <v>HathiTrust Record</v>
      </c>
      <c r="AS82" s="6" t="str">
        <f t="shared" si="1"/>
        <v>Catalog Record</v>
      </c>
      <c r="AT82" s="6" t="str">
        <f t="shared" si="2"/>
        <v>WorldCat Record</v>
      </c>
      <c r="AU82" s="3" t="s">
        <v>936</v>
      </c>
      <c r="AV82" s="3" t="s">
        <v>937</v>
      </c>
      <c r="AW82" s="3" t="s">
        <v>938</v>
      </c>
      <c r="AX82" s="3" t="s">
        <v>938</v>
      </c>
      <c r="AY82" s="3" t="s">
        <v>939</v>
      </c>
      <c r="AZ82" s="3" t="s">
        <v>74</v>
      </c>
      <c r="BC82" s="3" t="s">
        <v>991</v>
      </c>
      <c r="BD82" s="3" t="s">
        <v>992</v>
      </c>
    </row>
    <row r="83" spans="1:56" ht="57.75" customHeight="1" x14ac:dyDescent="0.25">
      <c r="A83" s="7" t="s">
        <v>59</v>
      </c>
      <c r="B83" s="2" t="s">
        <v>926</v>
      </c>
      <c r="C83" s="2" t="s">
        <v>927</v>
      </c>
      <c r="D83" s="2" t="s">
        <v>928</v>
      </c>
      <c r="E83" s="3" t="s">
        <v>993</v>
      </c>
      <c r="F83" s="3" t="s">
        <v>69</v>
      </c>
      <c r="G83" s="3" t="s">
        <v>60</v>
      </c>
      <c r="H83" s="3" t="s">
        <v>59</v>
      </c>
      <c r="I83" s="3" t="s">
        <v>59</v>
      </c>
      <c r="J83" s="3" t="s">
        <v>61</v>
      </c>
      <c r="K83" s="2" t="s">
        <v>929</v>
      </c>
      <c r="L83" s="2" t="s">
        <v>930</v>
      </c>
      <c r="M83" s="3" t="s">
        <v>931</v>
      </c>
      <c r="O83" s="3" t="s">
        <v>64</v>
      </c>
      <c r="P83" s="3" t="s">
        <v>932</v>
      </c>
      <c r="R83" s="3" t="s">
        <v>67</v>
      </c>
      <c r="S83" s="4">
        <v>0</v>
      </c>
      <c r="T83" s="4">
        <v>50</v>
      </c>
      <c r="V83" s="5" t="s">
        <v>934</v>
      </c>
      <c r="W83" s="5" t="s">
        <v>935</v>
      </c>
      <c r="X83" s="5" t="s">
        <v>935</v>
      </c>
      <c r="Y83" s="4">
        <v>287</v>
      </c>
      <c r="Z83" s="4">
        <v>283</v>
      </c>
      <c r="AA83" s="4">
        <v>327</v>
      </c>
      <c r="AB83" s="4">
        <v>4</v>
      </c>
      <c r="AC83" s="4">
        <v>4</v>
      </c>
      <c r="AD83" s="4">
        <v>2</v>
      </c>
      <c r="AE83" s="4">
        <v>4</v>
      </c>
      <c r="AF83" s="4">
        <v>2</v>
      </c>
      <c r="AG83" s="4">
        <v>3</v>
      </c>
      <c r="AH83" s="4">
        <v>0</v>
      </c>
      <c r="AI83" s="4">
        <v>1</v>
      </c>
      <c r="AJ83" s="4">
        <v>0</v>
      </c>
      <c r="AK83" s="4">
        <v>0</v>
      </c>
      <c r="AL83" s="4">
        <v>0</v>
      </c>
      <c r="AM83" s="4">
        <v>0</v>
      </c>
      <c r="AN83" s="4">
        <v>0</v>
      </c>
      <c r="AO83" s="4">
        <v>0</v>
      </c>
      <c r="AP83" s="3" t="s">
        <v>59</v>
      </c>
      <c r="AQ83" s="3" t="s">
        <v>69</v>
      </c>
      <c r="AR83" s="6" t="str">
        <f t="shared" si="0"/>
        <v>HathiTrust Record</v>
      </c>
      <c r="AS83" s="6" t="str">
        <f t="shared" si="1"/>
        <v>Catalog Record</v>
      </c>
      <c r="AT83" s="6" t="str">
        <f t="shared" si="2"/>
        <v>WorldCat Record</v>
      </c>
      <c r="AU83" s="3" t="s">
        <v>936</v>
      </c>
      <c r="AV83" s="3" t="s">
        <v>937</v>
      </c>
      <c r="AW83" s="3" t="s">
        <v>938</v>
      </c>
      <c r="AX83" s="3" t="s">
        <v>938</v>
      </c>
      <c r="AY83" s="3" t="s">
        <v>939</v>
      </c>
      <c r="AZ83" s="3" t="s">
        <v>74</v>
      </c>
      <c r="BC83" s="3" t="s">
        <v>994</v>
      </c>
      <c r="BD83" s="3" t="s">
        <v>995</v>
      </c>
    </row>
    <row r="84" spans="1:56" ht="57.75" customHeight="1" x14ac:dyDescent="0.25">
      <c r="A84" s="7" t="s">
        <v>59</v>
      </c>
      <c r="B84" s="2" t="s">
        <v>926</v>
      </c>
      <c r="C84" s="2" t="s">
        <v>927</v>
      </c>
      <c r="D84" s="2" t="s">
        <v>928</v>
      </c>
      <c r="E84" s="3" t="s">
        <v>996</v>
      </c>
      <c r="F84" s="3" t="s">
        <v>69</v>
      </c>
      <c r="G84" s="3" t="s">
        <v>60</v>
      </c>
      <c r="H84" s="3" t="s">
        <v>59</v>
      </c>
      <c r="I84" s="3" t="s">
        <v>59</v>
      </c>
      <c r="J84" s="3" t="s">
        <v>61</v>
      </c>
      <c r="K84" s="2" t="s">
        <v>929</v>
      </c>
      <c r="L84" s="2" t="s">
        <v>930</v>
      </c>
      <c r="M84" s="3" t="s">
        <v>931</v>
      </c>
      <c r="O84" s="3" t="s">
        <v>64</v>
      </c>
      <c r="P84" s="3" t="s">
        <v>932</v>
      </c>
      <c r="R84" s="3" t="s">
        <v>67</v>
      </c>
      <c r="S84" s="4">
        <v>8</v>
      </c>
      <c r="T84" s="4">
        <v>50</v>
      </c>
      <c r="U84" s="5" t="s">
        <v>997</v>
      </c>
      <c r="V84" s="5" t="s">
        <v>934</v>
      </c>
      <c r="W84" s="5" t="s">
        <v>935</v>
      </c>
      <c r="X84" s="5" t="s">
        <v>935</v>
      </c>
      <c r="Y84" s="4">
        <v>287</v>
      </c>
      <c r="Z84" s="4">
        <v>283</v>
      </c>
      <c r="AA84" s="4">
        <v>327</v>
      </c>
      <c r="AB84" s="4">
        <v>4</v>
      </c>
      <c r="AC84" s="4">
        <v>4</v>
      </c>
      <c r="AD84" s="4">
        <v>2</v>
      </c>
      <c r="AE84" s="4">
        <v>4</v>
      </c>
      <c r="AF84" s="4">
        <v>2</v>
      </c>
      <c r="AG84" s="4">
        <v>3</v>
      </c>
      <c r="AH84" s="4">
        <v>0</v>
      </c>
      <c r="AI84" s="4">
        <v>1</v>
      </c>
      <c r="AJ84" s="4">
        <v>0</v>
      </c>
      <c r="AK84" s="4">
        <v>0</v>
      </c>
      <c r="AL84" s="4">
        <v>0</v>
      </c>
      <c r="AM84" s="4">
        <v>0</v>
      </c>
      <c r="AN84" s="4">
        <v>0</v>
      </c>
      <c r="AO84" s="4">
        <v>0</v>
      </c>
      <c r="AP84" s="3" t="s">
        <v>59</v>
      </c>
      <c r="AQ84" s="3" t="s">
        <v>69</v>
      </c>
      <c r="AR84" s="6" t="str">
        <f t="shared" si="0"/>
        <v>HathiTrust Record</v>
      </c>
      <c r="AS84" s="6" t="str">
        <f t="shared" si="1"/>
        <v>Catalog Record</v>
      </c>
      <c r="AT84" s="6" t="str">
        <f t="shared" si="2"/>
        <v>WorldCat Record</v>
      </c>
      <c r="AU84" s="3" t="s">
        <v>936</v>
      </c>
      <c r="AV84" s="3" t="s">
        <v>937</v>
      </c>
      <c r="AW84" s="3" t="s">
        <v>938</v>
      </c>
      <c r="AX84" s="3" t="s">
        <v>938</v>
      </c>
      <c r="AY84" s="3" t="s">
        <v>939</v>
      </c>
      <c r="AZ84" s="3" t="s">
        <v>74</v>
      </c>
      <c r="BC84" s="3" t="s">
        <v>998</v>
      </c>
      <c r="BD84" s="3" t="s">
        <v>999</v>
      </c>
    </row>
    <row r="85" spans="1:56" ht="57.75" customHeight="1" x14ac:dyDescent="0.25">
      <c r="A85" s="7" t="s">
        <v>59</v>
      </c>
      <c r="B85" s="2" t="s">
        <v>926</v>
      </c>
      <c r="C85" s="2" t="s">
        <v>927</v>
      </c>
      <c r="D85" s="2" t="s">
        <v>928</v>
      </c>
      <c r="E85" s="3" t="s">
        <v>1000</v>
      </c>
      <c r="F85" s="3" t="s">
        <v>69</v>
      </c>
      <c r="G85" s="3" t="s">
        <v>60</v>
      </c>
      <c r="H85" s="3" t="s">
        <v>59</v>
      </c>
      <c r="I85" s="3" t="s">
        <v>59</v>
      </c>
      <c r="J85" s="3" t="s">
        <v>61</v>
      </c>
      <c r="K85" s="2" t="s">
        <v>929</v>
      </c>
      <c r="L85" s="2" t="s">
        <v>930</v>
      </c>
      <c r="M85" s="3" t="s">
        <v>931</v>
      </c>
      <c r="O85" s="3" t="s">
        <v>64</v>
      </c>
      <c r="P85" s="3" t="s">
        <v>932</v>
      </c>
      <c r="R85" s="3" t="s">
        <v>67</v>
      </c>
      <c r="S85" s="4">
        <v>1</v>
      </c>
      <c r="T85" s="4">
        <v>50</v>
      </c>
      <c r="V85" s="5" t="s">
        <v>934</v>
      </c>
      <c r="W85" s="5" t="s">
        <v>935</v>
      </c>
      <c r="X85" s="5" t="s">
        <v>935</v>
      </c>
      <c r="Y85" s="4">
        <v>287</v>
      </c>
      <c r="Z85" s="4">
        <v>283</v>
      </c>
      <c r="AA85" s="4">
        <v>327</v>
      </c>
      <c r="AB85" s="4">
        <v>4</v>
      </c>
      <c r="AC85" s="4">
        <v>4</v>
      </c>
      <c r="AD85" s="4">
        <v>2</v>
      </c>
      <c r="AE85" s="4">
        <v>4</v>
      </c>
      <c r="AF85" s="4">
        <v>2</v>
      </c>
      <c r="AG85" s="4">
        <v>3</v>
      </c>
      <c r="AH85" s="4">
        <v>0</v>
      </c>
      <c r="AI85" s="4">
        <v>1</v>
      </c>
      <c r="AJ85" s="4">
        <v>0</v>
      </c>
      <c r="AK85" s="4">
        <v>0</v>
      </c>
      <c r="AL85" s="4">
        <v>0</v>
      </c>
      <c r="AM85" s="4">
        <v>0</v>
      </c>
      <c r="AN85" s="4">
        <v>0</v>
      </c>
      <c r="AO85" s="4">
        <v>0</v>
      </c>
      <c r="AP85" s="3" t="s">
        <v>59</v>
      </c>
      <c r="AQ85" s="3" t="s">
        <v>69</v>
      </c>
      <c r="AR85" s="6" t="str">
        <f t="shared" si="0"/>
        <v>HathiTrust Record</v>
      </c>
      <c r="AS85" s="6" t="str">
        <f t="shared" si="1"/>
        <v>Catalog Record</v>
      </c>
      <c r="AT85" s="6" t="str">
        <f t="shared" si="2"/>
        <v>WorldCat Record</v>
      </c>
      <c r="AU85" s="3" t="s">
        <v>936</v>
      </c>
      <c r="AV85" s="3" t="s">
        <v>937</v>
      </c>
      <c r="AW85" s="3" t="s">
        <v>938</v>
      </c>
      <c r="AX85" s="3" t="s">
        <v>938</v>
      </c>
      <c r="AY85" s="3" t="s">
        <v>939</v>
      </c>
      <c r="AZ85" s="3" t="s">
        <v>74</v>
      </c>
      <c r="BC85" s="3" t="s">
        <v>1001</v>
      </c>
      <c r="BD85" s="3" t="s">
        <v>1002</v>
      </c>
    </row>
    <row r="86" spans="1:56" ht="57.75" customHeight="1" x14ac:dyDescent="0.25">
      <c r="A86" s="7" t="s">
        <v>59</v>
      </c>
      <c r="B86" s="2" t="s">
        <v>1003</v>
      </c>
      <c r="C86" s="2" t="s">
        <v>1004</v>
      </c>
      <c r="D86" s="2" t="s">
        <v>1005</v>
      </c>
      <c r="F86" s="3" t="s">
        <v>59</v>
      </c>
      <c r="G86" s="3" t="s">
        <v>60</v>
      </c>
      <c r="H86" s="3" t="s">
        <v>59</v>
      </c>
      <c r="I86" s="3" t="s">
        <v>59</v>
      </c>
      <c r="J86" s="3" t="s">
        <v>61</v>
      </c>
      <c r="K86" s="2" t="s">
        <v>1006</v>
      </c>
      <c r="L86" s="2" t="s">
        <v>1007</v>
      </c>
      <c r="M86" s="3" t="s">
        <v>255</v>
      </c>
      <c r="O86" s="3" t="s">
        <v>64</v>
      </c>
      <c r="P86" s="3" t="s">
        <v>405</v>
      </c>
      <c r="Q86" s="2" t="s">
        <v>1008</v>
      </c>
      <c r="R86" s="3" t="s">
        <v>67</v>
      </c>
      <c r="S86" s="4">
        <v>15</v>
      </c>
      <c r="T86" s="4">
        <v>15</v>
      </c>
      <c r="U86" s="5" t="s">
        <v>1009</v>
      </c>
      <c r="V86" s="5" t="s">
        <v>1009</v>
      </c>
      <c r="W86" s="5" t="s">
        <v>1010</v>
      </c>
      <c r="X86" s="5" t="s">
        <v>1010</v>
      </c>
      <c r="Y86" s="4">
        <v>106</v>
      </c>
      <c r="Z86" s="4">
        <v>106</v>
      </c>
      <c r="AA86" s="4">
        <v>106</v>
      </c>
      <c r="AB86" s="4">
        <v>1</v>
      </c>
      <c r="AC86" s="4">
        <v>1</v>
      </c>
      <c r="AD86" s="4">
        <v>0</v>
      </c>
      <c r="AE86" s="4">
        <v>0</v>
      </c>
      <c r="AF86" s="4">
        <v>0</v>
      </c>
      <c r="AG86" s="4">
        <v>0</v>
      </c>
      <c r="AH86" s="4">
        <v>0</v>
      </c>
      <c r="AI86" s="4">
        <v>0</v>
      </c>
      <c r="AJ86" s="4">
        <v>0</v>
      </c>
      <c r="AK86" s="4">
        <v>0</v>
      </c>
      <c r="AL86" s="4">
        <v>0</v>
      </c>
      <c r="AM86" s="4">
        <v>0</v>
      </c>
      <c r="AN86" s="4">
        <v>0</v>
      </c>
      <c r="AO86" s="4">
        <v>0</v>
      </c>
      <c r="AP86" s="3" t="s">
        <v>59</v>
      </c>
      <c r="AQ86" s="3" t="s">
        <v>59</v>
      </c>
      <c r="AS86" s="6" t="str">
        <f>HYPERLINK("https://creighton-primo.hosted.exlibrisgroup.com/primo-explore/search?tab=default_tab&amp;search_scope=EVERYTHING&amp;vid=01CRU&amp;lang=en_US&amp;offset=0&amp;query=any,contains,991002957489702656","Catalog Record")</f>
        <v>Catalog Record</v>
      </c>
      <c r="AT86" s="6" t="str">
        <f>HYPERLINK("http://www.worldcat.org/oclc/39501785","WorldCat Record")</f>
        <v>WorldCat Record</v>
      </c>
      <c r="AU86" s="3" t="s">
        <v>1011</v>
      </c>
      <c r="AV86" s="3" t="s">
        <v>1012</v>
      </c>
      <c r="AW86" s="3" t="s">
        <v>1013</v>
      </c>
      <c r="AX86" s="3" t="s">
        <v>1013</v>
      </c>
      <c r="AY86" s="3" t="s">
        <v>1014</v>
      </c>
      <c r="AZ86" s="3" t="s">
        <v>74</v>
      </c>
      <c r="BB86" s="3" t="s">
        <v>1015</v>
      </c>
      <c r="BC86" s="3" t="s">
        <v>1016</v>
      </c>
      <c r="BD86" s="3" t="s">
        <v>1017</v>
      </c>
    </row>
    <row r="87" spans="1:56" ht="57.75" customHeight="1" x14ac:dyDescent="0.25">
      <c r="A87" s="7" t="s">
        <v>59</v>
      </c>
      <c r="B87" s="2" t="s">
        <v>1018</v>
      </c>
      <c r="C87" s="2" t="s">
        <v>1019</v>
      </c>
      <c r="D87" s="2" t="s">
        <v>1020</v>
      </c>
      <c r="F87" s="3" t="s">
        <v>59</v>
      </c>
      <c r="G87" s="3" t="s">
        <v>60</v>
      </c>
      <c r="H87" s="3" t="s">
        <v>59</v>
      </c>
      <c r="I87" s="3" t="s">
        <v>59</v>
      </c>
      <c r="J87" s="3" t="s">
        <v>61</v>
      </c>
      <c r="K87" s="2" t="s">
        <v>1021</v>
      </c>
      <c r="L87" s="2" t="s">
        <v>1022</v>
      </c>
      <c r="M87" s="3" t="s">
        <v>144</v>
      </c>
      <c r="O87" s="3" t="s">
        <v>64</v>
      </c>
      <c r="P87" s="3" t="s">
        <v>630</v>
      </c>
      <c r="R87" s="3" t="s">
        <v>67</v>
      </c>
      <c r="S87" s="4">
        <v>5</v>
      </c>
      <c r="T87" s="4">
        <v>5</v>
      </c>
      <c r="U87" s="5" t="s">
        <v>792</v>
      </c>
      <c r="V87" s="5" t="s">
        <v>792</v>
      </c>
      <c r="W87" s="5" t="s">
        <v>1023</v>
      </c>
      <c r="X87" s="5" t="s">
        <v>1023</v>
      </c>
      <c r="Y87" s="4">
        <v>185</v>
      </c>
      <c r="Z87" s="4">
        <v>153</v>
      </c>
      <c r="AA87" s="4">
        <v>177</v>
      </c>
      <c r="AB87" s="4">
        <v>1</v>
      </c>
      <c r="AC87" s="4">
        <v>1</v>
      </c>
      <c r="AD87" s="4">
        <v>3</v>
      </c>
      <c r="AE87" s="4">
        <v>4</v>
      </c>
      <c r="AF87" s="4">
        <v>1</v>
      </c>
      <c r="AG87" s="4">
        <v>2</v>
      </c>
      <c r="AH87" s="4">
        <v>0</v>
      </c>
      <c r="AI87" s="4">
        <v>0</v>
      </c>
      <c r="AJ87" s="4">
        <v>2</v>
      </c>
      <c r="AK87" s="4">
        <v>2</v>
      </c>
      <c r="AL87" s="4">
        <v>0</v>
      </c>
      <c r="AM87" s="4">
        <v>0</v>
      </c>
      <c r="AN87" s="4">
        <v>0</v>
      </c>
      <c r="AO87" s="4">
        <v>0</v>
      </c>
      <c r="AP87" s="3" t="s">
        <v>59</v>
      </c>
      <c r="AQ87" s="3" t="s">
        <v>69</v>
      </c>
      <c r="AR87" s="6" t="str">
        <f>HYPERLINK("http://catalog.hathitrust.org/Record/009441793","HathiTrust Record")</f>
        <v>HathiTrust Record</v>
      </c>
      <c r="AS87" s="6" t="str">
        <f>HYPERLINK("https://creighton-primo.hosted.exlibrisgroup.com/primo-explore/search?tab=default_tab&amp;search_scope=EVERYTHING&amp;vid=01CRU&amp;lang=en_US&amp;offset=0&amp;query=any,contains,991005221899702656","Catalog Record")</f>
        <v>Catalog Record</v>
      </c>
      <c r="AT87" s="6" t="str">
        <f>HYPERLINK("http://www.worldcat.org/oclc/57669579","WorldCat Record")</f>
        <v>WorldCat Record</v>
      </c>
      <c r="AU87" s="3" t="s">
        <v>1024</v>
      </c>
      <c r="AV87" s="3" t="s">
        <v>1025</v>
      </c>
      <c r="AW87" s="3" t="s">
        <v>1026</v>
      </c>
      <c r="AX87" s="3" t="s">
        <v>1026</v>
      </c>
      <c r="AY87" s="3" t="s">
        <v>1027</v>
      </c>
      <c r="AZ87" s="3" t="s">
        <v>74</v>
      </c>
      <c r="BB87" s="3" t="s">
        <v>1028</v>
      </c>
      <c r="BC87" s="3" t="s">
        <v>1029</v>
      </c>
      <c r="BD87" s="3" t="s">
        <v>1030</v>
      </c>
    </row>
    <row r="88" spans="1:56" ht="57.75" customHeight="1" x14ac:dyDescent="0.25">
      <c r="A88" s="7" t="s">
        <v>59</v>
      </c>
      <c r="B88" s="2" t="s">
        <v>1031</v>
      </c>
      <c r="C88" s="2" t="s">
        <v>1032</v>
      </c>
      <c r="D88" s="2" t="s">
        <v>1033</v>
      </c>
      <c r="F88" s="3" t="s">
        <v>59</v>
      </c>
      <c r="G88" s="3" t="s">
        <v>60</v>
      </c>
      <c r="H88" s="3" t="s">
        <v>59</v>
      </c>
      <c r="I88" s="3" t="s">
        <v>59</v>
      </c>
      <c r="J88" s="3" t="s">
        <v>61</v>
      </c>
      <c r="K88" s="2" t="s">
        <v>1034</v>
      </c>
      <c r="L88" s="2" t="s">
        <v>1035</v>
      </c>
      <c r="M88" s="3" t="s">
        <v>239</v>
      </c>
      <c r="N88" s="2" t="s">
        <v>877</v>
      </c>
      <c r="O88" s="3" t="s">
        <v>64</v>
      </c>
      <c r="P88" s="3" t="s">
        <v>467</v>
      </c>
      <c r="R88" s="3" t="s">
        <v>67</v>
      </c>
      <c r="S88" s="4">
        <v>24</v>
      </c>
      <c r="T88" s="4">
        <v>24</v>
      </c>
      <c r="U88" s="5" t="s">
        <v>1036</v>
      </c>
      <c r="V88" s="5" t="s">
        <v>1036</v>
      </c>
      <c r="W88" s="5" t="s">
        <v>1037</v>
      </c>
      <c r="X88" s="5" t="s">
        <v>1037</v>
      </c>
      <c r="Y88" s="4">
        <v>291</v>
      </c>
      <c r="Z88" s="4">
        <v>181</v>
      </c>
      <c r="AA88" s="4">
        <v>315</v>
      </c>
      <c r="AB88" s="4">
        <v>1</v>
      </c>
      <c r="AC88" s="4">
        <v>2</v>
      </c>
      <c r="AD88" s="4">
        <v>7</v>
      </c>
      <c r="AE88" s="4">
        <v>13</v>
      </c>
      <c r="AF88" s="4">
        <v>4</v>
      </c>
      <c r="AG88" s="4">
        <v>6</v>
      </c>
      <c r="AH88" s="4">
        <v>2</v>
      </c>
      <c r="AI88" s="4">
        <v>3</v>
      </c>
      <c r="AJ88" s="4">
        <v>4</v>
      </c>
      <c r="AK88" s="4">
        <v>8</v>
      </c>
      <c r="AL88" s="4">
        <v>0</v>
      </c>
      <c r="AM88" s="4">
        <v>1</v>
      </c>
      <c r="AN88" s="4">
        <v>0</v>
      </c>
      <c r="AO88" s="4">
        <v>0</v>
      </c>
      <c r="AP88" s="3" t="s">
        <v>59</v>
      </c>
      <c r="AQ88" s="3" t="s">
        <v>59</v>
      </c>
      <c r="AS88" s="6" t="str">
        <f>HYPERLINK("https://creighton-primo.hosted.exlibrisgroup.com/primo-explore/search?tab=default_tab&amp;search_scope=EVERYTHING&amp;vid=01CRU&amp;lang=en_US&amp;offset=0&amp;query=any,contains,991002531589702656","Catalog Record")</f>
        <v>Catalog Record</v>
      </c>
      <c r="AT88" s="6" t="str">
        <f>HYPERLINK("http://www.worldcat.org/oclc/32893739","WorldCat Record")</f>
        <v>WorldCat Record</v>
      </c>
      <c r="AU88" s="3" t="s">
        <v>1038</v>
      </c>
      <c r="AV88" s="3" t="s">
        <v>1039</v>
      </c>
      <c r="AW88" s="3" t="s">
        <v>1040</v>
      </c>
      <c r="AX88" s="3" t="s">
        <v>1040</v>
      </c>
      <c r="AY88" s="3" t="s">
        <v>1041</v>
      </c>
      <c r="AZ88" s="3" t="s">
        <v>74</v>
      </c>
      <c r="BB88" s="3" t="s">
        <v>1042</v>
      </c>
      <c r="BC88" s="3" t="s">
        <v>1043</v>
      </c>
      <c r="BD88" s="3" t="s">
        <v>1044</v>
      </c>
    </row>
    <row r="89" spans="1:56" ht="57.75" customHeight="1" x14ac:dyDescent="0.25">
      <c r="A89" s="7" t="s">
        <v>59</v>
      </c>
      <c r="B89" s="2" t="s">
        <v>1045</v>
      </c>
      <c r="C89" s="2" t="s">
        <v>1046</v>
      </c>
      <c r="D89" s="2" t="s">
        <v>1047</v>
      </c>
      <c r="F89" s="3" t="s">
        <v>59</v>
      </c>
      <c r="G89" s="3" t="s">
        <v>60</v>
      </c>
      <c r="H89" s="3" t="s">
        <v>59</v>
      </c>
      <c r="I89" s="3" t="s">
        <v>59</v>
      </c>
      <c r="J89" s="3" t="s">
        <v>61</v>
      </c>
      <c r="L89" s="2" t="s">
        <v>1048</v>
      </c>
      <c r="M89" s="3" t="s">
        <v>835</v>
      </c>
      <c r="O89" s="3" t="s">
        <v>64</v>
      </c>
      <c r="P89" s="3" t="s">
        <v>467</v>
      </c>
      <c r="R89" s="3" t="s">
        <v>67</v>
      </c>
      <c r="S89" s="4">
        <v>9</v>
      </c>
      <c r="T89" s="4">
        <v>9</v>
      </c>
      <c r="U89" s="5" t="s">
        <v>1049</v>
      </c>
      <c r="V89" s="5" t="s">
        <v>1049</v>
      </c>
      <c r="W89" s="5" t="s">
        <v>543</v>
      </c>
      <c r="X89" s="5" t="s">
        <v>543</v>
      </c>
      <c r="Y89" s="4">
        <v>243</v>
      </c>
      <c r="Z89" s="4">
        <v>207</v>
      </c>
      <c r="AA89" s="4">
        <v>219</v>
      </c>
      <c r="AB89" s="4">
        <v>3</v>
      </c>
      <c r="AC89" s="4">
        <v>3</v>
      </c>
      <c r="AD89" s="4">
        <v>5</v>
      </c>
      <c r="AE89" s="4">
        <v>5</v>
      </c>
      <c r="AF89" s="4">
        <v>0</v>
      </c>
      <c r="AG89" s="4">
        <v>0</v>
      </c>
      <c r="AH89" s="4">
        <v>1</v>
      </c>
      <c r="AI89" s="4">
        <v>1</v>
      </c>
      <c r="AJ89" s="4">
        <v>2</v>
      </c>
      <c r="AK89" s="4">
        <v>2</v>
      </c>
      <c r="AL89" s="4">
        <v>2</v>
      </c>
      <c r="AM89" s="4">
        <v>2</v>
      </c>
      <c r="AN89" s="4">
        <v>0</v>
      </c>
      <c r="AO89" s="4">
        <v>0</v>
      </c>
      <c r="AP89" s="3" t="s">
        <v>59</v>
      </c>
      <c r="AQ89" s="3" t="s">
        <v>69</v>
      </c>
      <c r="AR89" s="6" t="str">
        <f>HYPERLINK("http://catalog.hathitrust.org/Record/000020040","HathiTrust Record")</f>
        <v>HathiTrust Record</v>
      </c>
      <c r="AS89" s="6" t="str">
        <f>HYPERLINK("https://creighton-primo.hosted.exlibrisgroup.com/primo-explore/search?tab=default_tab&amp;search_scope=EVERYTHING&amp;vid=01CRU&amp;lang=en_US&amp;offset=0&amp;query=any,contains,991004802359702656","Catalog Record")</f>
        <v>Catalog Record</v>
      </c>
      <c r="AT89" s="6" t="str">
        <f>HYPERLINK("http://www.worldcat.org/oclc/5219667","WorldCat Record")</f>
        <v>WorldCat Record</v>
      </c>
      <c r="AU89" s="3" t="s">
        <v>1050</v>
      </c>
      <c r="AV89" s="3" t="s">
        <v>1051</v>
      </c>
      <c r="AW89" s="3" t="s">
        <v>1052</v>
      </c>
      <c r="AX89" s="3" t="s">
        <v>1052</v>
      </c>
      <c r="AY89" s="3" t="s">
        <v>1053</v>
      </c>
      <c r="AZ89" s="3" t="s">
        <v>74</v>
      </c>
      <c r="BB89" s="3" t="s">
        <v>1054</v>
      </c>
      <c r="BC89" s="3" t="s">
        <v>1055</v>
      </c>
      <c r="BD89" s="3" t="s">
        <v>1056</v>
      </c>
    </row>
    <row r="90" spans="1:56" ht="57.75" customHeight="1" x14ac:dyDescent="0.25">
      <c r="A90" s="7" t="s">
        <v>59</v>
      </c>
      <c r="B90" s="2" t="s">
        <v>1057</v>
      </c>
      <c r="C90" s="2" t="s">
        <v>1058</v>
      </c>
      <c r="D90" s="2" t="s">
        <v>1059</v>
      </c>
      <c r="F90" s="3" t="s">
        <v>59</v>
      </c>
      <c r="G90" s="3" t="s">
        <v>60</v>
      </c>
      <c r="H90" s="3" t="s">
        <v>59</v>
      </c>
      <c r="I90" s="3" t="s">
        <v>59</v>
      </c>
      <c r="J90" s="3" t="s">
        <v>61</v>
      </c>
      <c r="L90" s="2" t="s">
        <v>1060</v>
      </c>
      <c r="M90" s="3" t="s">
        <v>820</v>
      </c>
      <c r="O90" s="3" t="s">
        <v>64</v>
      </c>
      <c r="P90" s="3" t="s">
        <v>1061</v>
      </c>
      <c r="Q90" s="2" t="s">
        <v>1062</v>
      </c>
      <c r="R90" s="3" t="s">
        <v>67</v>
      </c>
      <c r="S90" s="4">
        <v>15</v>
      </c>
      <c r="T90" s="4">
        <v>15</v>
      </c>
      <c r="U90" s="5" t="s">
        <v>1063</v>
      </c>
      <c r="V90" s="5" t="s">
        <v>1063</v>
      </c>
      <c r="W90" s="5" t="s">
        <v>1064</v>
      </c>
      <c r="X90" s="5" t="s">
        <v>1064</v>
      </c>
      <c r="Y90" s="4">
        <v>139</v>
      </c>
      <c r="Z90" s="4">
        <v>125</v>
      </c>
      <c r="AA90" s="4">
        <v>135</v>
      </c>
      <c r="AB90" s="4">
        <v>1</v>
      </c>
      <c r="AC90" s="4">
        <v>1</v>
      </c>
      <c r="AD90" s="4">
        <v>1</v>
      </c>
      <c r="AE90" s="4">
        <v>1</v>
      </c>
      <c r="AF90" s="4">
        <v>0</v>
      </c>
      <c r="AG90" s="4">
        <v>0</v>
      </c>
      <c r="AH90" s="4">
        <v>0</v>
      </c>
      <c r="AI90" s="4">
        <v>0</v>
      </c>
      <c r="AJ90" s="4">
        <v>1</v>
      </c>
      <c r="AK90" s="4">
        <v>1</v>
      </c>
      <c r="AL90" s="4">
        <v>0</v>
      </c>
      <c r="AM90" s="4">
        <v>0</v>
      </c>
      <c r="AN90" s="4">
        <v>0</v>
      </c>
      <c r="AO90" s="4">
        <v>0</v>
      </c>
      <c r="AP90" s="3" t="s">
        <v>59</v>
      </c>
      <c r="AQ90" s="3" t="s">
        <v>69</v>
      </c>
      <c r="AR90" s="6" t="str">
        <f>HYPERLINK("http://catalog.hathitrust.org/Record/000834102","HathiTrust Record")</f>
        <v>HathiTrust Record</v>
      </c>
      <c r="AS90" s="6" t="str">
        <f>HYPERLINK("https://creighton-primo.hosted.exlibrisgroup.com/primo-explore/search?tab=default_tab&amp;search_scope=EVERYTHING&amp;vid=01CRU&amp;lang=en_US&amp;offset=0&amp;query=any,contains,991000764659702656","Catalog Record")</f>
        <v>Catalog Record</v>
      </c>
      <c r="AT90" s="6" t="str">
        <f>HYPERLINK("http://www.worldcat.org/oclc/12980315","WorldCat Record")</f>
        <v>WorldCat Record</v>
      </c>
      <c r="AU90" s="3" t="s">
        <v>1065</v>
      </c>
      <c r="AV90" s="3" t="s">
        <v>1066</v>
      </c>
      <c r="AW90" s="3" t="s">
        <v>1067</v>
      </c>
      <c r="AX90" s="3" t="s">
        <v>1067</v>
      </c>
      <c r="AY90" s="3" t="s">
        <v>1068</v>
      </c>
      <c r="AZ90" s="3" t="s">
        <v>74</v>
      </c>
      <c r="BB90" s="3" t="s">
        <v>1069</v>
      </c>
      <c r="BC90" s="3" t="s">
        <v>1070</v>
      </c>
      <c r="BD90" s="3" t="s">
        <v>1071</v>
      </c>
    </row>
    <row r="91" spans="1:56" ht="57.75" customHeight="1" x14ac:dyDescent="0.25">
      <c r="A91" s="7" t="s">
        <v>59</v>
      </c>
      <c r="B91" s="2" t="s">
        <v>1072</v>
      </c>
      <c r="C91" s="2" t="s">
        <v>1073</v>
      </c>
      <c r="D91" s="2" t="s">
        <v>1074</v>
      </c>
      <c r="F91" s="3" t="s">
        <v>59</v>
      </c>
      <c r="G91" s="3" t="s">
        <v>60</v>
      </c>
      <c r="H91" s="3" t="s">
        <v>59</v>
      </c>
      <c r="I91" s="3" t="s">
        <v>59</v>
      </c>
      <c r="J91" s="3" t="s">
        <v>61</v>
      </c>
      <c r="K91" s="2" t="s">
        <v>1075</v>
      </c>
      <c r="L91" s="2" t="s">
        <v>1076</v>
      </c>
      <c r="M91" s="3" t="s">
        <v>404</v>
      </c>
      <c r="N91" s="2" t="s">
        <v>1077</v>
      </c>
      <c r="O91" s="3" t="s">
        <v>64</v>
      </c>
      <c r="P91" s="3" t="s">
        <v>1078</v>
      </c>
      <c r="R91" s="3" t="s">
        <v>67</v>
      </c>
      <c r="S91" s="4">
        <v>7</v>
      </c>
      <c r="T91" s="4">
        <v>7</v>
      </c>
      <c r="U91" s="5" t="s">
        <v>949</v>
      </c>
      <c r="V91" s="5" t="s">
        <v>949</v>
      </c>
      <c r="W91" s="5" t="s">
        <v>575</v>
      </c>
      <c r="X91" s="5" t="s">
        <v>575</v>
      </c>
      <c r="Y91" s="4">
        <v>707</v>
      </c>
      <c r="Z91" s="4">
        <v>627</v>
      </c>
      <c r="AA91" s="4">
        <v>952</v>
      </c>
      <c r="AB91" s="4">
        <v>3</v>
      </c>
      <c r="AC91" s="4">
        <v>4</v>
      </c>
      <c r="AD91" s="4">
        <v>21</v>
      </c>
      <c r="AE91" s="4">
        <v>27</v>
      </c>
      <c r="AF91" s="4">
        <v>6</v>
      </c>
      <c r="AG91" s="4">
        <v>9</v>
      </c>
      <c r="AH91" s="4">
        <v>7</v>
      </c>
      <c r="AI91" s="4">
        <v>8</v>
      </c>
      <c r="AJ91" s="4">
        <v>12</v>
      </c>
      <c r="AK91" s="4">
        <v>16</v>
      </c>
      <c r="AL91" s="4">
        <v>2</v>
      </c>
      <c r="AM91" s="4">
        <v>3</v>
      </c>
      <c r="AN91" s="4">
        <v>0</v>
      </c>
      <c r="AO91" s="4">
        <v>0</v>
      </c>
      <c r="AP91" s="3" t="s">
        <v>59</v>
      </c>
      <c r="AQ91" s="3" t="s">
        <v>59</v>
      </c>
      <c r="AS91" s="6" t="str">
        <f>HYPERLINK("https://creighton-primo.hosted.exlibrisgroup.com/primo-explore/search?tab=default_tab&amp;search_scope=EVERYTHING&amp;vid=01CRU&amp;lang=en_US&amp;offset=0&amp;query=any,contains,991001021619702656","Catalog Record")</f>
        <v>Catalog Record</v>
      </c>
      <c r="AT91" s="6" t="str">
        <f>HYPERLINK("http://www.worldcat.org/oclc/173801","WorldCat Record")</f>
        <v>WorldCat Record</v>
      </c>
      <c r="AU91" s="3" t="s">
        <v>1079</v>
      </c>
      <c r="AV91" s="3" t="s">
        <v>1080</v>
      </c>
      <c r="AW91" s="3" t="s">
        <v>1081</v>
      </c>
      <c r="AX91" s="3" t="s">
        <v>1081</v>
      </c>
      <c r="AY91" s="3" t="s">
        <v>1082</v>
      </c>
      <c r="AZ91" s="3" t="s">
        <v>74</v>
      </c>
      <c r="BC91" s="3" t="s">
        <v>1083</v>
      </c>
      <c r="BD91" s="3" t="s">
        <v>1084</v>
      </c>
    </row>
    <row r="92" spans="1:56" ht="57.75" customHeight="1" x14ac:dyDescent="0.25">
      <c r="A92" s="7" t="s">
        <v>59</v>
      </c>
      <c r="B92" s="2" t="s">
        <v>1085</v>
      </c>
      <c r="C92" s="2" t="s">
        <v>1086</v>
      </c>
      <c r="D92" s="2" t="s">
        <v>1087</v>
      </c>
      <c r="F92" s="3" t="s">
        <v>59</v>
      </c>
      <c r="G92" s="3" t="s">
        <v>60</v>
      </c>
      <c r="H92" s="3" t="s">
        <v>59</v>
      </c>
      <c r="I92" s="3" t="s">
        <v>59</v>
      </c>
      <c r="J92" s="3" t="s">
        <v>61</v>
      </c>
      <c r="L92" s="2" t="s">
        <v>1088</v>
      </c>
      <c r="M92" s="3" t="s">
        <v>670</v>
      </c>
      <c r="O92" s="3" t="s">
        <v>64</v>
      </c>
      <c r="P92" s="3" t="s">
        <v>467</v>
      </c>
      <c r="R92" s="3" t="s">
        <v>67</v>
      </c>
      <c r="S92" s="4">
        <v>7</v>
      </c>
      <c r="T92" s="4">
        <v>7</v>
      </c>
      <c r="U92" s="5" t="s">
        <v>1089</v>
      </c>
      <c r="V92" s="5" t="s">
        <v>1089</v>
      </c>
      <c r="W92" s="5" t="s">
        <v>543</v>
      </c>
      <c r="X92" s="5" t="s">
        <v>543</v>
      </c>
      <c r="Y92" s="4">
        <v>323</v>
      </c>
      <c r="Z92" s="4">
        <v>257</v>
      </c>
      <c r="AA92" s="4">
        <v>258</v>
      </c>
      <c r="AB92" s="4">
        <v>2</v>
      </c>
      <c r="AC92" s="4">
        <v>2</v>
      </c>
      <c r="AD92" s="4">
        <v>9</v>
      </c>
      <c r="AE92" s="4">
        <v>9</v>
      </c>
      <c r="AF92" s="4">
        <v>1</v>
      </c>
      <c r="AG92" s="4">
        <v>1</v>
      </c>
      <c r="AH92" s="4">
        <v>1</v>
      </c>
      <c r="AI92" s="4">
        <v>1</v>
      </c>
      <c r="AJ92" s="4">
        <v>7</v>
      </c>
      <c r="AK92" s="4">
        <v>7</v>
      </c>
      <c r="AL92" s="4">
        <v>1</v>
      </c>
      <c r="AM92" s="4">
        <v>1</v>
      </c>
      <c r="AN92" s="4">
        <v>0</v>
      </c>
      <c r="AO92" s="4">
        <v>0</v>
      </c>
      <c r="AP92" s="3" t="s">
        <v>59</v>
      </c>
      <c r="AQ92" s="3" t="s">
        <v>69</v>
      </c>
      <c r="AR92" s="6" t="str">
        <f>HYPERLINK("http://catalog.hathitrust.org/Record/000774210","HathiTrust Record")</f>
        <v>HathiTrust Record</v>
      </c>
      <c r="AS92" s="6" t="str">
        <f>HYPERLINK("https://creighton-primo.hosted.exlibrisgroup.com/primo-explore/search?tab=default_tab&amp;search_scope=EVERYTHING&amp;vid=01CRU&amp;lang=en_US&amp;offset=0&amp;query=any,contains,991000054639702656","Catalog Record")</f>
        <v>Catalog Record</v>
      </c>
      <c r="AT92" s="6" t="str">
        <f>HYPERLINK("http://www.worldcat.org/oclc/8708286","WorldCat Record")</f>
        <v>WorldCat Record</v>
      </c>
      <c r="AU92" s="3" t="s">
        <v>1090</v>
      </c>
      <c r="AV92" s="3" t="s">
        <v>1091</v>
      </c>
      <c r="AW92" s="3" t="s">
        <v>1092</v>
      </c>
      <c r="AX92" s="3" t="s">
        <v>1092</v>
      </c>
      <c r="AY92" s="3" t="s">
        <v>1093</v>
      </c>
      <c r="AZ92" s="3" t="s">
        <v>74</v>
      </c>
      <c r="BB92" s="3" t="s">
        <v>1094</v>
      </c>
      <c r="BC92" s="3" t="s">
        <v>1095</v>
      </c>
      <c r="BD92" s="3" t="s">
        <v>1096</v>
      </c>
    </row>
    <row r="93" spans="1:56" ht="57.75" customHeight="1" x14ac:dyDescent="0.25">
      <c r="A93" s="7" t="s">
        <v>59</v>
      </c>
      <c r="B93" s="2" t="s">
        <v>1097</v>
      </c>
      <c r="C93" s="2" t="s">
        <v>1098</v>
      </c>
      <c r="D93" s="2" t="s">
        <v>1099</v>
      </c>
      <c r="F93" s="3" t="s">
        <v>59</v>
      </c>
      <c r="G93" s="3" t="s">
        <v>60</v>
      </c>
      <c r="H93" s="3" t="s">
        <v>59</v>
      </c>
      <c r="I93" s="3" t="s">
        <v>59</v>
      </c>
      <c r="J93" s="3" t="s">
        <v>61</v>
      </c>
      <c r="K93" s="2" t="s">
        <v>1100</v>
      </c>
      <c r="L93" s="2" t="s">
        <v>1101</v>
      </c>
      <c r="M93" s="3" t="s">
        <v>1102</v>
      </c>
      <c r="N93" s="2" t="s">
        <v>1103</v>
      </c>
      <c r="O93" s="3" t="s">
        <v>64</v>
      </c>
      <c r="P93" s="3" t="s">
        <v>467</v>
      </c>
      <c r="R93" s="3" t="s">
        <v>67</v>
      </c>
      <c r="S93" s="4">
        <v>32</v>
      </c>
      <c r="T93" s="4">
        <v>32</v>
      </c>
      <c r="U93" s="5" t="s">
        <v>1104</v>
      </c>
      <c r="V93" s="5" t="s">
        <v>1104</v>
      </c>
      <c r="W93" s="5" t="s">
        <v>1105</v>
      </c>
      <c r="X93" s="5" t="s">
        <v>1105</v>
      </c>
      <c r="Y93" s="4">
        <v>896</v>
      </c>
      <c r="Z93" s="4">
        <v>801</v>
      </c>
      <c r="AA93" s="4">
        <v>808</v>
      </c>
      <c r="AB93" s="4">
        <v>8</v>
      </c>
      <c r="AC93" s="4">
        <v>8</v>
      </c>
      <c r="AD93" s="4">
        <v>27</v>
      </c>
      <c r="AE93" s="4">
        <v>27</v>
      </c>
      <c r="AF93" s="4">
        <v>10</v>
      </c>
      <c r="AG93" s="4">
        <v>10</v>
      </c>
      <c r="AH93" s="4">
        <v>6</v>
      </c>
      <c r="AI93" s="4">
        <v>6</v>
      </c>
      <c r="AJ93" s="4">
        <v>11</v>
      </c>
      <c r="AK93" s="4">
        <v>11</v>
      </c>
      <c r="AL93" s="4">
        <v>6</v>
      </c>
      <c r="AM93" s="4">
        <v>6</v>
      </c>
      <c r="AN93" s="4">
        <v>0</v>
      </c>
      <c r="AO93" s="4">
        <v>0</v>
      </c>
      <c r="AP93" s="3" t="s">
        <v>59</v>
      </c>
      <c r="AQ93" s="3" t="s">
        <v>69</v>
      </c>
      <c r="AR93" s="6" t="str">
        <f>HYPERLINK("http://catalog.hathitrust.org/Record/001100685","HathiTrust Record")</f>
        <v>HathiTrust Record</v>
      </c>
      <c r="AS93" s="6" t="str">
        <f>HYPERLINK("https://creighton-primo.hosted.exlibrisgroup.com/primo-explore/search?tab=default_tab&amp;search_scope=EVERYTHING&amp;vid=01CRU&amp;lang=en_US&amp;offset=0&amp;query=any,contains,991001328549702656","Catalog Record")</f>
        <v>Catalog Record</v>
      </c>
      <c r="AT93" s="6" t="str">
        <f>HYPERLINK("http://www.worldcat.org/oclc/18292075","WorldCat Record")</f>
        <v>WorldCat Record</v>
      </c>
      <c r="AU93" s="3" t="s">
        <v>1106</v>
      </c>
      <c r="AV93" s="3" t="s">
        <v>1107</v>
      </c>
      <c r="AW93" s="3" t="s">
        <v>1108</v>
      </c>
      <c r="AX93" s="3" t="s">
        <v>1108</v>
      </c>
      <c r="AY93" s="3" t="s">
        <v>1109</v>
      </c>
      <c r="AZ93" s="3" t="s">
        <v>74</v>
      </c>
      <c r="BB93" s="3" t="s">
        <v>1110</v>
      </c>
      <c r="BC93" s="3" t="s">
        <v>1111</v>
      </c>
      <c r="BD93" s="3" t="s">
        <v>1112</v>
      </c>
    </row>
    <row r="94" spans="1:56" ht="57.75" customHeight="1" x14ac:dyDescent="0.25">
      <c r="A94" s="7" t="s">
        <v>59</v>
      </c>
      <c r="B94" s="2" t="s">
        <v>1113</v>
      </c>
      <c r="C94" s="2" t="s">
        <v>1114</v>
      </c>
      <c r="D94" s="2" t="s">
        <v>1115</v>
      </c>
      <c r="F94" s="3" t="s">
        <v>59</v>
      </c>
      <c r="G94" s="3" t="s">
        <v>60</v>
      </c>
      <c r="H94" s="3" t="s">
        <v>59</v>
      </c>
      <c r="I94" s="3" t="s">
        <v>59</v>
      </c>
      <c r="J94" s="3" t="s">
        <v>61</v>
      </c>
      <c r="L94" s="2" t="s">
        <v>1116</v>
      </c>
      <c r="M94" s="3" t="s">
        <v>617</v>
      </c>
      <c r="O94" s="3" t="s">
        <v>64</v>
      </c>
      <c r="P94" s="3" t="s">
        <v>1117</v>
      </c>
      <c r="R94" s="3" t="s">
        <v>67</v>
      </c>
      <c r="S94" s="4">
        <v>7</v>
      </c>
      <c r="T94" s="4">
        <v>7</v>
      </c>
      <c r="U94" s="5" t="s">
        <v>1049</v>
      </c>
      <c r="V94" s="5" t="s">
        <v>1049</v>
      </c>
      <c r="W94" s="5" t="s">
        <v>543</v>
      </c>
      <c r="X94" s="5" t="s">
        <v>543</v>
      </c>
      <c r="Y94" s="4">
        <v>317</v>
      </c>
      <c r="Z94" s="4">
        <v>263</v>
      </c>
      <c r="AA94" s="4">
        <v>308</v>
      </c>
      <c r="AB94" s="4">
        <v>4</v>
      </c>
      <c r="AC94" s="4">
        <v>4</v>
      </c>
      <c r="AD94" s="4">
        <v>9</v>
      </c>
      <c r="AE94" s="4">
        <v>12</v>
      </c>
      <c r="AF94" s="4">
        <v>3</v>
      </c>
      <c r="AG94" s="4">
        <v>5</v>
      </c>
      <c r="AH94" s="4">
        <v>1</v>
      </c>
      <c r="AI94" s="4">
        <v>2</v>
      </c>
      <c r="AJ94" s="4">
        <v>4</v>
      </c>
      <c r="AK94" s="4">
        <v>6</v>
      </c>
      <c r="AL94" s="4">
        <v>3</v>
      </c>
      <c r="AM94" s="4">
        <v>3</v>
      </c>
      <c r="AN94" s="4">
        <v>0</v>
      </c>
      <c r="AO94" s="4">
        <v>0</v>
      </c>
      <c r="AP94" s="3" t="s">
        <v>59</v>
      </c>
      <c r="AQ94" s="3" t="s">
        <v>69</v>
      </c>
      <c r="AR94" s="6" t="str">
        <f>HYPERLINK("http://catalog.hathitrust.org/Record/007159729","HathiTrust Record")</f>
        <v>HathiTrust Record</v>
      </c>
      <c r="AS94" s="6" t="str">
        <f>HYPERLINK("https://creighton-primo.hosted.exlibrisgroup.com/primo-explore/search?tab=default_tab&amp;search_scope=EVERYTHING&amp;vid=01CRU&amp;lang=en_US&amp;offset=0&amp;query=any,contains,991005003879702656","Catalog Record")</f>
        <v>Catalog Record</v>
      </c>
      <c r="AT94" s="6" t="str">
        <f>HYPERLINK("http://www.worldcat.org/oclc/6555516","WorldCat Record")</f>
        <v>WorldCat Record</v>
      </c>
      <c r="AU94" s="3" t="s">
        <v>1118</v>
      </c>
      <c r="AV94" s="3" t="s">
        <v>1119</v>
      </c>
      <c r="AW94" s="3" t="s">
        <v>1120</v>
      </c>
      <c r="AX94" s="3" t="s">
        <v>1120</v>
      </c>
      <c r="AY94" s="3" t="s">
        <v>1121</v>
      </c>
      <c r="AZ94" s="3" t="s">
        <v>74</v>
      </c>
      <c r="BB94" s="3" t="s">
        <v>1122</v>
      </c>
      <c r="BC94" s="3" t="s">
        <v>1123</v>
      </c>
      <c r="BD94" s="3" t="s">
        <v>1124</v>
      </c>
    </row>
    <row r="95" spans="1:56" ht="57.75" customHeight="1" x14ac:dyDescent="0.25">
      <c r="A95" s="7" t="s">
        <v>59</v>
      </c>
      <c r="B95" s="2" t="s">
        <v>1125</v>
      </c>
      <c r="C95" s="2" t="s">
        <v>1126</v>
      </c>
      <c r="D95" s="2" t="s">
        <v>1127</v>
      </c>
      <c r="F95" s="3" t="s">
        <v>59</v>
      </c>
      <c r="G95" s="3" t="s">
        <v>60</v>
      </c>
      <c r="H95" s="3" t="s">
        <v>59</v>
      </c>
      <c r="I95" s="3" t="s">
        <v>59</v>
      </c>
      <c r="J95" s="3" t="s">
        <v>61</v>
      </c>
      <c r="K95" s="2" t="s">
        <v>1128</v>
      </c>
      <c r="L95" s="2" t="s">
        <v>1129</v>
      </c>
      <c r="M95" s="3" t="s">
        <v>835</v>
      </c>
      <c r="O95" s="3" t="s">
        <v>64</v>
      </c>
      <c r="P95" s="3" t="s">
        <v>467</v>
      </c>
      <c r="R95" s="3" t="s">
        <v>67</v>
      </c>
      <c r="S95" s="4">
        <v>10</v>
      </c>
      <c r="T95" s="4">
        <v>10</v>
      </c>
      <c r="U95" s="5" t="s">
        <v>1130</v>
      </c>
      <c r="V95" s="5" t="s">
        <v>1130</v>
      </c>
      <c r="W95" s="5" t="s">
        <v>543</v>
      </c>
      <c r="X95" s="5" t="s">
        <v>543</v>
      </c>
      <c r="Y95" s="4">
        <v>287</v>
      </c>
      <c r="Z95" s="4">
        <v>184</v>
      </c>
      <c r="AA95" s="4">
        <v>202</v>
      </c>
      <c r="AB95" s="4">
        <v>1</v>
      </c>
      <c r="AC95" s="4">
        <v>1</v>
      </c>
      <c r="AD95" s="4">
        <v>5</v>
      </c>
      <c r="AE95" s="4">
        <v>6</v>
      </c>
      <c r="AF95" s="4">
        <v>2</v>
      </c>
      <c r="AG95" s="4">
        <v>3</v>
      </c>
      <c r="AH95" s="4">
        <v>2</v>
      </c>
      <c r="AI95" s="4">
        <v>2</v>
      </c>
      <c r="AJ95" s="4">
        <v>3</v>
      </c>
      <c r="AK95" s="4">
        <v>4</v>
      </c>
      <c r="AL95" s="4">
        <v>0</v>
      </c>
      <c r="AM95" s="4">
        <v>0</v>
      </c>
      <c r="AN95" s="4">
        <v>0</v>
      </c>
      <c r="AO95" s="4">
        <v>0</v>
      </c>
      <c r="AP95" s="3" t="s">
        <v>59</v>
      </c>
      <c r="AQ95" s="3" t="s">
        <v>69</v>
      </c>
      <c r="AR95" s="6" t="str">
        <f>HYPERLINK("http://catalog.hathitrust.org/Record/000017516","HathiTrust Record")</f>
        <v>HathiTrust Record</v>
      </c>
      <c r="AS95" s="6" t="str">
        <f>HYPERLINK("https://creighton-primo.hosted.exlibrisgroup.com/primo-explore/search?tab=default_tab&amp;search_scope=EVERYTHING&amp;vid=01CRU&amp;lang=en_US&amp;offset=0&amp;query=any,contains,991004789839702656","Catalog Record")</f>
        <v>Catalog Record</v>
      </c>
      <c r="AT95" s="6" t="str">
        <f>HYPERLINK("http://www.worldcat.org/oclc/5170716","WorldCat Record")</f>
        <v>WorldCat Record</v>
      </c>
      <c r="AU95" s="3" t="s">
        <v>1131</v>
      </c>
      <c r="AV95" s="3" t="s">
        <v>1132</v>
      </c>
      <c r="AW95" s="3" t="s">
        <v>1133</v>
      </c>
      <c r="AX95" s="3" t="s">
        <v>1133</v>
      </c>
      <c r="AY95" s="3" t="s">
        <v>1134</v>
      </c>
      <c r="AZ95" s="3" t="s">
        <v>74</v>
      </c>
      <c r="BB95" s="3" t="s">
        <v>1135</v>
      </c>
      <c r="BC95" s="3" t="s">
        <v>1136</v>
      </c>
      <c r="BD95" s="3" t="s">
        <v>1137</v>
      </c>
    </row>
    <row r="96" spans="1:56" ht="57.75" customHeight="1" x14ac:dyDescent="0.25">
      <c r="A96" s="7" t="s">
        <v>59</v>
      </c>
      <c r="B96" s="2" t="s">
        <v>1138</v>
      </c>
      <c r="C96" s="2" t="s">
        <v>1139</v>
      </c>
      <c r="D96" s="2" t="s">
        <v>1140</v>
      </c>
      <c r="F96" s="3" t="s">
        <v>59</v>
      </c>
      <c r="G96" s="3" t="s">
        <v>60</v>
      </c>
      <c r="H96" s="3" t="s">
        <v>59</v>
      </c>
      <c r="I96" s="3" t="s">
        <v>59</v>
      </c>
      <c r="J96" s="3" t="s">
        <v>61</v>
      </c>
      <c r="K96" s="2" t="s">
        <v>1141</v>
      </c>
      <c r="L96" s="2" t="s">
        <v>1142</v>
      </c>
      <c r="M96" s="3" t="s">
        <v>587</v>
      </c>
      <c r="O96" s="3" t="s">
        <v>64</v>
      </c>
      <c r="P96" s="3" t="s">
        <v>467</v>
      </c>
      <c r="R96" s="3" t="s">
        <v>67</v>
      </c>
      <c r="S96" s="4">
        <v>5</v>
      </c>
      <c r="T96" s="4">
        <v>5</v>
      </c>
      <c r="U96" s="5" t="s">
        <v>1143</v>
      </c>
      <c r="V96" s="5" t="s">
        <v>1143</v>
      </c>
      <c r="W96" s="5" t="s">
        <v>543</v>
      </c>
      <c r="X96" s="5" t="s">
        <v>543</v>
      </c>
      <c r="Y96" s="4">
        <v>532</v>
      </c>
      <c r="Z96" s="4">
        <v>474</v>
      </c>
      <c r="AA96" s="4">
        <v>519</v>
      </c>
      <c r="AB96" s="4">
        <v>3</v>
      </c>
      <c r="AC96" s="4">
        <v>3</v>
      </c>
      <c r="AD96" s="4">
        <v>11</v>
      </c>
      <c r="AE96" s="4">
        <v>14</v>
      </c>
      <c r="AF96" s="4">
        <v>3</v>
      </c>
      <c r="AG96" s="4">
        <v>5</v>
      </c>
      <c r="AH96" s="4">
        <v>2</v>
      </c>
      <c r="AI96" s="4">
        <v>3</v>
      </c>
      <c r="AJ96" s="4">
        <v>5</v>
      </c>
      <c r="AK96" s="4">
        <v>6</v>
      </c>
      <c r="AL96" s="4">
        <v>2</v>
      </c>
      <c r="AM96" s="4">
        <v>2</v>
      </c>
      <c r="AN96" s="4">
        <v>0</v>
      </c>
      <c r="AO96" s="4">
        <v>0</v>
      </c>
      <c r="AP96" s="3" t="s">
        <v>59</v>
      </c>
      <c r="AQ96" s="3" t="s">
        <v>69</v>
      </c>
      <c r="AR96" s="6" t="str">
        <f>HYPERLINK("http://catalog.hathitrust.org/Record/010155380","HathiTrust Record")</f>
        <v>HathiTrust Record</v>
      </c>
      <c r="AS96" s="6" t="str">
        <f>HYPERLINK("https://creighton-primo.hosted.exlibrisgroup.com/primo-explore/search?tab=default_tab&amp;search_scope=EVERYTHING&amp;vid=01CRU&amp;lang=en_US&amp;offset=0&amp;query=any,contains,991002228619702656","Catalog Record")</f>
        <v>Catalog Record</v>
      </c>
      <c r="AT96" s="6" t="str">
        <f>HYPERLINK("http://www.worldcat.org/oclc/292977","WorldCat Record")</f>
        <v>WorldCat Record</v>
      </c>
      <c r="AU96" s="3" t="s">
        <v>1144</v>
      </c>
      <c r="AV96" s="3" t="s">
        <v>1145</v>
      </c>
      <c r="AW96" s="3" t="s">
        <v>1146</v>
      </c>
      <c r="AX96" s="3" t="s">
        <v>1146</v>
      </c>
      <c r="AY96" s="3" t="s">
        <v>1147</v>
      </c>
      <c r="AZ96" s="3" t="s">
        <v>74</v>
      </c>
      <c r="BC96" s="3" t="s">
        <v>1148</v>
      </c>
      <c r="BD96" s="3" t="s">
        <v>1149</v>
      </c>
    </row>
    <row r="97" spans="1:56" ht="57.75" customHeight="1" x14ac:dyDescent="0.25">
      <c r="A97" s="7" t="s">
        <v>59</v>
      </c>
      <c r="B97" s="2" t="s">
        <v>1150</v>
      </c>
      <c r="C97" s="2" t="s">
        <v>1151</v>
      </c>
      <c r="D97" s="2" t="s">
        <v>1152</v>
      </c>
      <c r="F97" s="3" t="s">
        <v>59</v>
      </c>
      <c r="G97" s="3" t="s">
        <v>60</v>
      </c>
      <c r="H97" s="3" t="s">
        <v>59</v>
      </c>
      <c r="I97" s="3" t="s">
        <v>59</v>
      </c>
      <c r="J97" s="3" t="s">
        <v>61</v>
      </c>
      <c r="K97" s="2" t="s">
        <v>1153</v>
      </c>
      <c r="L97" s="2" t="s">
        <v>1154</v>
      </c>
      <c r="M97" s="3" t="s">
        <v>738</v>
      </c>
      <c r="O97" s="3" t="s">
        <v>64</v>
      </c>
      <c r="P97" s="3" t="s">
        <v>467</v>
      </c>
      <c r="Q97" s="2" t="s">
        <v>1155</v>
      </c>
      <c r="R97" s="3" t="s">
        <v>67</v>
      </c>
      <c r="S97" s="4">
        <v>3</v>
      </c>
      <c r="T97" s="4">
        <v>3</v>
      </c>
      <c r="U97" s="5" t="s">
        <v>1104</v>
      </c>
      <c r="V97" s="5" t="s">
        <v>1104</v>
      </c>
      <c r="W97" s="5" t="s">
        <v>1156</v>
      </c>
      <c r="X97" s="5" t="s">
        <v>1156</v>
      </c>
      <c r="Y97" s="4">
        <v>478</v>
      </c>
      <c r="Z97" s="4">
        <v>459</v>
      </c>
      <c r="AA97" s="4">
        <v>542</v>
      </c>
      <c r="AB97" s="4">
        <v>2</v>
      </c>
      <c r="AC97" s="4">
        <v>2</v>
      </c>
      <c r="AD97" s="4">
        <v>7</v>
      </c>
      <c r="AE97" s="4">
        <v>9</v>
      </c>
      <c r="AF97" s="4">
        <v>3</v>
      </c>
      <c r="AG97" s="4">
        <v>4</v>
      </c>
      <c r="AH97" s="4">
        <v>2</v>
      </c>
      <c r="AI97" s="4">
        <v>3</v>
      </c>
      <c r="AJ97" s="4">
        <v>2</v>
      </c>
      <c r="AK97" s="4">
        <v>2</v>
      </c>
      <c r="AL97" s="4">
        <v>1</v>
      </c>
      <c r="AM97" s="4">
        <v>1</v>
      </c>
      <c r="AN97" s="4">
        <v>0</v>
      </c>
      <c r="AO97" s="4">
        <v>0</v>
      </c>
      <c r="AP97" s="3" t="s">
        <v>59</v>
      </c>
      <c r="AQ97" s="3" t="s">
        <v>69</v>
      </c>
      <c r="AR97" s="6" t="str">
        <f>HYPERLINK("http://catalog.hathitrust.org/Record/000458578","HathiTrust Record")</f>
        <v>HathiTrust Record</v>
      </c>
      <c r="AS97" s="6" t="str">
        <f>HYPERLINK("https://creighton-primo.hosted.exlibrisgroup.com/primo-explore/search?tab=default_tab&amp;search_scope=EVERYTHING&amp;vid=01CRU&amp;lang=en_US&amp;offset=0&amp;query=any,contains,991003712149702656","Catalog Record")</f>
        <v>Catalog Record</v>
      </c>
      <c r="AT97" s="6" t="str">
        <f>HYPERLINK("http://www.worldcat.org/oclc/1353570","WorldCat Record")</f>
        <v>WorldCat Record</v>
      </c>
      <c r="AU97" s="3" t="s">
        <v>1157</v>
      </c>
      <c r="AV97" s="3" t="s">
        <v>1158</v>
      </c>
      <c r="AW97" s="3" t="s">
        <v>1159</v>
      </c>
      <c r="AX97" s="3" t="s">
        <v>1159</v>
      </c>
      <c r="AY97" s="3" t="s">
        <v>1160</v>
      </c>
      <c r="AZ97" s="3" t="s">
        <v>74</v>
      </c>
      <c r="BC97" s="3" t="s">
        <v>1161</v>
      </c>
      <c r="BD97" s="3" t="s">
        <v>1162</v>
      </c>
    </row>
    <row r="98" spans="1:56" ht="57.75" customHeight="1" x14ac:dyDescent="0.25">
      <c r="A98" s="7" t="s">
        <v>59</v>
      </c>
      <c r="B98" s="2" t="s">
        <v>1163</v>
      </c>
      <c r="C98" s="2" t="s">
        <v>1164</v>
      </c>
      <c r="D98" s="2" t="s">
        <v>1165</v>
      </c>
      <c r="F98" s="3" t="s">
        <v>59</v>
      </c>
      <c r="G98" s="3" t="s">
        <v>60</v>
      </c>
      <c r="H98" s="3" t="s">
        <v>59</v>
      </c>
      <c r="I98" s="3" t="s">
        <v>59</v>
      </c>
      <c r="J98" s="3" t="s">
        <v>61</v>
      </c>
      <c r="K98" s="2" t="s">
        <v>1166</v>
      </c>
      <c r="L98" s="2" t="s">
        <v>1167</v>
      </c>
      <c r="M98" s="3" t="s">
        <v>511</v>
      </c>
      <c r="N98" s="2" t="s">
        <v>556</v>
      </c>
      <c r="O98" s="3" t="s">
        <v>64</v>
      </c>
      <c r="P98" s="3" t="s">
        <v>467</v>
      </c>
      <c r="R98" s="3" t="s">
        <v>67</v>
      </c>
      <c r="S98" s="4">
        <v>4</v>
      </c>
      <c r="T98" s="4">
        <v>4</v>
      </c>
      <c r="U98" s="5" t="s">
        <v>1168</v>
      </c>
      <c r="V98" s="5" t="s">
        <v>1168</v>
      </c>
      <c r="W98" s="5" t="s">
        <v>1169</v>
      </c>
      <c r="X98" s="5" t="s">
        <v>1169</v>
      </c>
      <c r="Y98" s="4">
        <v>217</v>
      </c>
      <c r="Z98" s="4">
        <v>211</v>
      </c>
      <c r="AA98" s="4">
        <v>213</v>
      </c>
      <c r="AB98" s="4">
        <v>1</v>
      </c>
      <c r="AC98" s="4">
        <v>1</v>
      </c>
      <c r="AD98" s="4">
        <v>1</v>
      </c>
      <c r="AE98" s="4">
        <v>1</v>
      </c>
      <c r="AF98" s="4">
        <v>0</v>
      </c>
      <c r="AG98" s="4">
        <v>0</v>
      </c>
      <c r="AH98" s="4">
        <v>0</v>
      </c>
      <c r="AI98" s="4">
        <v>0</v>
      </c>
      <c r="AJ98" s="4">
        <v>1</v>
      </c>
      <c r="AK98" s="4">
        <v>1</v>
      </c>
      <c r="AL98" s="4">
        <v>0</v>
      </c>
      <c r="AM98" s="4">
        <v>0</v>
      </c>
      <c r="AN98" s="4">
        <v>0</v>
      </c>
      <c r="AO98" s="4">
        <v>0</v>
      </c>
      <c r="AP98" s="3" t="s">
        <v>59</v>
      </c>
      <c r="AQ98" s="3" t="s">
        <v>69</v>
      </c>
      <c r="AR98" s="6" t="str">
        <f>HYPERLINK("http://catalog.hathitrust.org/Record/101965026","HathiTrust Record")</f>
        <v>HathiTrust Record</v>
      </c>
      <c r="AS98" s="6" t="str">
        <f>HYPERLINK("https://creighton-primo.hosted.exlibrisgroup.com/primo-explore/search?tab=default_tab&amp;search_scope=EVERYTHING&amp;vid=01CRU&amp;lang=en_US&amp;offset=0&amp;query=any,contains,991002461639702656","Catalog Record")</f>
        <v>Catalog Record</v>
      </c>
      <c r="AT98" s="6" t="str">
        <f>HYPERLINK("http://www.worldcat.org/oclc/32085304","WorldCat Record")</f>
        <v>WorldCat Record</v>
      </c>
      <c r="AU98" s="3" t="s">
        <v>1170</v>
      </c>
      <c r="AV98" s="3" t="s">
        <v>1171</v>
      </c>
      <c r="AW98" s="3" t="s">
        <v>1172</v>
      </c>
      <c r="AX98" s="3" t="s">
        <v>1172</v>
      </c>
      <c r="AY98" s="3" t="s">
        <v>1173</v>
      </c>
      <c r="AZ98" s="3" t="s">
        <v>74</v>
      </c>
      <c r="BB98" s="3" t="s">
        <v>1174</v>
      </c>
      <c r="BC98" s="3" t="s">
        <v>1175</v>
      </c>
      <c r="BD98" s="3" t="s">
        <v>1176</v>
      </c>
    </row>
    <row r="99" spans="1:56" ht="57.75" customHeight="1" x14ac:dyDescent="0.25">
      <c r="A99" s="7" t="s">
        <v>59</v>
      </c>
      <c r="B99" s="2" t="s">
        <v>1177</v>
      </c>
      <c r="C99" s="2" t="s">
        <v>1178</v>
      </c>
      <c r="D99" s="2" t="s">
        <v>1179</v>
      </c>
      <c r="F99" s="3" t="s">
        <v>59</v>
      </c>
      <c r="G99" s="3" t="s">
        <v>60</v>
      </c>
      <c r="H99" s="3" t="s">
        <v>59</v>
      </c>
      <c r="I99" s="3" t="s">
        <v>59</v>
      </c>
      <c r="J99" s="3" t="s">
        <v>61</v>
      </c>
      <c r="K99" s="2" t="s">
        <v>1180</v>
      </c>
      <c r="L99" s="2" t="s">
        <v>1181</v>
      </c>
      <c r="M99" s="3" t="s">
        <v>1182</v>
      </c>
      <c r="O99" s="3" t="s">
        <v>64</v>
      </c>
      <c r="P99" s="3" t="s">
        <v>1078</v>
      </c>
      <c r="R99" s="3" t="s">
        <v>67</v>
      </c>
      <c r="S99" s="4">
        <v>12</v>
      </c>
      <c r="T99" s="4">
        <v>12</v>
      </c>
      <c r="U99" s="5" t="s">
        <v>1183</v>
      </c>
      <c r="V99" s="5" t="s">
        <v>1183</v>
      </c>
      <c r="W99" s="5" t="s">
        <v>1184</v>
      </c>
      <c r="X99" s="5" t="s">
        <v>1184</v>
      </c>
      <c r="Y99" s="4">
        <v>395</v>
      </c>
      <c r="Z99" s="4">
        <v>375</v>
      </c>
      <c r="AA99" s="4">
        <v>379</v>
      </c>
      <c r="AB99" s="4">
        <v>1</v>
      </c>
      <c r="AC99" s="4">
        <v>1</v>
      </c>
      <c r="AD99" s="4">
        <v>2</v>
      </c>
      <c r="AE99" s="4">
        <v>2</v>
      </c>
      <c r="AF99" s="4">
        <v>1</v>
      </c>
      <c r="AG99" s="4">
        <v>1</v>
      </c>
      <c r="AH99" s="4">
        <v>0</v>
      </c>
      <c r="AI99" s="4">
        <v>0</v>
      </c>
      <c r="AJ99" s="4">
        <v>1</v>
      </c>
      <c r="AK99" s="4">
        <v>1</v>
      </c>
      <c r="AL99" s="4">
        <v>0</v>
      </c>
      <c r="AM99" s="4">
        <v>0</v>
      </c>
      <c r="AN99" s="4">
        <v>0</v>
      </c>
      <c r="AO99" s="4">
        <v>0</v>
      </c>
      <c r="AP99" s="3" t="s">
        <v>59</v>
      </c>
      <c r="AQ99" s="3" t="s">
        <v>59</v>
      </c>
      <c r="AS99" s="6" t="str">
        <f>HYPERLINK("https://creighton-primo.hosted.exlibrisgroup.com/primo-explore/search?tab=default_tab&amp;search_scope=EVERYTHING&amp;vid=01CRU&amp;lang=en_US&amp;offset=0&amp;query=any,contains,991001676079702656","Catalog Record")</f>
        <v>Catalog Record</v>
      </c>
      <c r="AT99" s="6" t="str">
        <f>HYPERLINK("http://www.worldcat.org/oclc/21331178","WorldCat Record")</f>
        <v>WorldCat Record</v>
      </c>
      <c r="AU99" s="3" t="s">
        <v>1185</v>
      </c>
      <c r="AV99" s="3" t="s">
        <v>1186</v>
      </c>
      <c r="AW99" s="3" t="s">
        <v>1187</v>
      </c>
      <c r="AX99" s="3" t="s">
        <v>1187</v>
      </c>
      <c r="AY99" s="3" t="s">
        <v>1188</v>
      </c>
      <c r="AZ99" s="3" t="s">
        <v>74</v>
      </c>
      <c r="BB99" s="3" t="s">
        <v>1189</v>
      </c>
      <c r="BC99" s="3" t="s">
        <v>1190</v>
      </c>
      <c r="BD99" s="3" t="s">
        <v>1191</v>
      </c>
    </row>
    <row r="100" spans="1:56" ht="57.75" customHeight="1" x14ac:dyDescent="0.25">
      <c r="A100" s="7" t="s">
        <v>59</v>
      </c>
      <c r="B100" s="2" t="s">
        <v>1192</v>
      </c>
      <c r="C100" s="2" t="s">
        <v>1193</v>
      </c>
      <c r="D100" s="2" t="s">
        <v>1194</v>
      </c>
      <c r="F100" s="3" t="s">
        <v>59</v>
      </c>
      <c r="G100" s="3" t="s">
        <v>60</v>
      </c>
      <c r="H100" s="3" t="s">
        <v>59</v>
      </c>
      <c r="I100" s="3" t="s">
        <v>59</v>
      </c>
      <c r="J100" s="3" t="s">
        <v>61</v>
      </c>
      <c r="K100" s="2" t="s">
        <v>1195</v>
      </c>
      <c r="L100" s="2" t="s">
        <v>1196</v>
      </c>
      <c r="M100" s="3" t="s">
        <v>670</v>
      </c>
      <c r="N100" s="2" t="s">
        <v>1197</v>
      </c>
      <c r="O100" s="3" t="s">
        <v>64</v>
      </c>
      <c r="P100" s="3" t="s">
        <v>1198</v>
      </c>
      <c r="R100" s="3" t="s">
        <v>67</v>
      </c>
      <c r="S100" s="4">
        <v>10</v>
      </c>
      <c r="T100" s="4">
        <v>10</v>
      </c>
      <c r="U100" s="5" t="s">
        <v>1104</v>
      </c>
      <c r="V100" s="5" t="s">
        <v>1104</v>
      </c>
      <c r="W100" s="5" t="s">
        <v>1199</v>
      </c>
      <c r="X100" s="5" t="s">
        <v>1199</v>
      </c>
      <c r="Y100" s="4">
        <v>128</v>
      </c>
      <c r="Z100" s="4">
        <v>117</v>
      </c>
      <c r="AA100" s="4">
        <v>554</v>
      </c>
      <c r="AB100" s="4">
        <v>2</v>
      </c>
      <c r="AC100" s="4">
        <v>3</v>
      </c>
      <c r="AD100" s="4">
        <v>5</v>
      </c>
      <c r="AE100" s="4">
        <v>17</v>
      </c>
      <c r="AF100" s="4">
        <v>2</v>
      </c>
      <c r="AG100" s="4">
        <v>8</v>
      </c>
      <c r="AH100" s="4">
        <v>0</v>
      </c>
      <c r="AI100" s="4">
        <v>3</v>
      </c>
      <c r="AJ100" s="4">
        <v>3</v>
      </c>
      <c r="AK100" s="4">
        <v>9</v>
      </c>
      <c r="AL100" s="4">
        <v>1</v>
      </c>
      <c r="AM100" s="4">
        <v>2</v>
      </c>
      <c r="AN100" s="4">
        <v>0</v>
      </c>
      <c r="AO100" s="4">
        <v>0</v>
      </c>
      <c r="AP100" s="3" t="s">
        <v>59</v>
      </c>
      <c r="AQ100" s="3" t="s">
        <v>69</v>
      </c>
      <c r="AR100" s="6" t="str">
        <f>HYPERLINK("http://catalog.hathitrust.org/Record/007476487","HathiTrust Record")</f>
        <v>HathiTrust Record</v>
      </c>
      <c r="AS100" s="6" t="str">
        <f>HYPERLINK("https://creighton-primo.hosted.exlibrisgroup.com/primo-explore/search?tab=default_tab&amp;search_scope=EVERYTHING&amp;vid=01CRU&amp;lang=en_US&amp;offset=0&amp;query=any,contains,991005243839702656","Catalog Record")</f>
        <v>Catalog Record</v>
      </c>
      <c r="AT100" s="6" t="str">
        <f>HYPERLINK("http://www.worldcat.org/oclc/8440851","WorldCat Record")</f>
        <v>WorldCat Record</v>
      </c>
      <c r="AU100" s="3" t="s">
        <v>1200</v>
      </c>
      <c r="AV100" s="3" t="s">
        <v>1201</v>
      </c>
      <c r="AW100" s="3" t="s">
        <v>1202</v>
      </c>
      <c r="AX100" s="3" t="s">
        <v>1202</v>
      </c>
      <c r="AY100" s="3" t="s">
        <v>1203</v>
      </c>
      <c r="AZ100" s="3" t="s">
        <v>74</v>
      </c>
      <c r="BB100" s="3" t="s">
        <v>1204</v>
      </c>
      <c r="BC100" s="3" t="s">
        <v>1205</v>
      </c>
      <c r="BD100" s="3" t="s">
        <v>1206</v>
      </c>
    </row>
    <row r="101" spans="1:56" ht="57.75" customHeight="1" x14ac:dyDescent="0.25">
      <c r="A101" s="7" t="s">
        <v>59</v>
      </c>
      <c r="B101" s="2" t="s">
        <v>1207</v>
      </c>
      <c r="C101" s="2" t="s">
        <v>1208</v>
      </c>
      <c r="D101" s="2" t="s">
        <v>1209</v>
      </c>
      <c r="F101" s="3" t="s">
        <v>59</v>
      </c>
      <c r="G101" s="3" t="s">
        <v>60</v>
      </c>
      <c r="H101" s="3" t="s">
        <v>59</v>
      </c>
      <c r="I101" s="3" t="s">
        <v>59</v>
      </c>
      <c r="J101" s="3" t="s">
        <v>61</v>
      </c>
      <c r="K101" s="2" t="s">
        <v>1210</v>
      </c>
      <c r="L101" s="2" t="s">
        <v>1211</v>
      </c>
      <c r="M101" s="3" t="s">
        <v>1212</v>
      </c>
      <c r="N101" s="2" t="s">
        <v>1213</v>
      </c>
      <c r="O101" s="3" t="s">
        <v>64</v>
      </c>
      <c r="P101" s="3" t="s">
        <v>932</v>
      </c>
      <c r="R101" s="3" t="s">
        <v>67</v>
      </c>
      <c r="S101" s="4">
        <v>3</v>
      </c>
      <c r="T101" s="4">
        <v>3</v>
      </c>
      <c r="U101" s="5" t="s">
        <v>1214</v>
      </c>
      <c r="V101" s="5" t="s">
        <v>1214</v>
      </c>
      <c r="W101" s="5" t="s">
        <v>575</v>
      </c>
      <c r="X101" s="5" t="s">
        <v>575</v>
      </c>
      <c r="Y101" s="4">
        <v>14</v>
      </c>
      <c r="Z101" s="4">
        <v>14</v>
      </c>
      <c r="AA101" s="4">
        <v>290</v>
      </c>
      <c r="AB101" s="4">
        <v>2</v>
      </c>
      <c r="AC101" s="4">
        <v>3</v>
      </c>
      <c r="AD101" s="4">
        <v>1</v>
      </c>
      <c r="AE101" s="4">
        <v>6</v>
      </c>
      <c r="AF101" s="4">
        <v>0</v>
      </c>
      <c r="AG101" s="4">
        <v>1</v>
      </c>
      <c r="AH101" s="4">
        <v>0</v>
      </c>
      <c r="AI101" s="4">
        <v>1</v>
      </c>
      <c r="AJ101" s="4">
        <v>0</v>
      </c>
      <c r="AK101" s="4">
        <v>3</v>
      </c>
      <c r="AL101" s="4">
        <v>1</v>
      </c>
      <c r="AM101" s="4">
        <v>2</v>
      </c>
      <c r="AN101" s="4">
        <v>0</v>
      </c>
      <c r="AO101" s="4">
        <v>0</v>
      </c>
      <c r="AP101" s="3" t="s">
        <v>59</v>
      </c>
      <c r="AQ101" s="3" t="s">
        <v>59</v>
      </c>
      <c r="AS101" s="6" t="str">
        <f>HYPERLINK("https://creighton-primo.hosted.exlibrisgroup.com/primo-explore/search?tab=default_tab&amp;search_scope=EVERYTHING&amp;vid=01CRU&amp;lang=en_US&amp;offset=0&amp;query=any,contains,991004781009702656","Catalog Record")</f>
        <v>Catalog Record</v>
      </c>
      <c r="AT101" s="6" t="str">
        <f>HYPERLINK("http://www.worldcat.org/oclc/5107653","WorldCat Record")</f>
        <v>WorldCat Record</v>
      </c>
      <c r="AU101" s="3" t="s">
        <v>1215</v>
      </c>
      <c r="AV101" s="3" t="s">
        <v>1216</v>
      </c>
      <c r="AW101" s="3" t="s">
        <v>1217</v>
      </c>
      <c r="AX101" s="3" t="s">
        <v>1217</v>
      </c>
      <c r="AY101" s="3" t="s">
        <v>1218</v>
      </c>
      <c r="AZ101" s="3" t="s">
        <v>74</v>
      </c>
      <c r="BC101" s="3" t="s">
        <v>1219</v>
      </c>
      <c r="BD101" s="3" t="s">
        <v>1220</v>
      </c>
    </row>
    <row r="102" spans="1:56" ht="57.75" customHeight="1" x14ac:dyDescent="0.25">
      <c r="A102" s="7" t="s">
        <v>59</v>
      </c>
      <c r="B102" s="2" t="s">
        <v>1221</v>
      </c>
      <c r="C102" s="2" t="s">
        <v>1222</v>
      </c>
      <c r="D102" s="2" t="s">
        <v>1223</v>
      </c>
      <c r="F102" s="3" t="s">
        <v>59</v>
      </c>
      <c r="G102" s="3" t="s">
        <v>60</v>
      </c>
      <c r="H102" s="3" t="s">
        <v>59</v>
      </c>
      <c r="I102" s="3" t="s">
        <v>59</v>
      </c>
      <c r="J102" s="3" t="s">
        <v>61</v>
      </c>
      <c r="K102" s="2" t="s">
        <v>1224</v>
      </c>
      <c r="L102" s="2" t="s">
        <v>1225</v>
      </c>
      <c r="M102" s="3" t="s">
        <v>1226</v>
      </c>
      <c r="O102" s="3" t="s">
        <v>64</v>
      </c>
      <c r="P102" s="3" t="s">
        <v>573</v>
      </c>
      <c r="R102" s="3" t="s">
        <v>67</v>
      </c>
      <c r="S102" s="4">
        <v>2</v>
      </c>
      <c r="T102" s="4">
        <v>2</v>
      </c>
      <c r="U102" s="5" t="s">
        <v>822</v>
      </c>
      <c r="V102" s="5" t="s">
        <v>822</v>
      </c>
      <c r="W102" s="5" t="s">
        <v>575</v>
      </c>
      <c r="X102" s="5" t="s">
        <v>575</v>
      </c>
      <c r="Y102" s="4">
        <v>244</v>
      </c>
      <c r="Z102" s="4">
        <v>225</v>
      </c>
      <c r="AA102" s="4">
        <v>406</v>
      </c>
      <c r="AB102" s="4">
        <v>4</v>
      </c>
      <c r="AC102" s="4">
        <v>4</v>
      </c>
      <c r="AD102" s="4">
        <v>7</v>
      </c>
      <c r="AE102" s="4">
        <v>15</v>
      </c>
      <c r="AF102" s="4">
        <v>0</v>
      </c>
      <c r="AG102" s="4">
        <v>3</v>
      </c>
      <c r="AH102" s="4">
        <v>0</v>
      </c>
      <c r="AI102" s="4">
        <v>2</v>
      </c>
      <c r="AJ102" s="4">
        <v>4</v>
      </c>
      <c r="AK102" s="4">
        <v>10</v>
      </c>
      <c r="AL102" s="4">
        <v>3</v>
      </c>
      <c r="AM102" s="4">
        <v>3</v>
      </c>
      <c r="AN102" s="4">
        <v>0</v>
      </c>
      <c r="AO102" s="4">
        <v>0</v>
      </c>
      <c r="AP102" s="3" t="s">
        <v>69</v>
      </c>
      <c r="AQ102" s="3" t="s">
        <v>59</v>
      </c>
      <c r="AR102" s="6" t="str">
        <f>HYPERLINK("http://catalog.hathitrust.org/Record/001507986","HathiTrust Record")</f>
        <v>HathiTrust Record</v>
      </c>
      <c r="AS102" s="6" t="str">
        <f>HYPERLINK("https://creighton-primo.hosted.exlibrisgroup.com/primo-explore/search?tab=default_tab&amp;search_scope=EVERYTHING&amp;vid=01CRU&amp;lang=en_US&amp;offset=0&amp;query=any,contains,991003452489702656","Catalog Record")</f>
        <v>Catalog Record</v>
      </c>
      <c r="AT102" s="6" t="str">
        <f>HYPERLINK("http://www.worldcat.org/oclc/991373","WorldCat Record")</f>
        <v>WorldCat Record</v>
      </c>
      <c r="AU102" s="3" t="s">
        <v>1227</v>
      </c>
      <c r="AV102" s="3" t="s">
        <v>1228</v>
      </c>
      <c r="AW102" s="3" t="s">
        <v>1229</v>
      </c>
      <c r="AX102" s="3" t="s">
        <v>1229</v>
      </c>
      <c r="AY102" s="3" t="s">
        <v>1230</v>
      </c>
      <c r="AZ102" s="3" t="s">
        <v>74</v>
      </c>
      <c r="BC102" s="3" t="s">
        <v>1231</v>
      </c>
      <c r="BD102" s="3" t="s">
        <v>1232</v>
      </c>
    </row>
    <row r="103" spans="1:56" ht="57.75" customHeight="1" x14ac:dyDescent="0.25">
      <c r="A103" s="7" t="s">
        <v>59</v>
      </c>
      <c r="B103" s="2" t="s">
        <v>1233</v>
      </c>
      <c r="C103" s="2" t="s">
        <v>1234</v>
      </c>
      <c r="D103" s="2" t="s">
        <v>1235</v>
      </c>
      <c r="F103" s="3" t="s">
        <v>59</v>
      </c>
      <c r="G103" s="3" t="s">
        <v>60</v>
      </c>
      <c r="H103" s="3" t="s">
        <v>59</v>
      </c>
      <c r="I103" s="3" t="s">
        <v>59</v>
      </c>
      <c r="J103" s="3" t="s">
        <v>61</v>
      </c>
      <c r="K103" s="2" t="s">
        <v>1236</v>
      </c>
      <c r="L103" s="2" t="s">
        <v>1237</v>
      </c>
      <c r="M103" s="3" t="s">
        <v>1238</v>
      </c>
      <c r="O103" s="3" t="s">
        <v>64</v>
      </c>
      <c r="P103" s="3" t="s">
        <v>1239</v>
      </c>
      <c r="Q103" s="2" t="s">
        <v>1240</v>
      </c>
      <c r="R103" s="3" t="s">
        <v>67</v>
      </c>
      <c r="S103" s="4">
        <v>0</v>
      </c>
      <c r="T103" s="4">
        <v>0</v>
      </c>
      <c r="U103" s="5" t="s">
        <v>1241</v>
      </c>
      <c r="V103" s="5" t="s">
        <v>1241</v>
      </c>
      <c r="W103" s="5" t="s">
        <v>1199</v>
      </c>
      <c r="X103" s="5" t="s">
        <v>1199</v>
      </c>
      <c r="Y103" s="4">
        <v>210</v>
      </c>
      <c r="Z103" s="4">
        <v>186</v>
      </c>
      <c r="AA103" s="4">
        <v>282</v>
      </c>
      <c r="AB103" s="4">
        <v>1</v>
      </c>
      <c r="AC103" s="4">
        <v>3</v>
      </c>
      <c r="AD103" s="4">
        <v>5</v>
      </c>
      <c r="AE103" s="4">
        <v>12</v>
      </c>
      <c r="AF103" s="4">
        <v>3</v>
      </c>
      <c r="AG103" s="4">
        <v>5</v>
      </c>
      <c r="AH103" s="4">
        <v>1</v>
      </c>
      <c r="AI103" s="4">
        <v>2</v>
      </c>
      <c r="AJ103" s="4">
        <v>2</v>
      </c>
      <c r="AK103" s="4">
        <v>5</v>
      </c>
      <c r="AL103" s="4">
        <v>0</v>
      </c>
      <c r="AM103" s="4">
        <v>2</v>
      </c>
      <c r="AN103" s="4">
        <v>0</v>
      </c>
      <c r="AO103" s="4">
        <v>1</v>
      </c>
      <c r="AP103" s="3" t="s">
        <v>69</v>
      </c>
      <c r="AQ103" s="3" t="s">
        <v>59</v>
      </c>
      <c r="AR103" s="6" t="str">
        <f>HYPERLINK("http://catalog.hathitrust.org/Record/001499080","HathiTrust Record")</f>
        <v>HathiTrust Record</v>
      </c>
      <c r="AS103" s="6" t="str">
        <f>HYPERLINK("https://creighton-primo.hosted.exlibrisgroup.com/primo-explore/search?tab=default_tab&amp;search_scope=EVERYTHING&amp;vid=01CRU&amp;lang=en_US&amp;offset=0&amp;query=any,contains,991003404539702656","Catalog Record")</f>
        <v>Catalog Record</v>
      </c>
      <c r="AT103" s="6" t="str">
        <f>HYPERLINK("http://www.worldcat.org/oclc/944162","WorldCat Record")</f>
        <v>WorldCat Record</v>
      </c>
      <c r="AU103" s="3" t="s">
        <v>1242</v>
      </c>
      <c r="AV103" s="3" t="s">
        <v>1243</v>
      </c>
      <c r="AW103" s="3" t="s">
        <v>1244</v>
      </c>
      <c r="AX103" s="3" t="s">
        <v>1244</v>
      </c>
      <c r="AY103" s="3" t="s">
        <v>1245</v>
      </c>
      <c r="AZ103" s="3" t="s">
        <v>74</v>
      </c>
      <c r="BC103" s="3" t="s">
        <v>1246</v>
      </c>
      <c r="BD103" s="3" t="s">
        <v>1247</v>
      </c>
    </row>
    <row r="104" spans="1:56" ht="57.75" customHeight="1" x14ac:dyDescent="0.25">
      <c r="A104" s="7" t="s">
        <v>59</v>
      </c>
      <c r="B104" s="2" t="s">
        <v>1248</v>
      </c>
      <c r="C104" s="2" t="s">
        <v>1249</v>
      </c>
      <c r="D104" s="2" t="s">
        <v>1250</v>
      </c>
      <c r="F104" s="3" t="s">
        <v>59</v>
      </c>
      <c r="G104" s="3" t="s">
        <v>60</v>
      </c>
      <c r="H104" s="3" t="s">
        <v>59</v>
      </c>
      <c r="I104" s="3" t="s">
        <v>59</v>
      </c>
      <c r="J104" s="3" t="s">
        <v>61</v>
      </c>
      <c r="K104" s="2" t="s">
        <v>1251</v>
      </c>
      <c r="L104" s="2" t="s">
        <v>1252</v>
      </c>
      <c r="M104" s="3" t="s">
        <v>835</v>
      </c>
      <c r="O104" s="3" t="s">
        <v>64</v>
      </c>
      <c r="P104" s="3" t="s">
        <v>1253</v>
      </c>
      <c r="R104" s="3" t="s">
        <v>67</v>
      </c>
      <c r="S104" s="4">
        <v>1</v>
      </c>
      <c r="T104" s="4">
        <v>1</v>
      </c>
      <c r="U104" s="5" t="s">
        <v>1254</v>
      </c>
      <c r="V104" s="5" t="s">
        <v>1254</v>
      </c>
      <c r="W104" s="5" t="s">
        <v>1199</v>
      </c>
      <c r="X104" s="5" t="s">
        <v>1199</v>
      </c>
      <c r="Y104" s="4">
        <v>303</v>
      </c>
      <c r="Z104" s="4">
        <v>296</v>
      </c>
      <c r="AA104" s="4">
        <v>466</v>
      </c>
      <c r="AB104" s="4">
        <v>6</v>
      </c>
      <c r="AC104" s="4">
        <v>6</v>
      </c>
      <c r="AD104" s="4">
        <v>6</v>
      </c>
      <c r="AE104" s="4">
        <v>9</v>
      </c>
      <c r="AF104" s="4">
        <v>1</v>
      </c>
      <c r="AG104" s="4">
        <v>2</v>
      </c>
      <c r="AH104" s="4">
        <v>0</v>
      </c>
      <c r="AI104" s="4">
        <v>0</v>
      </c>
      <c r="AJ104" s="4">
        <v>0</v>
      </c>
      <c r="AK104" s="4">
        <v>3</v>
      </c>
      <c r="AL104" s="4">
        <v>5</v>
      </c>
      <c r="AM104" s="4">
        <v>5</v>
      </c>
      <c r="AN104" s="4">
        <v>0</v>
      </c>
      <c r="AO104" s="4">
        <v>0</v>
      </c>
      <c r="AP104" s="3" t="s">
        <v>59</v>
      </c>
      <c r="AQ104" s="3" t="s">
        <v>69</v>
      </c>
      <c r="AR104" s="6" t="str">
        <f>HYPERLINK("http://catalog.hathitrust.org/Record/009518785","HathiTrust Record")</f>
        <v>HathiTrust Record</v>
      </c>
      <c r="AS104" s="6" t="str">
        <f>HYPERLINK("https://creighton-primo.hosted.exlibrisgroup.com/primo-explore/search?tab=default_tab&amp;search_scope=EVERYTHING&amp;vid=01CRU&amp;lang=en_US&amp;offset=0&amp;query=any,contains,991004856309702656","Catalog Record")</f>
        <v>Catalog Record</v>
      </c>
      <c r="AT104" s="6" t="str">
        <f>HYPERLINK("http://www.worldcat.org/oclc/5675262","WorldCat Record")</f>
        <v>WorldCat Record</v>
      </c>
      <c r="AU104" s="3" t="s">
        <v>1255</v>
      </c>
      <c r="AV104" s="3" t="s">
        <v>1256</v>
      </c>
      <c r="AW104" s="3" t="s">
        <v>1257</v>
      </c>
      <c r="AX104" s="3" t="s">
        <v>1257</v>
      </c>
      <c r="AY104" s="3" t="s">
        <v>1258</v>
      </c>
      <c r="AZ104" s="3" t="s">
        <v>74</v>
      </c>
      <c r="BB104" s="3" t="s">
        <v>1259</v>
      </c>
      <c r="BC104" s="3" t="s">
        <v>1260</v>
      </c>
      <c r="BD104" s="3" t="s">
        <v>1261</v>
      </c>
    </row>
    <row r="105" spans="1:56" ht="57.75" customHeight="1" x14ac:dyDescent="0.25">
      <c r="A105" s="7" t="s">
        <v>59</v>
      </c>
      <c r="B105" s="2" t="s">
        <v>1262</v>
      </c>
      <c r="C105" s="2" t="s">
        <v>1263</v>
      </c>
      <c r="D105" s="2" t="s">
        <v>1264</v>
      </c>
      <c r="F105" s="3" t="s">
        <v>59</v>
      </c>
      <c r="G105" s="3" t="s">
        <v>60</v>
      </c>
      <c r="H105" s="3" t="s">
        <v>59</v>
      </c>
      <c r="I105" s="3" t="s">
        <v>59</v>
      </c>
      <c r="J105" s="3" t="s">
        <v>61</v>
      </c>
      <c r="K105" s="2" t="s">
        <v>1265</v>
      </c>
      <c r="L105" s="2" t="s">
        <v>1266</v>
      </c>
      <c r="M105" s="3" t="s">
        <v>1267</v>
      </c>
      <c r="O105" s="3" t="s">
        <v>64</v>
      </c>
      <c r="P105" s="3" t="s">
        <v>1268</v>
      </c>
      <c r="R105" s="3" t="s">
        <v>67</v>
      </c>
      <c r="S105" s="4">
        <v>2</v>
      </c>
      <c r="T105" s="4">
        <v>2</v>
      </c>
      <c r="U105" s="5" t="s">
        <v>1269</v>
      </c>
      <c r="V105" s="5" t="s">
        <v>1269</v>
      </c>
      <c r="W105" s="5" t="s">
        <v>1269</v>
      </c>
      <c r="X105" s="5" t="s">
        <v>1269</v>
      </c>
      <c r="Y105" s="4">
        <v>159</v>
      </c>
      <c r="Z105" s="4">
        <v>138</v>
      </c>
      <c r="AA105" s="4">
        <v>670</v>
      </c>
      <c r="AB105" s="4">
        <v>1</v>
      </c>
      <c r="AC105" s="4">
        <v>5</v>
      </c>
      <c r="AD105" s="4">
        <v>5</v>
      </c>
      <c r="AE105" s="4">
        <v>30</v>
      </c>
      <c r="AF105" s="4">
        <v>3</v>
      </c>
      <c r="AG105" s="4">
        <v>12</v>
      </c>
      <c r="AH105" s="4">
        <v>1</v>
      </c>
      <c r="AI105" s="4">
        <v>7</v>
      </c>
      <c r="AJ105" s="4">
        <v>2</v>
      </c>
      <c r="AK105" s="4">
        <v>13</v>
      </c>
      <c r="AL105" s="4">
        <v>0</v>
      </c>
      <c r="AM105" s="4">
        <v>4</v>
      </c>
      <c r="AN105" s="4">
        <v>0</v>
      </c>
      <c r="AO105" s="4">
        <v>1</v>
      </c>
      <c r="AP105" s="3" t="s">
        <v>59</v>
      </c>
      <c r="AQ105" s="3" t="s">
        <v>59</v>
      </c>
      <c r="AS105" s="6" t="str">
        <f>HYPERLINK("https://creighton-primo.hosted.exlibrisgroup.com/primo-explore/search?tab=default_tab&amp;search_scope=EVERYTHING&amp;vid=01CRU&amp;lang=en_US&amp;offset=0&amp;query=any,contains,991005282799702656","Catalog Record")</f>
        <v>Catalog Record</v>
      </c>
      <c r="AT105" s="6" t="str">
        <f>HYPERLINK("http://www.worldcat.org/oclc/173502714","WorldCat Record")</f>
        <v>WorldCat Record</v>
      </c>
      <c r="AU105" s="3" t="s">
        <v>1270</v>
      </c>
      <c r="AV105" s="3" t="s">
        <v>1271</v>
      </c>
      <c r="AW105" s="3" t="s">
        <v>1272</v>
      </c>
      <c r="AX105" s="3" t="s">
        <v>1272</v>
      </c>
      <c r="AY105" s="3" t="s">
        <v>1273</v>
      </c>
      <c r="AZ105" s="3" t="s">
        <v>74</v>
      </c>
      <c r="BB105" s="3" t="s">
        <v>1274</v>
      </c>
      <c r="BC105" s="3" t="s">
        <v>1275</v>
      </c>
      <c r="BD105" s="3" t="s">
        <v>1276</v>
      </c>
    </row>
    <row r="106" spans="1:56" ht="57.75" customHeight="1" x14ac:dyDescent="0.25">
      <c r="A106" s="7" t="s">
        <v>59</v>
      </c>
      <c r="B106" s="2" t="s">
        <v>1277</v>
      </c>
      <c r="C106" s="2" t="s">
        <v>1278</v>
      </c>
      <c r="D106" s="2" t="s">
        <v>1279</v>
      </c>
      <c r="F106" s="3" t="s">
        <v>59</v>
      </c>
      <c r="G106" s="3" t="s">
        <v>60</v>
      </c>
      <c r="H106" s="3" t="s">
        <v>59</v>
      </c>
      <c r="I106" s="3" t="s">
        <v>59</v>
      </c>
      <c r="J106" s="3" t="s">
        <v>61</v>
      </c>
      <c r="K106" s="2" t="s">
        <v>1280</v>
      </c>
      <c r="L106" s="2" t="s">
        <v>1281</v>
      </c>
      <c r="M106" s="3" t="s">
        <v>1282</v>
      </c>
      <c r="O106" s="3" t="s">
        <v>64</v>
      </c>
      <c r="P106" s="3" t="s">
        <v>467</v>
      </c>
      <c r="R106" s="3" t="s">
        <v>67</v>
      </c>
      <c r="S106" s="4">
        <v>1</v>
      </c>
      <c r="T106" s="4">
        <v>1</v>
      </c>
      <c r="U106" s="5" t="s">
        <v>1283</v>
      </c>
      <c r="V106" s="5" t="s">
        <v>1283</v>
      </c>
      <c r="W106" s="5" t="s">
        <v>1283</v>
      </c>
      <c r="X106" s="5" t="s">
        <v>1283</v>
      </c>
      <c r="Y106" s="4">
        <v>412</v>
      </c>
      <c r="Z106" s="4">
        <v>372</v>
      </c>
      <c r="AA106" s="4">
        <v>533</v>
      </c>
      <c r="AB106" s="4">
        <v>5</v>
      </c>
      <c r="AC106" s="4">
        <v>6</v>
      </c>
      <c r="AD106" s="4">
        <v>11</v>
      </c>
      <c r="AE106" s="4">
        <v>23</v>
      </c>
      <c r="AF106" s="4">
        <v>1</v>
      </c>
      <c r="AG106" s="4">
        <v>6</v>
      </c>
      <c r="AH106" s="4">
        <v>3</v>
      </c>
      <c r="AI106" s="4">
        <v>3</v>
      </c>
      <c r="AJ106" s="4">
        <v>6</v>
      </c>
      <c r="AK106" s="4">
        <v>14</v>
      </c>
      <c r="AL106" s="4">
        <v>4</v>
      </c>
      <c r="AM106" s="4">
        <v>5</v>
      </c>
      <c r="AN106" s="4">
        <v>0</v>
      </c>
      <c r="AO106" s="4">
        <v>0</v>
      </c>
      <c r="AP106" s="3" t="s">
        <v>59</v>
      </c>
      <c r="AQ106" s="3" t="s">
        <v>69</v>
      </c>
      <c r="AR106" s="6" t="str">
        <f>HYPERLINK("http://catalog.hathitrust.org/Record/001499113","HathiTrust Record")</f>
        <v>HathiTrust Record</v>
      </c>
      <c r="AS106" s="6" t="str">
        <f>HYPERLINK("https://creighton-primo.hosted.exlibrisgroup.com/primo-explore/search?tab=default_tab&amp;search_scope=EVERYTHING&amp;vid=01CRU&amp;lang=en_US&amp;offset=0&amp;query=any,contains,991003289669702656","Catalog Record")</f>
        <v>Catalog Record</v>
      </c>
      <c r="AT106" s="6" t="str">
        <f>HYPERLINK("http://www.worldcat.org/oclc/556835","WorldCat Record")</f>
        <v>WorldCat Record</v>
      </c>
      <c r="AU106" s="3" t="s">
        <v>1284</v>
      </c>
      <c r="AV106" s="3" t="s">
        <v>1285</v>
      </c>
      <c r="AW106" s="3" t="s">
        <v>1286</v>
      </c>
      <c r="AX106" s="3" t="s">
        <v>1286</v>
      </c>
      <c r="AY106" s="3" t="s">
        <v>1287</v>
      </c>
      <c r="AZ106" s="3" t="s">
        <v>74</v>
      </c>
      <c r="BC106" s="3" t="s">
        <v>1288</v>
      </c>
      <c r="BD106" s="3" t="s">
        <v>1289</v>
      </c>
    </row>
    <row r="107" spans="1:56" ht="57.75" customHeight="1" x14ac:dyDescent="0.25">
      <c r="A107" s="7" t="s">
        <v>59</v>
      </c>
      <c r="B107" s="2" t="s">
        <v>1290</v>
      </c>
      <c r="C107" s="2" t="s">
        <v>1291</v>
      </c>
      <c r="D107" s="2" t="s">
        <v>1292</v>
      </c>
      <c r="F107" s="3" t="s">
        <v>59</v>
      </c>
      <c r="G107" s="3" t="s">
        <v>60</v>
      </c>
      <c r="H107" s="3" t="s">
        <v>59</v>
      </c>
      <c r="I107" s="3" t="s">
        <v>59</v>
      </c>
      <c r="J107" s="3" t="s">
        <v>61</v>
      </c>
      <c r="L107" s="2" t="s">
        <v>1293</v>
      </c>
      <c r="M107" s="3" t="s">
        <v>1294</v>
      </c>
      <c r="O107" s="3" t="s">
        <v>64</v>
      </c>
      <c r="P107" s="3" t="s">
        <v>467</v>
      </c>
      <c r="R107" s="3" t="s">
        <v>67</v>
      </c>
      <c r="S107" s="4">
        <v>1</v>
      </c>
      <c r="T107" s="4">
        <v>1</v>
      </c>
      <c r="U107" s="5" t="s">
        <v>1295</v>
      </c>
      <c r="V107" s="5" t="s">
        <v>1295</v>
      </c>
      <c r="W107" s="5" t="s">
        <v>1295</v>
      </c>
      <c r="X107" s="5" t="s">
        <v>1295</v>
      </c>
      <c r="Y107" s="4">
        <v>283</v>
      </c>
      <c r="Z107" s="4">
        <v>223</v>
      </c>
      <c r="AA107" s="4">
        <v>223</v>
      </c>
      <c r="AB107" s="4">
        <v>3</v>
      </c>
      <c r="AC107" s="4">
        <v>3</v>
      </c>
      <c r="AD107" s="4">
        <v>11</v>
      </c>
      <c r="AE107" s="4">
        <v>11</v>
      </c>
      <c r="AF107" s="4">
        <v>4</v>
      </c>
      <c r="AG107" s="4">
        <v>4</v>
      </c>
      <c r="AH107" s="4">
        <v>4</v>
      </c>
      <c r="AI107" s="4">
        <v>4</v>
      </c>
      <c r="AJ107" s="4">
        <v>4</v>
      </c>
      <c r="AK107" s="4">
        <v>4</v>
      </c>
      <c r="AL107" s="4">
        <v>2</v>
      </c>
      <c r="AM107" s="4">
        <v>2</v>
      </c>
      <c r="AN107" s="4">
        <v>0</v>
      </c>
      <c r="AO107" s="4">
        <v>0</v>
      </c>
      <c r="AP107" s="3" t="s">
        <v>59</v>
      </c>
      <c r="AQ107" s="3" t="s">
        <v>59</v>
      </c>
      <c r="AS107" s="6" t="str">
        <f>HYPERLINK("https://creighton-primo.hosted.exlibrisgroup.com/primo-explore/search?tab=default_tab&amp;search_scope=EVERYTHING&amp;vid=01CRU&amp;lang=en_US&amp;offset=0&amp;query=any,contains,991005379439702656","Catalog Record")</f>
        <v>Catalog Record</v>
      </c>
      <c r="AT107" s="6" t="str">
        <f>HYPERLINK("http://www.worldcat.org/oclc/351331776","WorldCat Record")</f>
        <v>WorldCat Record</v>
      </c>
      <c r="AU107" s="3" t="s">
        <v>1296</v>
      </c>
      <c r="AV107" s="3" t="s">
        <v>1297</v>
      </c>
      <c r="AW107" s="3" t="s">
        <v>1298</v>
      </c>
      <c r="AX107" s="3" t="s">
        <v>1298</v>
      </c>
      <c r="AY107" s="3" t="s">
        <v>1299</v>
      </c>
      <c r="AZ107" s="3" t="s">
        <v>74</v>
      </c>
      <c r="BB107" s="3" t="s">
        <v>1300</v>
      </c>
      <c r="BC107" s="3" t="s">
        <v>1301</v>
      </c>
      <c r="BD107" s="3" t="s">
        <v>1302</v>
      </c>
    </row>
    <row r="108" spans="1:56" ht="57.75" customHeight="1" x14ac:dyDescent="0.25">
      <c r="A108" s="7" t="s">
        <v>59</v>
      </c>
      <c r="B108" s="2" t="s">
        <v>1303</v>
      </c>
      <c r="C108" s="2" t="s">
        <v>1304</v>
      </c>
      <c r="D108" s="2" t="s">
        <v>1305</v>
      </c>
      <c r="F108" s="3" t="s">
        <v>59</v>
      </c>
      <c r="G108" s="3" t="s">
        <v>60</v>
      </c>
      <c r="H108" s="3" t="s">
        <v>59</v>
      </c>
      <c r="I108" s="3" t="s">
        <v>59</v>
      </c>
      <c r="J108" s="3" t="s">
        <v>61</v>
      </c>
      <c r="L108" s="2" t="s">
        <v>1306</v>
      </c>
      <c r="M108" s="3" t="s">
        <v>820</v>
      </c>
      <c r="O108" s="3" t="s">
        <v>64</v>
      </c>
      <c r="P108" s="3" t="s">
        <v>573</v>
      </c>
      <c r="Q108" s="2" t="s">
        <v>1307</v>
      </c>
      <c r="R108" s="3" t="s">
        <v>67</v>
      </c>
      <c r="S108" s="4">
        <v>5</v>
      </c>
      <c r="T108" s="4">
        <v>5</v>
      </c>
      <c r="U108" s="5" t="s">
        <v>1308</v>
      </c>
      <c r="V108" s="5" t="s">
        <v>1308</v>
      </c>
      <c r="W108" s="5" t="s">
        <v>543</v>
      </c>
      <c r="X108" s="5" t="s">
        <v>543</v>
      </c>
      <c r="Y108" s="4">
        <v>336</v>
      </c>
      <c r="Z108" s="4">
        <v>291</v>
      </c>
      <c r="AA108" s="4">
        <v>291</v>
      </c>
      <c r="AB108" s="4">
        <v>3</v>
      </c>
      <c r="AC108" s="4">
        <v>3</v>
      </c>
      <c r="AD108" s="4">
        <v>13</v>
      </c>
      <c r="AE108" s="4">
        <v>13</v>
      </c>
      <c r="AF108" s="4">
        <v>3</v>
      </c>
      <c r="AG108" s="4">
        <v>3</v>
      </c>
      <c r="AH108" s="4">
        <v>4</v>
      </c>
      <c r="AI108" s="4">
        <v>4</v>
      </c>
      <c r="AJ108" s="4">
        <v>6</v>
      </c>
      <c r="AK108" s="4">
        <v>6</v>
      </c>
      <c r="AL108" s="4">
        <v>2</v>
      </c>
      <c r="AM108" s="4">
        <v>2</v>
      </c>
      <c r="AN108" s="4">
        <v>0</v>
      </c>
      <c r="AO108" s="4">
        <v>0</v>
      </c>
      <c r="AP108" s="3" t="s">
        <v>59</v>
      </c>
      <c r="AQ108" s="3" t="s">
        <v>59</v>
      </c>
      <c r="AS108" s="6" t="str">
        <f>HYPERLINK("https://creighton-primo.hosted.exlibrisgroup.com/primo-explore/search?tab=default_tab&amp;search_scope=EVERYTHING&amp;vid=01CRU&amp;lang=en_US&amp;offset=0&amp;query=any,contains,991000478369702656","Catalog Record")</f>
        <v>Catalog Record</v>
      </c>
      <c r="AT108" s="6" t="str">
        <f>HYPERLINK("http://www.worldcat.org/oclc/11043774","WorldCat Record")</f>
        <v>WorldCat Record</v>
      </c>
      <c r="AU108" s="3" t="s">
        <v>1309</v>
      </c>
      <c r="AV108" s="3" t="s">
        <v>1310</v>
      </c>
      <c r="AW108" s="3" t="s">
        <v>1311</v>
      </c>
      <c r="AX108" s="3" t="s">
        <v>1311</v>
      </c>
      <c r="AY108" s="3" t="s">
        <v>1312</v>
      </c>
      <c r="AZ108" s="3" t="s">
        <v>74</v>
      </c>
      <c r="BB108" s="3" t="s">
        <v>1313</v>
      </c>
      <c r="BC108" s="3" t="s">
        <v>1314</v>
      </c>
      <c r="BD108" s="3" t="s">
        <v>1315</v>
      </c>
    </row>
    <row r="109" spans="1:56" ht="57.75" customHeight="1" x14ac:dyDescent="0.25">
      <c r="A109" s="7" t="s">
        <v>59</v>
      </c>
      <c r="B109" s="2" t="s">
        <v>1316</v>
      </c>
      <c r="C109" s="2" t="s">
        <v>1317</v>
      </c>
      <c r="D109" s="2" t="s">
        <v>1318</v>
      </c>
      <c r="F109" s="3" t="s">
        <v>59</v>
      </c>
      <c r="G109" s="3" t="s">
        <v>60</v>
      </c>
      <c r="H109" s="3" t="s">
        <v>59</v>
      </c>
      <c r="I109" s="3" t="s">
        <v>59</v>
      </c>
      <c r="J109" s="3" t="s">
        <v>61</v>
      </c>
      <c r="K109" s="2" t="s">
        <v>1319</v>
      </c>
      <c r="L109" s="2" t="s">
        <v>1320</v>
      </c>
      <c r="M109" s="3" t="s">
        <v>130</v>
      </c>
      <c r="N109" s="2" t="s">
        <v>1321</v>
      </c>
      <c r="O109" s="3" t="s">
        <v>64</v>
      </c>
      <c r="P109" s="3" t="s">
        <v>467</v>
      </c>
      <c r="R109" s="3" t="s">
        <v>67</v>
      </c>
      <c r="S109" s="4">
        <v>1</v>
      </c>
      <c r="T109" s="4">
        <v>1</v>
      </c>
      <c r="U109" s="5" t="s">
        <v>1322</v>
      </c>
      <c r="V109" s="5" t="s">
        <v>1322</v>
      </c>
      <c r="W109" s="5" t="s">
        <v>1322</v>
      </c>
      <c r="X109" s="5" t="s">
        <v>1322</v>
      </c>
      <c r="Y109" s="4">
        <v>506</v>
      </c>
      <c r="Z109" s="4">
        <v>488</v>
      </c>
      <c r="AA109" s="4">
        <v>517</v>
      </c>
      <c r="AB109" s="4">
        <v>4</v>
      </c>
      <c r="AC109" s="4">
        <v>4</v>
      </c>
      <c r="AD109" s="4">
        <v>10</v>
      </c>
      <c r="AE109" s="4">
        <v>10</v>
      </c>
      <c r="AF109" s="4">
        <v>3</v>
      </c>
      <c r="AG109" s="4">
        <v>3</v>
      </c>
      <c r="AH109" s="4">
        <v>2</v>
      </c>
      <c r="AI109" s="4">
        <v>2</v>
      </c>
      <c r="AJ109" s="4">
        <v>4</v>
      </c>
      <c r="AK109" s="4">
        <v>4</v>
      </c>
      <c r="AL109" s="4">
        <v>2</v>
      </c>
      <c r="AM109" s="4">
        <v>2</v>
      </c>
      <c r="AN109" s="4">
        <v>0</v>
      </c>
      <c r="AO109" s="4">
        <v>0</v>
      </c>
      <c r="AP109" s="3" t="s">
        <v>59</v>
      </c>
      <c r="AQ109" s="3" t="s">
        <v>59</v>
      </c>
      <c r="AS109" s="6" t="str">
        <f>HYPERLINK("https://creighton-primo.hosted.exlibrisgroup.com/primo-explore/search?tab=default_tab&amp;search_scope=EVERYTHING&amp;vid=01CRU&amp;lang=en_US&amp;offset=0&amp;query=any,contains,991004413249702656","Catalog Record")</f>
        <v>Catalog Record</v>
      </c>
      <c r="AT109" s="6" t="str">
        <f>HYPERLINK("http://www.worldcat.org/oclc/52858489","WorldCat Record")</f>
        <v>WorldCat Record</v>
      </c>
      <c r="AU109" s="3" t="s">
        <v>1323</v>
      </c>
      <c r="AV109" s="3" t="s">
        <v>1324</v>
      </c>
      <c r="AW109" s="3" t="s">
        <v>1325</v>
      </c>
      <c r="AX109" s="3" t="s">
        <v>1325</v>
      </c>
      <c r="AY109" s="3" t="s">
        <v>1326</v>
      </c>
      <c r="AZ109" s="3" t="s">
        <v>74</v>
      </c>
      <c r="BB109" s="3" t="s">
        <v>1327</v>
      </c>
      <c r="BC109" s="3" t="s">
        <v>1328</v>
      </c>
      <c r="BD109" s="3" t="s">
        <v>1329</v>
      </c>
    </row>
    <row r="110" spans="1:56" ht="57.75" customHeight="1" x14ac:dyDescent="0.25">
      <c r="A110" s="7" t="s">
        <v>59</v>
      </c>
      <c r="B110" s="2" t="s">
        <v>1330</v>
      </c>
      <c r="C110" s="2" t="s">
        <v>1331</v>
      </c>
      <c r="D110" s="2" t="s">
        <v>1332</v>
      </c>
      <c r="F110" s="3" t="s">
        <v>59</v>
      </c>
      <c r="G110" s="3" t="s">
        <v>60</v>
      </c>
      <c r="H110" s="3" t="s">
        <v>59</v>
      </c>
      <c r="I110" s="3" t="s">
        <v>59</v>
      </c>
      <c r="J110" s="3" t="s">
        <v>61</v>
      </c>
      <c r="K110" s="2" t="s">
        <v>1333</v>
      </c>
      <c r="L110" s="2" t="s">
        <v>1334</v>
      </c>
      <c r="M110" s="3" t="s">
        <v>130</v>
      </c>
      <c r="N110" s="2" t="s">
        <v>556</v>
      </c>
      <c r="O110" s="3" t="s">
        <v>64</v>
      </c>
      <c r="P110" s="3" t="s">
        <v>467</v>
      </c>
      <c r="R110" s="3" t="s">
        <v>67</v>
      </c>
      <c r="S110" s="4">
        <v>1</v>
      </c>
      <c r="T110" s="4">
        <v>1</v>
      </c>
      <c r="U110" s="5" t="s">
        <v>1335</v>
      </c>
      <c r="V110" s="5" t="s">
        <v>1335</v>
      </c>
      <c r="W110" s="5" t="s">
        <v>1335</v>
      </c>
      <c r="X110" s="5" t="s">
        <v>1335</v>
      </c>
      <c r="Y110" s="4">
        <v>755</v>
      </c>
      <c r="Z110" s="4">
        <v>715</v>
      </c>
      <c r="AA110" s="4">
        <v>1004</v>
      </c>
      <c r="AB110" s="4">
        <v>6</v>
      </c>
      <c r="AC110" s="4">
        <v>7</v>
      </c>
      <c r="AD110" s="4">
        <v>15</v>
      </c>
      <c r="AE110" s="4">
        <v>27</v>
      </c>
      <c r="AF110" s="4">
        <v>6</v>
      </c>
      <c r="AG110" s="4">
        <v>13</v>
      </c>
      <c r="AH110" s="4">
        <v>5</v>
      </c>
      <c r="AI110" s="4">
        <v>8</v>
      </c>
      <c r="AJ110" s="4">
        <v>4</v>
      </c>
      <c r="AK110" s="4">
        <v>8</v>
      </c>
      <c r="AL110" s="4">
        <v>2</v>
      </c>
      <c r="AM110" s="4">
        <v>3</v>
      </c>
      <c r="AN110" s="4">
        <v>0</v>
      </c>
      <c r="AO110" s="4">
        <v>1</v>
      </c>
      <c r="AP110" s="3" t="s">
        <v>59</v>
      </c>
      <c r="AQ110" s="3" t="s">
        <v>59</v>
      </c>
      <c r="AS110" s="6" t="str">
        <f>HYPERLINK("https://creighton-primo.hosted.exlibrisgroup.com/primo-explore/search?tab=default_tab&amp;search_scope=EVERYTHING&amp;vid=01CRU&amp;lang=en_US&amp;offset=0&amp;query=any,contains,991004413219702656","Catalog Record")</f>
        <v>Catalog Record</v>
      </c>
      <c r="AT110" s="6" t="str">
        <f>HYPERLINK("http://www.worldcat.org/oclc/53839872","WorldCat Record")</f>
        <v>WorldCat Record</v>
      </c>
      <c r="AU110" s="3" t="s">
        <v>1336</v>
      </c>
      <c r="AV110" s="3" t="s">
        <v>1337</v>
      </c>
      <c r="AW110" s="3" t="s">
        <v>1338</v>
      </c>
      <c r="AX110" s="3" t="s">
        <v>1338</v>
      </c>
      <c r="AY110" s="3" t="s">
        <v>1339</v>
      </c>
      <c r="AZ110" s="3" t="s">
        <v>74</v>
      </c>
      <c r="BB110" s="3" t="s">
        <v>1340</v>
      </c>
      <c r="BC110" s="3" t="s">
        <v>1341</v>
      </c>
      <c r="BD110" s="3" t="s">
        <v>1342</v>
      </c>
    </row>
    <row r="111" spans="1:56" ht="57.75" customHeight="1" x14ac:dyDescent="0.25">
      <c r="A111" s="7" t="s">
        <v>59</v>
      </c>
      <c r="B111" s="2" t="s">
        <v>1343</v>
      </c>
      <c r="C111" s="2" t="s">
        <v>1344</v>
      </c>
      <c r="D111" s="2" t="s">
        <v>1345</v>
      </c>
      <c r="F111" s="3" t="s">
        <v>59</v>
      </c>
      <c r="G111" s="3" t="s">
        <v>60</v>
      </c>
      <c r="H111" s="3" t="s">
        <v>59</v>
      </c>
      <c r="I111" s="3" t="s">
        <v>59</v>
      </c>
      <c r="J111" s="3" t="s">
        <v>61</v>
      </c>
      <c r="K111" s="2" t="s">
        <v>1346</v>
      </c>
      <c r="L111" s="2" t="s">
        <v>1347</v>
      </c>
      <c r="M111" s="3" t="s">
        <v>224</v>
      </c>
      <c r="O111" s="3" t="s">
        <v>64</v>
      </c>
      <c r="P111" s="3" t="s">
        <v>405</v>
      </c>
      <c r="R111" s="3" t="s">
        <v>67</v>
      </c>
      <c r="S111" s="4">
        <v>1</v>
      </c>
      <c r="T111" s="4">
        <v>1</v>
      </c>
      <c r="U111" s="5" t="s">
        <v>1348</v>
      </c>
      <c r="V111" s="5" t="s">
        <v>1348</v>
      </c>
      <c r="W111" s="5" t="s">
        <v>1348</v>
      </c>
      <c r="X111" s="5" t="s">
        <v>1348</v>
      </c>
      <c r="Y111" s="4">
        <v>348</v>
      </c>
      <c r="Z111" s="4">
        <v>300</v>
      </c>
      <c r="AA111" s="4">
        <v>380</v>
      </c>
      <c r="AB111" s="4">
        <v>2</v>
      </c>
      <c r="AC111" s="4">
        <v>3</v>
      </c>
      <c r="AD111" s="4">
        <v>14</v>
      </c>
      <c r="AE111" s="4">
        <v>17</v>
      </c>
      <c r="AF111" s="4">
        <v>7</v>
      </c>
      <c r="AG111" s="4">
        <v>7</v>
      </c>
      <c r="AH111" s="4">
        <v>3</v>
      </c>
      <c r="AI111" s="4">
        <v>5</v>
      </c>
      <c r="AJ111" s="4">
        <v>4</v>
      </c>
      <c r="AK111" s="4">
        <v>5</v>
      </c>
      <c r="AL111" s="4">
        <v>1</v>
      </c>
      <c r="AM111" s="4">
        <v>2</v>
      </c>
      <c r="AN111" s="4">
        <v>0</v>
      </c>
      <c r="AO111" s="4">
        <v>0</v>
      </c>
      <c r="AP111" s="3" t="s">
        <v>59</v>
      </c>
      <c r="AQ111" s="3" t="s">
        <v>59</v>
      </c>
      <c r="AS111" s="6" t="str">
        <f>HYPERLINK("https://creighton-primo.hosted.exlibrisgroup.com/primo-explore/search?tab=default_tab&amp;search_scope=EVERYTHING&amp;vid=01CRU&amp;lang=en_US&amp;offset=0&amp;query=any,contains,991005183559702656","Catalog Record")</f>
        <v>Catalog Record</v>
      </c>
      <c r="AT111" s="6" t="str">
        <f>HYPERLINK("http://www.worldcat.org/oclc/71312826","WorldCat Record")</f>
        <v>WorldCat Record</v>
      </c>
      <c r="AU111" s="3" t="s">
        <v>1349</v>
      </c>
      <c r="AV111" s="3" t="s">
        <v>1350</v>
      </c>
      <c r="AW111" s="3" t="s">
        <v>1351</v>
      </c>
      <c r="AX111" s="3" t="s">
        <v>1351</v>
      </c>
      <c r="AY111" s="3" t="s">
        <v>1352</v>
      </c>
      <c r="AZ111" s="3" t="s">
        <v>74</v>
      </c>
      <c r="BB111" s="3" t="s">
        <v>1353</v>
      </c>
      <c r="BC111" s="3" t="s">
        <v>1354</v>
      </c>
      <c r="BD111" s="3" t="s">
        <v>1355</v>
      </c>
    </row>
    <row r="112" spans="1:56" ht="57.75" customHeight="1" x14ac:dyDescent="0.25">
      <c r="A112" s="7" t="s">
        <v>59</v>
      </c>
      <c r="B112" s="2" t="s">
        <v>1356</v>
      </c>
      <c r="C112" s="2" t="s">
        <v>1357</v>
      </c>
      <c r="D112" s="2" t="s">
        <v>1358</v>
      </c>
      <c r="F112" s="3" t="s">
        <v>59</v>
      </c>
      <c r="G112" s="3" t="s">
        <v>60</v>
      </c>
      <c r="H112" s="3" t="s">
        <v>59</v>
      </c>
      <c r="I112" s="3" t="s">
        <v>59</v>
      </c>
      <c r="J112" s="3" t="s">
        <v>61</v>
      </c>
      <c r="K112" s="2" t="s">
        <v>1359</v>
      </c>
      <c r="L112" s="2" t="s">
        <v>1360</v>
      </c>
      <c r="M112" s="3" t="s">
        <v>656</v>
      </c>
      <c r="O112" s="3" t="s">
        <v>64</v>
      </c>
      <c r="P112" s="3" t="s">
        <v>1361</v>
      </c>
      <c r="R112" s="3" t="s">
        <v>67</v>
      </c>
      <c r="S112" s="4">
        <v>1</v>
      </c>
      <c r="T112" s="4">
        <v>1</v>
      </c>
      <c r="U112" s="5" t="s">
        <v>1362</v>
      </c>
      <c r="V112" s="5" t="s">
        <v>1362</v>
      </c>
      <c r="W112" s="5" t="s">
        <v>1362</v>
      </c>
      <c r="X112" s="5" t="s">
        <v>1362</v>
      </c>
      <c r="Y112" s="4">
        <v>31</v>
      </c>
      <c r="Z112" s="4">
        <v>30</v>
      </c>
      <c r="AA112" s="4">
        <v>37</v>
      </c>
      <c r="AB112" s="4">
        <v>1</v>
      </c>
      <c r="AC112" s="4">
        <v>1</v>
      </c>
      <c r="AD112" s="4">
        <v>0</v>
      </c>
      <c r="AE112" s="4">
        <v>0</v>
      </c>
      <c r="AF112" s="4">
        <v>0</v>
      </c>
      <c r="AG112" s="4">
        <v>0</v>
      </c>
      <c r="AH112" s="4">
        <v>0</v>
      </c>
      <c r="AI112" s="4">
        <v>0</v>
      </c>
      <c r="AJ112" s="4">
        <v>0</v>
      </c>
      <c r="AK112" s="4">
        <v>0</v>
      </c>
      <c r="AL112" s="4">
        <v>0</v>
      </c>
      <c r="AM112" s="4">
        <v>0</v>
      </c>
      <c r="AN112" s="4">
        <v>0</v>
      </c>
      <c r="AO112" s="4">
        <v>0</v>
      </c>
      <c r="AP112" s="3" t="s">
        <v>59</v>
      </c>
      <c r="AQ112" s="3" t="s">
        <v>69</v>
      </c>
      <c r="AR112" s="6" t="str">
        <f>HYPERLINK("http://catalog.hathitrust.org/Record/102785592","HathiTrust Record")</f>
        <v>HathiTrust Record</v>
      </c>
      <c r="AS112" s="6" t="str">
        <f>HYPERLINK("https://creighton-primo.hosted.exlibrisgroup.com/primo-explore/search?tab=default_tab&amp;search_scope=EVERYTHING&amp;vid=01CRU&amp;lang=en_US&amp;offset=0&amp;query=any,contains,991004069199702656","Catalog Record")</f>
        <v>Catalog Record</v>
      </c>
      <c r="AT112" s="6" t="str">
        <f>HYPERLINK("http://www.worldcat.org/oclc/5718039","WorldCat Record")</f>
        <v>WorldCat Record</v>
      </c>
      <c r="AU112" s="3" t="s">
        <v>1363</v>
      </c>
      <c r="AV112" s="3" t="s">
        <v>1364</v>
      </c>
      <c r="AW112" s="3" t="s">
        <v>1365</v>
      </c>
      <c r="AX112" s="3" t="s">
        <v>1365</v>
      </c>
      <c r="AY112" s="3" t="s">
        <v>1366</v>
      </c>
      <c r="AZ112" s="3" t="s">
        <v>74</v>
      </c>
      <c r="BC112" s="3" t="s">
        <v>1367</v>
      </c>
      <c r="BD112" s="3" t="s">
        <v>1368</v>
      </c>
    </row>
    <row r="113" spans="1:56" ht="57.75" customHeight="1" x14ac:dyDescent="0.25">
      <c r="A113" s="7" t="s">
        <v>59</v>
      </c>
      <c r="B113" s="2" t="s">
        <v>1369</v>
      </c>
      <c r="C113" s="2" t="s">
        <v>1370</v>
      </c>
      <c r="D113" s="2" t="s">
        <v>1371</v>
      </c>
      <c r="F113" s="3" t="s">
        <v>59</v>
      </c>
      <c r="G113" s="3" t="s">
        <v>60</v>
      </c>
      <c r="H113" s="3" t="s">
        <v>59</v>
      </c>
      <c r="I113" s="3" t="s">
        <v>59</v>
      </c>
      <c r="J113" s="3" t="s">
        <v>61</v>
      </c>
      <c r="K113" s="2" t="s">
        <v>1372</v>
      </c>
      <c r="L113" s="2" t="s">
        <v>1373</v>
      </c>
      <c r="M113" s="3" t="s">
        <v>684</v>
      </c>
      <c r="O113" s="3" t="s">
        <v>64</v>
      </c>
      <c r="P113" s="3" t="s">
        <v>405</v>
      </c>
      <c r="R113" s="3" t="s">
        <v>67</v>
      </c>
      <c r="S113" s="4">
        <v>4</v>
      </c>
      <c r="T113" s="4">
        <v>4</v>
      </c>
      <c r="U113" s="5" t="s">
        <v>1374</v>
      </c>
      <c r="V113" s="5" t="s">
        <v>1374</v>
      </c>
      <c r="W113" s="5" t="s">
        <v>1375</v>
      </c>
      <c r="X113" s="5" t="s">
        <v>1375</v>
      </c>
      <c r="Y113" s="4">
        <v>134</v>
      </c>
      <c r="Z113" s="4">
        <v>53</v>
      </c>
      <c r="AA113" s="4">
        <v>405</v>
      </c>
      <c r="AB113" s="4">
        <v>3</v>
      </c>
      <c r="AC113" s="4">
        <v>3</v>
      </c>
      <c r="AD113" s="4">
        <v>3</v>
      </c>
      <c r="AE113" s="4">
        <v>7</v>
      </c>
      <c r="AF113" s="4">
        <v>0</v>
      </c>
      <c r="AG113" s="4">
        <v>1</v>
      </c>
      <c r="AH113" s="4">
        <v>1</v>
      </c>
      <c r="AI113" s="4">
        <v>1</v>
      </c>
      <c r="AJ113" s="4">
        <v>0</v>
      </c>
      <c r="AK113" s="4">
        <v>2</v>
      </c>
      <c r="AL113" s="4">
        <v>2</v>
      </c>
      <c r="AM113" s="4">
        <v>2</v>
      </c>
      <c r="AN113" s="4">
        <v>0</v>
      </c>
      <c r="AO113" s="4">
        <v>1</v>
      </c>
      <c r="AP113" s="3" t="s">
        <v>59</v>
      </c>
      <c r="AQ113" s="3" t="s">
        <v>69</v>
      </c>
      <c r="AR113" s="6" t="str">
        <f>HYPERLINK("http://catalog.hathitrust.org/Record/004156619","HathiTrust Record")</f>
        <v>HathiTrust Record</v>
      </c>
      <c r="AS113" s="6" t="str">
        <f>HYPERLINK("https://creighton-primo.hosted.exlibrisgroup.com/primo-explore/search?tab=default_tab&amp;search_scope=EVERYTHING&amp;vid=01CRU&amp;lang=en_US&amp;offset=0&amp;query=any,contains,991003666159702656","Catalog Record")</f>
        <v>Catalog Record</v>
      </c>
      <c r="AT113" s="6" t="str">
        <f>HYPERLINK("http://www.worldcat.org/oclc/45767518","WorldCat Record")</f>
        <v>WorldCat Record</v>
      </c>
      <c r="AU113" s="3" t="s">
        <v>1376</v>
      </c>
      <c r="AV113" s="3" t="s">
        <v>1377</v>
      </c>
      <c r="AW113" s="3" t="s">
        <v>1378</v>
      </c>
      <c r="AX113" s="3" t="s">
        <v>1378</v>
      </c>
      <c r="AY113" s="3" t="s">
        <v>1379</v>
      </c>
      <c r="AZ113" s="3" t="s">
        <v>74</v>
      </c>
      <c r="BB113" s="3" t="s">
        <v>1380</v>
      </c>
      <c r="BC113" s="3" t="s">
        <v>1381</v>
      </c>
      <c r="BD113" s="3" t="s">
        <v>1382</v>
      </c>
    </row>
    <row r="114" spans="1:56" ht="57.75" customHeight="1" x14ac:dyDescent="0.25">
      <c r="A114" s="7" t="s">
        <v>59</v>
      </c>
      <c r="B114" s="2" t="s">
        <v>1383</v>
      </c>
      <c r="C114" s="2" t="s">
        <v>1384</v>
      </c>
      <c r="D114" s="2" t="s">
        <v>1385</v>
      </c>
      <c r="F114" s="3" t="s">
        <v>59</v>
      </c>
      <c r="G114" s="3" t="s">
        <v>60</v>
      </c>
      <c r="H114" s="3" t="s">
        <v>59</v>
      </c>
      <c r="I114" s="3" t="s">
        <v>59</v>
      </c>
      <c r="J114" s="3" t="s">
        <v>61</v>
      </c>
      <c r="K114" s="2" t="s">
        <v>1386</v>
      </c>
      <c r="L114" s="2" t="s">
        <v>1387</v>
      </c>
      <c r="M114" s="3" t="s">
        <v>1182</v>
      </c>
      <c r="O114" s="3" t="s">
        <v>64</v>
      </c>
      <c r="P114" s="3" t="s">
        <v>467</v>
      </c>
      <c r="R114" s="3" t="s">
        <v>67</v>
      </c>
      <c r="S114" s="4">
        <v>10</v>
      </c>
      <c r="T114" s="4">
        <v>10</v>
      </c>
      <c r="U114" s="5" t="s">
        <v>1388</v>
      </c>
      <c r="V114" s="5" t="s">
        <v>1388</v>
      </c>
      <c r="W114" s="5" t="s">
        <v>1389</v>
      </c>
      <c r="X114" s="5" t="s">
        <v>1389</v>
      </c>
      <c r="Y114" s="4">
        <v>1177</v>
      </c>
      <c r="Z114" s="4">
        <v>1123</v>
      </c>
      <c r="AA114" s="4">
        <v>1142</v>
      </c>
      <c r="AB114" s="4">
        <v>5</v>
      </c>
      <c r="AC114" s="4">
        <v>5</v>
      </c>
      <c r="AD114" s="4">
        <v>12</v>
      </c>
      <c r="AE114" s="4">
        <v>12</v>
      </c>
      <c r="AF114" s="4">
        <v>6</v>
      </c>
      <c r="AG114" s="4">
        <v>6</v>
      </c>
      <c r="AH114" s="4">
        <v>0</v>
      </c>
      <c r="AI114" s="4">
        <v>0</v>
      </c>
      <c r="AJ114" s="4">
        <v>8</v>
      </c>
      <c r="AK114" s="4">
        <v>8</v>
      </c>
      <c r="AL114" s="4">
        <v>0</v>
      </c>
      <c r="AM114" s="4">
        <v>0</v>
      </c>
      <c r="AN114" s="4">
        <v>0</v>
      </c>
      <c r="AO114" s="4">
        <v>0</v>
      </c>
      <c r="AP114" s="3" t="s">
        <v>59</v>
      </c>
      <c r="AQ114" s="3" t="s">
        <v>69</v>
      </c>
      <c r="AR114" s="6" t="str">
        <f>HYPERLINK("http://catalog.hathitrust.org/Record/009159117","HathiTrust Record")</f>
        <v>HathiTrust Record</v>
      </c>
      <c r="AS114" s="6" t="str">
        <f>HYPERLINK("https://creighton-primo.hosted.exlibrisgroup.com/primo-explore/search?tab=default_tab&amp;search_scope=EVERYTHING&amp;vid=01CRU&amp;lang=en_US&amp;offset=0&amp;query=any,contains,991001682899702656","Catalog Record")</f>
        <v>Catalog Record</v>
      </c>
      <c r="AT114" s="6" t="str">
        <f>HYPERLINK("http://www.worldcat.org/oclc/21374370","WorldCat Record")</f>
        <v>WorldCat Record</v>
      </c>
      <c r="AU114" s="3" t="s">
        <v>1390</v>
      </c>
      <c r="AV114" s="3" t="s">
        <v>1391</v>
      </c>
      <c r="AW114" s="3" t="s">
        <v>1392</v>
      </c>
      <c r="AX114" s="3" t="s">
        <v>1392</v>
      </c>
      <c r="AY114" s="3" t="s">
        <v>1393</v>
      </c>
      <c r="AZ114" s="3" t="s">
        <v>74</v>
      </c>
      <c r="BB114" s="3" t="s">
        <v>1394</v>
      </c>
      <c r="BC114" s="3" t="s">
        <v>1395</v>
      </c>
      <c r="BD114" s="3" t="s">
        <v>1396</v>
      </c>
    </row>
    <row r="115" spans="1:56" ht="57.75" customHeight="1" x14ac:dyDescent="0.25">
      <c r="A115" s="7" t="s">
        <v>59</v>
      </c>
      <c r="B115" s="2" t="s">
        <v>1397</v>
      </c>
      <c r="C115" s="2" t="s">
        <v>1398</v>
      </c>
      <c r="D115" s="2" t="s">
        <v>1399</v>
      </c>
      <c r="F115" s="3" t="s">
        <v>59</v>
      </c>
      <c r="G115" s="3" t="s">
        <v>60</v>
      </c>
      <c r="H115" s="3" t="s">
        <v>59</v>
      </c>
      <c r="I115" s="3" t="s">
        <v>59</v>
      </c>
      <c r="J115" s="3" t="s">
        <v>61</v>
      </c>
      <c r="K115" s="2" t="s">
        <v>1400</v>
      </c>
      <c r="L115" s="2" t="s">
        <v>1401</v>
      </c>
      <c r="M115" s="3" t="s">
        <v>763</v>
      </c>
      <c r="O115" s="3" t="s">
        <v>64</v>
      </c>
      <c r="P115" s="3" t="s">
        <v>467</v>
      </c>
      <c r="R115" s="3" t="s">
        <v>67</v>
      </c>
      <c r="S115" s="4">
        <v>12</v>
      </c>
      <c r="T115" s="4">
        <v>12</v>
      </c>
      <c r="U115" s="5" t="s">
        <v>1402</v>
      </c>
      <c r="V115" s="5" t="s">
        <v>1402</v>
      </c>
      <c r="W115" s="5" t="s">
        <v>1403</v>
      </c>
      <c r="X115" s="5" t="s">
        <v>1403</v>
      </c>
      <c r="Y115" s="4">
        <v>1938</v>
      </c>
      <c r="Z115" s="4">
        <v>1880</v>
      </c>
      <c r="AA115" s="4">
        <v>2093</v>
      </c>
      <c r="AB115" s="4">
        <v>13</v>
      </c>
      <c r="AC115" s="4">
        <v>14</v>
      </c>
      <c r="AD115" s="4">
        <v>28</v>
      </c>
      <c r="AE115" s="4">
        <v>28</v>
      </c>
      <c r="AF115" s="4">
        <v>12</v>
      </c>
      <c r="AG115" s="4">
        <v>12</v>
      </c>
      <c r="AH115" s="4">
        <v>3</v>
      </c>
      <c r="AI115" s="4">
        <v>3</v>
      </c>
      <c r="AJ115" s="4">
        <v>12</v>
      </c>
      <c r="AK115" s="4">
        <v>12</v>
      </c>
      <c r="AL115" s="4">
        <v>4</v>
      </c>
      <c r="AM115" s="4">
        <v>4</v>
      </c>
      <c r="AN115" s="4">
        <v>0</v>
      </c>
      <c r="AO115" s="4">
        <v>0</v>
      </c>
      <c r="AP115" s="3" t="s">
        <v>59</v>
      </c>
      <c r="AQ115" s="3" t="s">
        <v>59</v>
      </c>
      <c r="AS115" s="6" t="str">
        <f>HYPERLINK("https://creighton-primo.hosted.exlibrisgroup.com/primo-explore/search?tab=default_tab&amp;search_scope=EVERYTHING&amp;vid=01CRU&amp;lang=en_US&amp;offset=0&amp;query=any,contains,991001094039702656","Catalog Record")</f>
        <v>Catalog Record</v>
      </c>
      <c r="AT115" s="6" t="str">
        <f>HYPERLINK("http://www.worldcat.org/oclc/16227410","WorldCat Record")</f>
        <v>WorldCat Record</v>
      </c>
      <c r="AU115" s="3" t="s">
        <v>1404</v>
      </c>
      <c r="AV115" s="3" t="s">
        <v>1405</v>
      </c>
      <c r="AW115" s="3" t="s">
        <v>1406</v>
      </c>
      <c r="AX115" s="3" t="s">
        <v>1406</v>
      </c>
      <c r="AY115" s="3" t="s">
        <v>1407</v>
      </c>
      <c r="AZ115" s="3" t="s">
        <v>74</v>
      </c>
      <c r="BB115" s="3" t="s">
        <v>1408</v>
      </c>
      <c r="BC115" s="3" t="s">
        <v>1409</v>
      </c>
      <c r="BD115" s="3" t="s">
        <v>1410</v>
      </c>
    </row>
    <row r="116" spans="1:56" ht="57.75" customHeight="1" x14ac:dyDescent="0.25">
      <c r="A116" s="7" t="s">
        <v>59</v>
      </c>
      <c r="B116" s="2" t="s">
        <v>1411</v>
      </c>
      <c r="C116" s="2" t="s">
        <v>1412</v>
      </c>
      <c r="D116" s="2" t="s">
        <v>1413</v>
      </c>
      <c r="F116" s="3" t="s">
        <v>59</v>
      </c>
      <c r="G116" s="3" t="s">
        <v>60</v>
      </c>
      <c r="H116" s="3" t="s">
        <v>59</v>
      </c>
      <c r="I116" s="3" t="s">
        <v>59</v>
      </c>
      <c r="J116" s="3" t="s">
        <v>61</v>
      </c>
      <c r="K116" s="2" t="s">
        <v>1414</v>
      </c>
      <c r="L116" s="2" t="s">
        <v>1415</v>
      </c>
      <c r="M116" s="3" t="s">
        <v>511</v>
      </c>
      <c r="N116" s="2" t="s">
        <v>556</v>
      </c>
      <c r="O116" s="3" t="s">
        <v>64</v>
      </c>
      <c r="P116" s="3" t="s">
        <v>630</v>
      </c>
      <c r="R116" s="3" t="s">
        <v>67</v>
      </c>
      <c r="S116" s="4">
        <v>2</v>
      </c>
      <c r="T116" s="4">
        <v>2</v>
      </c>
      <c r="U116" s="5" t="s">
        <v>1416</v>
      </c>
      <c r="V116" s="5" t="s">
        <v>1416</v>
      </c>
      <c r="W116" s="5" t="s">
        <v>1417</v>
      </c>
      <c r="X116" s="5" t="s">
        <v>1417</v>
      </c>
      <c r="Y116" s="4">
        <v>1107</v>
      </c>
      <c r="Z116" s="4">
        <v>1013</v>
      </c>
      <c r="AA116" s="4">
        <v>1030</v>
      </c>
      <c r="AB116" s="4">
        <v>7</v>
      </c>
      <c r="AC116" s="4">
        <v>7</v>
      </c>
      <c r="AD116" s="4">
        <v>22</v>
      </c>
      <c r="AE116" s="4">
        <v>22</v>
      </c>
      <c r="AF116" s="4">
        <v>6</v>
      </c>
      <c r="AG116" s="4">
        <v>6</v>
      </c>
      <c r="AH116" s="4">
        <v>6</v>
      </c>
      <c r="AI116" s="4">
        <v>6</v>
      </c>
      <c r="AJ116" s="4">
        <v>14</v>
      </c>
      <c r="AK116" s="4">
        <v>14</v>
      </c>
      <c r="AL116" s="4">
        <v>3</v>
      </c>
      <c r="AM116" s="4">
        <v>3</v>
      </c>
      <c r="AN116" s="4">
        <v>0</v>
      </c>
      <c r="AO116" s="4">
        <v>0</v>
      </c>
      <c r="AP116" s="3" t="s">
        <v>59</v>
      </c>
      <c r="AQ116" s="3" t="s">
        <v>59</v>
      </c>
      <c r="AS116" s="6" t="str">
        <f>HYPERLINK("https://creighton-primo.hosted.exlibrisgroup.com/primo-explore/search?tab=default_tab&amp;search_scope=EVERYTHING&amp;vid=01CRU&amp;lang=en_US&amp;offset=0&amp;query=any,contains,991002380279702656","Catalog Record")</f>
        <v>Catalog Record</v>
      </c>
      <c r="AT116" s="6" t="str">
        <f>HYPERLINK("http://www.worldcat.org/oclc/30919372","WorldCat Record")</f>
        <v>WorldCat Record</v>
      </c>
      <c r="AU116" s="3" t="s">
        <v>1418</v>
      </c>
      <c r="AV116" s="3" t="s">
        <v>1419</v>
      </c>
      <c r="AW116" s="3" t="s">
        <v>1420</v>
      </c>
      <c r="AX116" s="3" t="s">
        <v>1420</v>
      </c>
      <c r="AY116" s="3" t="s">
        <v>1421</v>
      </c>
      <c r="AZ116" s="3" t="s">
        <v>74</v>
      </c>
      <c r="BB116" s="3" t="s">
        <v>1422</v>
      </c>
      <c r="BC116" s="3" t="s">
        <v>1423</v>
      </c>
      <c r="BD116" s="3" t="s">
        <v>1424</v>
      </c>
    </row>
    <row r="117" spans="1:56" ht="57.75" customHeight="1" x14ac:dyDescent="0.25">
      <c r="A117" s="7" t="s">
        <v>59</v>
      </c>
      <c r="B117" s="2" t="s">
        <v>1425</v>
      </c>
      <c r="C117" s="2" t="s">
        <v>1426</v>
      </c>
      <c r="D117" s="2" t="s">
        <v>1427</v>
      </c>
      <c r="F117" s="3" t="s">
        <v>59</v>
      </c>
      <c r="G117" s="3" t="s">
        <v>60</v>
      </c>
      <c r="H117" s="3" t="s">
        <v>59</v>
      </c>
      <c r="I117" s="3" t="s">
        <v>59</v>
      </c>
      <c r="J117" s="3" t="s">
        <v>61</v>
      </c>
      <c r="K117" s="2" t="s">
        <v>1428</v>
      </c>
      <c r="L117" s="2" t="s">
        <v>1429</v>
      </c>
      <c r="M117" s="3" t="s">
        <v>1430</v>
      </c>
      <c r="O117" s="3" t="s">
        <v>64</v>
      </c>
      <c r="P117" s="3" t="s">
        <v>630</v>
      </c>
      <c r="R117" s="3" t="s">
        <v>67</v>
      </c>
      <c r="S117" s="4">
        <v>3</v>
      </c>
      <c r="T117" s="4">
        <v>3</v>
      </c>
      <c r="U117" s="5" t="s">
        <v>1431</v>
      </c>
      <c r="V117" s="5" t="s">
        <v>1431</v>
      </c>
      <c r="W117" s="5" t="s">
        <v>543</v>
      </c>
      <c r="X117" s="5" t="s">
        <v>543</v>
      </c>
      <c r="Y117" s="4">
        <v>706</v>
      </c>
      <c r="Z117" s="4">
        <v>658</v>
      </c>
      <c r="AA117" s="4">
        <v>685</v>
      </c>
      <c r="AB117" s="4">
        <v>3</v>
      </c>
      <c r="AC117" s="4">
        <v>3</v>
      </c>
      <c r="AD117" s="4">
        <v>15</v>
      </c>
      <c r="AE117" s="4">
        <v>16</v>
      </c>
      <c r="AF117" s="4">
        <v>5</v>
      </c>
      <c r="AG117" s="4">
        <v>5</v>
      </c>
      <c r="AH117" s="4">
        <v>4</v>
      </c>
      <c r="AI117" s="4">
        <v>4</v>
      </c>
      <c r="AJ117" s="4">
        <v>7</v>
      </c>
      <c r="AK117" s="4">
        <v>8</v>
      </c>
      <c r="AL117" s="4">
        <v>2</v>
      </c>
      <c r="AM117" s="4">
        <v>2</v>
      </c>
      <c r="AN117" s="4">
        <v>0</v>
      </c>
      <c r="AO117" s="4">
        <v>0</v>
      </c>
      <c r="AP117" s="3" t="s">
        <v>59</v>
      </c>
      <c r="AQ117" s="3" t="s">
        <v>69</v>
      </c>
      <c r="AR117" s="6" t="str">
        <f>HYPERLINK("http://catalog.hathitrust.org/Record/000283488","HathiTrust Record")</f>
        <v>HathiTrust Record</v>
      </c>
      <c r="AS117" s="6" t="str">
        <f>HYPERLINK("https://creighton-primo.hosted.exlibrisgroup.com/primo-explore/search?tab=default_tab&amp;search_scope=EVERYTHING&amp;vid=01CRU&amp;lang=en_US&amp;offset=0&amp;query=any,contains,991000277439702656","Catalog Record")</f>
        <v>Catalog Record</v>
      </c>
      <c r="AT117" s="6" t="str">
        <f>HYPERLINK("http://www.worldcat.org/oclc/9896517","WorldCat Record")</f>
        <v>WorldCat Record</v>
      </c>
      <c r="AU117" s="3" t="s">
        <v>1432</v>
      </c>
      <c r="AV117" s="3" t="s">
        <v>1433</v>
      </c>
      <c r="AW117" s="3" t="s">
        <v>1434</v>
      </c>
      <c r="AX117" s="3" t="s">
        <v>1434</v>
      </c>
      <c r="AY117" s="3" t="s">
        <v>1435</v>
      </c>
      <c r="AZ117" s="3" t="s">
        <v>74</v>
      </c>
      <c r="BB117" s="3" t="s">
        <v>1436</v>
      </c>
      <c r="BC117" s="3" t="s">
        <v>1437</v>
      </c>
      <c r="BD117" s="3" t="s">
        <v>1438</v>
      </c>
    </row>
    <row r="118" spans="1:56" ht="57.75" customHeight="1" x14ac:dyDescent="0.25">
      <c r="A118" s="7" t="s">
        <v>59</v>
      </c>
      <c r="B118" s="2" t="s">
        <v>1439</v>
      </c>
      <c r="C118" s="2" t="s">
        <v>1440</v>
      </c>
      <c r="D118" s="2" t="s">
        <v>1441</v>
      </c>
      <c r="F118" s="3" t="s">
        <v>59</v>
      </c>
      <c r="G118" s="3" t="s">
        <v>60</v>
      </c>
      <c r="H118" s="3" t="s">
        <v>59</v>
      </c>
      <c r="I118" s="3" t="s">
        <v>59</v>
      </c>
      <c r="J118" s="3" t="s">
        <v>61</v>
      </c>
      <c r="K118" s="2" t="s">
        <v>1442</v>
      </c>
      <c r="L118" s="2" t="s">
        <v>1443</v>
      </c>
      <c r="M118" s="3" t="s">
        <v>1282</v>
      </c>
      <c r="N118" s="2" t="s">
        <v>1444</v>
      </c>
      <c r="O118" s="3" t="s">
        <v>64</v>
      </c>
      <c r="P118" s="3" t="s">
        <v>467</v>
      </c>
      <c r="R118" s="3" t="s">
        <v>67</v>
      </c>
      <c r="S118" s="4">
        <v>1</v>
      </c>
      <c r="T118" s="4">
        <v>1</v>
      </c>
      <c r="U118" s="5" t="s">
        <v>1445</v>
      </c>
      <c r="V118" s="5" t="s">
        <v>1445</v>
      </c>
      <c r="W118" s="5" t="s">
        <v>1446</v>
      </c>
      <c r="X118" s="5" t="s">
        <v>1446</v>
      </c>
      <c r="Y118" s="4">
        <v>47</v>
      </c>
      <c r="Z118" s="4">
        <v>47</v>
      </c>
      <c r="AA118" s="4">
        <v>800</v>
      </c>
      <c r="AB118" s="4">
        <v>1</v>
      </c>
      <c r="AC118" s="4">
        <v>6</v>
      </c>
      <c r="AD118" s="4">
        <v>1</v>
      </c>
      <c r="AE118" s="4">
        <v>23</v>
      </c>
      <c r="AF118" s="4">
        <v>0</v>
      </c>
      <c r="AG118" s="4">
        <v>7</v>
      </c>
      <c r="AH118" s="4">
        <v>0</v>
      </c>
      <c r="AI118" s="4">
        <v>7</v>
      </c>
      <c r="AJ118" s="4">
        <v>1</v>
      </c>
      <c r="AK118" s="4">
        <v>14</v>
      </c>
      <c r="AL118" s="4">
        <v>0</v>
      </c>
      <c r="AM118" s="4">
        <v>3</v>
      </c>
      <c r="AN118" s="4">
        <v>0</v>
      </c>
      <c r="AO118" s="4">
        <v>0</v>
      </c>
      <c r="AP118" s="3" t="s">
        <v>59</v>
      </c>
      <c r="AQ118" s="3" t="s">
        <v>59</v>
      </c>
      <c r="AS118" s="6" t="str">
        <f>HYPERLINK("https://creighton-primo.hosted.exlibrisgroup.com/primo-explore/search?tab=default_tab&amp;search_scope=EVERYTHING&amp;vid=01CRU&amp;lang=en_US&amp;offset=0&amp;query=any,contains,991004450279702656","Catalog Record")</f>
        <v>Catalog Record</v>
      </c>
      <c r="AT118" s="6" t="str">
        <f>HYPERLINK("http://www.worldcat.org/oclc/3507256","WorldCat Record")</f>
        <v>WorldCat Record</v>
      </c>
      <c r="AU118" s="3" t="s">
        <v>1447</v>
      </c>
      <c r="AV118" s="3" t="s">
        <v>1448</v>
      </c>
      <c r="AW118" s="3" t="s">
        <v>1449</v>
      </c>
      <c r="AX118" s="3" t="s">
        <v>1449</v>
      </c>
      <c r="AY118" s="3" t="s">
        <v>1450</v>
      </c>
      <c r="AZ118" s="3" t="s">
        <v>74</v>
      </c>
      <c r="BC118" s="3" t="s">
        <v>1451</v>
      </c>
      <c r="BD118" s="3" t="s">
        <v>1452</v>
      </c>
    </row>
    <row r="119" spans="1:56" ht="57.75" customHeight="1" x14ac:dyDescent="0.25">
      <c r="A119" s="7" t="s">
        <v>59</v>
      </c>
      <c r="B119" s="2" t="s">
        <v>1453</v>
      </c>
      <c r="C119" s="2" t="s">
        <v>1454</v>
      </c>
      <c r="D119" s="2" t="s">
        <v>1455</v>
      </c>
      <c r="F119" s="3" t="s">
        <v>59</v>
      </c>
      <c r="G119" s="3" t="s">
        <v>60</v>
      </c>
      <c r="H119" s="3" t="s">
        <v>59</v>
      </c>
      <c r="I119" s="3" t="s">
        <v>59</v>
      </c>
      <c r="J119" s="3" t="s">
        <v>61</v>
      </c>
      <c r="K119" s="2" t="s">
        <v>1456</v>
      </c>
      <c r="L119" s="2" t="s">
        <v>1457</v>
      </c>
      <c r="M119" s="3" t="s">
        <v>1267</v>
      </c>
      <c r="N119" s="2" t="s">
        <v>556</v>
      </c>
      <c r="O119" s="3" t="s">
        <v>64</v>
      </c>
      <c r="P119" s="3" t="s">
        <v>467</v>
      </c>
      <c r="R119" s="3" t="s">
        <v>67</v>
      </c>
      <c r="S119" s="4">
        <v>1</v>
      </c>
      <c r="T119" s="4">
        <v>1</v>
      </c>
      <c r="U119" s="5" t="s">
        <v>1458</v>
      </c>
      <c r="V119" s="5" t="s">
        <v>1458</v>
      </c>
      <c r="W119" s="5" t="s">
        <v>1458</v>
      </c>
      <c r="X119" s="5" t="s">
        <v>1458</v>
      </c>
      <c r="Y119" s="4">
        <v>551</v>
      </c>
      <c r="Z119" s="4">
        <v>508</v>
      </c>
      <c r="AA119" s="4">
        <v>531</v>
      </c>
      <c r="AB119" s="4">
        <v>3</v>
      </c>
      <c r="AC119" s="4">
        <v>3</v>
      </c>
      <c r="AD119" s="4">
        <v>4</v>
      </c>
      <c r="AE119" s="4">
        <v>4</v>
      </c>
      <c r="AF119" s="4">
        <v>2</v>
      </c>
      <c r="AG119" s="4">
        <v>2</v>
      </c>
      <c r="AH119" s="4">
        <v>1</v>
      </c>
      <c r="AI119" s="4">
        <v>1</v>
      </c>
      <c r="AJ119" s="4">
        <v>2</v>
      </c>
      <c r="AK119" s="4">
        <v>2</v>
      </c>
      <c r="AL119" s="4">
        <v>0</v>
      </c>
      <c r="AM119" s="4">
        <v>0</v>
      </c>
      <c r="AN119" s="4">
        <v>0</v>
      </c>
      <c r="AO119" s="4">
        <v>0</v>
      </c>
      <c r="AP119" s="3" t="s">
        <v>59</v>
      </c>
      <c r="AQ119" s="3" t="s">
        <v>59</v>
      </c>
      <c r="AS119" s="6" t="str">
        <f>HYPERLINK("https://creighton-primo.hosted.exlibrisgroup.com/primo-explore/search?tab=default_tab&amp;search_scope=EVERYTHING&amp;vid=01CRU&amp;lang=en_US&amp;offset=0&amp;query=any,contains,991005267119702656","Catalog Record")</f>
        <v>Catalog Record</v>
      </c>
      <c r="AT119" s="6" t="str">
        <f>HYPERLINK("http://www.worldcat.org/oclc/166372889","WorldCat Record")</f>
        <v>WorldCat Record</v>
      </c>
      <c r="AU119" s="3" t="s">
        <v>1459</v>
      </c>
      <c r="AV119" s="3" t="s">
        <v>1460</v>
      </c>
      <c r="AW119" s="3" t="s">
        <v>1461</v>
      </c>
      <c r="AX119" s="3" t="s">
        <v>1461</v>
      </c>
      <c r="AY119" s="3" t="s">
        <v>1462</v>
      </c>
      <c r="AZ119" s="3" t="s">
        <v>74</v>
      </c>
      <c r="BB119" s="3" t="s">
        <v>1463</v>
      </c>
      <c r="BC119" s="3" t="s">
        <v>1464</v>
      </c>
      <c r="BD119" s="3" t="s">
        <v>1465</v>
      </c>
    </row>
    <row r="120" spans="1:56" ht="57.75" customHeight="1" x14ac:dyDescent="0.25">
      <c r="A120" s="7" t="s">
        <v>59</v>
      </c>
      <c r="B120" s="2" t="s">
        <v>1466</v>
      </c>
      <c r="C120" s="2" t="s">
        <v>1467</v>
      </c>
      <c r="D120" s="2" t="s">
        <v>1468</v>
      </c>
      <c r="F120" s="3" t="s">
        <v>59</v>
      </c>
      <c r="G120" s="3" t="s">
        <v>60</v>
      </c>
      <c r="H120" s="3" t="s">
        <v>59</v>
      </c>
      <c r="I120" s="3" t="s">
        <v>59</v>
      </c>
      <c r="J120" s="3" t="s">
        <v>61</v>
      </c>
      <c r="K120" s="2" t="s">
        <v>1469</v>
      </c>
      <c r="L120" s="2" t="s">
        <v>1470</v>
      </c>
      <c r="M120" s="3" t="s">
        <v>1471</v>
      </c>
      <c r="O120" s="3" t="s">
        <v>64</v>
      </c>
      <c r="P120" s="3" t="s">
        <v>630</v>
      </c>
      <c r="R120" s="3" t="s">
        <v>67</v>
      </c>
      <c r="S120" s="4">
        <v>1</v>
      </c>
      <c r="T120" s="4">
        <v>1</v>
      </c>
      <c r="U120" s="5" t="s">
        <v>1472</v>
      </c>
      <c r="V120" s="5" t="s">
        <v>1472</v>
      </c>
      <c r="W120" s="5" t="s">
        <v>1472</v>
      </c>
      <c r="X120" s="5" t="s">
        <v>1472</v>
      </c>
      <c r="Y120" s="4">
        <v>2299</v>
      </c>
      <c r="Z120" s="4">
        <v>2285</v>
      </c>
      <c r="AA120" s="4">
        <v>2285</v>
      </c>
      <c r="AB120" s="4">
        <v>21</v>
      </c>
      <c r="AC120" s="4">
        <v>21</v>
      </c>
      <c r="AD120" s="4">
        <v>4</v>
      </c>
      <c r="AE120" s="4">
        <v>4</v>
      </c>
      <c r="AF120" s="4">
        <v>0</v>
      </c>
      <c r="AG120" s="4">
        <v>0</v>
      </c>
      <c r="AH120" s="4">
        <v>0</v>
      </c>
      <c r="AI120" s="4">
        <v>0</v>
      </c>
      <c r="AJ120" s="4">
        <v>2</v>
      </c>
      <c r="AK120" s="4">
        <v>2</v>
      </c>
      <c r="AL120" s="4">
        <v>2</v>
      </c>
      <c r="AM120" s="4">
        <v>2</v>
      </c>
      <c r="AN120" s="4">
        <v>0</v>
      </c>
      <c r="AO120" s="4">
        <v>0</v>
      </c>
      <c r="AP120" s="3" t="s">
        <v>59</v>
      </c>
      <c r="AQ120" s="3" t="s">
        <v>59</v>
      </c>
      <c r="AS120" s="6" t="str">
        <f>HYPERLINK("https://creighton-primo.hosted.exlibrisgroup.com/primo-explore/search?tab=default_tab&amp;search_scope=EVERYTHING&amp;vid=01CRU&amp;lang=en_US&amp;offset=0&amp;query=any,contains,991005363909702656","Catalog Record")</f>
        <v>Catalog Record</v>
      </c>
      <c r="AT120" s="6" t="str">
        <f>HYPERLINK("http://www.worldcat.org/oclc/263146948","WorldCat Record")</f>
        <v>WorldCat Record</v>
      </c>
      <c r="AU120" s="3" t="s">
        <v>1473</v>
      </c>
      <c r="AV120" s="3" t="s">
        <v>1474</v>
      </c>
      <c r="AW120" s="3" t="s">
        <v>1475</v>
      </c>
      <c r="AX120" s="3" t="s">
        <v>1475</v>
      </c>
      <c r="AY120" s="3" t="s">
        <v>1476</v>
      </c>
      <c r="AZ120" s="3" t="s">
        <v>74</v>
      </c>
      <c r="BB120" s="3" t="s">
        <v>1477</v>
      </c>
      <c r="BC120" s="3" t="s">
        <v>1478</v>
      </c>
      <c r="BD120" s="3" t="s">
        <v>1479</v>
      </c>
    </row>
    <row r="121" spans="1:56" ht="57.75" customHeight="1" x14ac:dyDescent="0.25">
      <c r="A121" s="7" t="s">
        <v>59</v>
      </c>
      <c r="B121" s="2" t="s">
        <v>1480</v>
      </c>
      <c r="C121" s="2" t="s">
        <v>1481</v>
      </c>
      <c r="D121" s="2" t="s">
        <v>1482</v>
      </c>
      <c r="F121" s="3" t="s">
        <v>59</v>
      </c>
      <c r="G121" s="3" t="s">
        <v>60</v>
      </c>
      <c r="H121" s="3" t="s">
        <v>59</v>
      </c>
      <c r="I121" s="3" t="s">
        <v>59</v>
      </c>
      <c r="J121" s="3" t="s">
        <v>61</v>
      </c>
      <c r="K121" s="2" t="s">
        <v>1483</v>
      </c>
      <c r="L121" s="2" t="s">
        <v>1484</v>
      </c>
      <c r="M121" s="3" t="s">
        <v>1267</v>
      </c>
      <c r="O121" s="3" t="s">
        <v>64</v>
      </c>
      <c r="P121" s="3" t="s">
        <v>1485</v>
      </c>
      <c r="R121" s="3" t="s">
        <v>67</v>
      </c>
      <c r="S121" s="4">
        <v>1</v>
      </c>
      <c r="T121" s="4">
        <v>1</v>
      </c>
      <c r="U121" s="5" t="s">
        <v>1486</v>
      </c>
      <c r="V121" s="5" t="s">
        <v>1486</v>
      </c>
      <c r="W121" s="5" t="s">
        <v>1023</v>
      </c>
      <c r="X121" s="5" t="s">
        <v>1023</v>
      </c>
      <c r="Y121" s="4">
        <v>190</v>
      </c>
      <c r="Z121" s="4">
        <v>176</v>
      </c>
      <c r="AA121" s="4">
        <v>272</v>
      </c>
      <c r="AB121" s="4">
        <v>2</v>
      </c>
      <c r="AC121" s="4">
        <v>2</v>
      </c>
      <c r="AD121" s="4">
        <v>2</v>
      </c>
      <c r="AE121" s="4">
        <v>3</v>
      </c>
      <c r="AF121" s="4">
        <v>0</v>
      </c>
      <c r="AG121" s="4">
        <v>1</v>
      </c>
      <c r="AH121" s="4">
        <v>1</v>
      </c>
      <c r="AI121" s="4">
        <v>2</v>
      </c>
      <c r="AJ121" s="4">
        <v>0</v>
      </c>
      <c r="AK121" s="4">
        <v>0</v>
      </c>
      <c r="AL121" s="4">
        <v>1</v>
      </c>
      <c r="AM121" s="4">
        <v>1</v>
      </c>
      <c r="AN121" s="4">
        <v>0</v>
      </c>
      <c r="AO121" s="4">
        <v>0</v>
      </c>
      <c r="AP121" s="3" t="s">
        <v>59</v>
      </c>
      <c r="AQ121" s="3" t="s">
        <v>59</v>
      </c>
      <c r="AS121" s="6" t="str">
        <f>HYPERLINK("https://creighton-primo.hosted.exlibrisgroup.com/primo-explore/search?tab=default_tab&amp;search_scope=EVERYTHING&amp;vid=01CRU&amp;lang=en_US&amp;offset=0&amp;query=any,contains,991005222349702656","Catalog Record")</f>
        <v>Catalog Record</v>
      </c>
      <c r="AT121" s="6" t="str">
        <f>HYPERLINK("http://www.worldcat.org/oclc/167499336","WorldCat Record")</f>
        <v>WorldCat Record</v>
      </c>
      <c r="AU121" s="3" t="s">
        <v>1487</v>
      </c>
      <c r="AV121" s="3" t="s">
        <v>1488</v>
      </c>
      <c r="AW121" s="3" t="s">
        <v>1489</v>
      </c>
      <c r="AX121" s="3" t="s">
        <v>1489</v>
      </c>
      <c r="AY121" s="3" t="s">
        <v>1490</v>
      </c>
      <c r="AZ121" s="3" t="s">
        <v>74</v>
      </c>
      <c r="BB121" s="3" t="s">
        <v>1491</v>
      </c>
      <c r="BC121" s="3" t="s">
        <v>1492</v>
      </c>
      <c r="BD121" s="3" t="s">
        <v>1493</v>
      </c>
    </row>
    <row r="122" spans="1:56" ht="57.75" customHeight="1" x14ac:dyDescent="0.25">
      <c r="A122" s="7" t="s">
        <v>59</v>
      </c>
      <c r="B122" s="2" t="s">
        <v>1494</v>
      </c>
      <c r="C122" s="2" t="s">
        <v>1495</v>
      </c>
      <c r="D122" s="2" t="s">
        <v>1496</v>
      </c>
      <c r="F122" s="3" t="s">
        <v>59</v>
      </c>
      <c r="G122" s="3" t="s">
        <v>60</v>
      </c>
      <c r="H122" s="3" t="s">
        <v>59</v>
      </c>
      <c r="I122" s="3" t="s">
        <v>59</v>
      </c>
      <c r="J122" s="3" t="s">
        <v>61</v>
      </c>
      <c r="K122" s="2" t="s">
        <v>1497</v>
      </c>
      <c r="L122" s="2" t="s">
        <v>1498</v>
      </c>
      <c r="M122" s="3" t="s">
        <v>297</v>
      </c>
      <c r="N122" s="2" t="s">
        <v>556</v>
      </c>
      <c r="O122" s="3" t="s">
        <v>64</v>
      </c>
      <c r="P122" s="3" t="s">
        <v>630</v>
      </c>
      <c r="R122" s="3" t="s">
        <v>67</v>
      </c>
      <c r="S122" s="4">
        <v>2</v>
      </c>
      <c r="T122" s="4">
        <v>2</v>
      </c>
      <c r="U122" s="5" t="s">
        <v>1499</v>
      </c>
      <c r="V122" s="5" t="s">
        <v>1499</v>
      </c>
      <c r="W122" s="5" t="s">
        <v>1500</v>
      </c>
      <c r="X122" s="5" t="s">
        <v>1500</v>
      </c>
      <c r="Y122" s="4">
        <v>617</v>
      </c>
      <c r="Z122" s="4">
        <v>550</v>
      </c>
      <c r="AA122" s="4">
        <v>635</v>
      </c>
      <c r="AB122" s="4">
        <v>5</v>
      </c>
      <c r="AC122" s="4">
        <v>5</v>
      </c>
      <c r="AD122" s="4">
        <v>22</v>
      </c>
      <c r="AE122" s="4">
        <v>24</v>
      </c>
      <c r="AF122" s="4">
        <v>8</v>
      </c>
      <c r="AG122" s="4">
        <v>9</v>
      </c>
      <c r="AH122" s="4">
        <v>5</v>
      </c>
      <c r="AI122" s="4">
        <v>5</v>
      </c>
      <c r="AJ122" s="4">
        <v>12</v>
      </c>
      <c r="AK122" s="4">
        <v>13</v>
      </c>
      <c r="AL122" s="4">
        <v>4</v>
      </c>
      <c r="AM122" s="4">
        <v>4</v>
      </c>
      <c r="AN122" s="4">
        <v>0</v>
      </c>
      <c r="AO122" s="4">
        <v>0</v>
      </c>
      <c r="AP122" s="3" t="s">
        <v>59</v>
      </c>
      <c r="AQ122" s="3" t="s">
        <v>69</v>
      </c>
      <c r="AR122" s="6" t="str">
        <f>HYPERLINK("http://catalog.hathitrust.org/Record/004067815","HathiTrust Record")</f>
        <v>HathiTrust Record</v>
      </c>
      <c r="AS122" s="6" t="str">
        <f>HYPERLINK("https://creighton-primo.hosted.exlibrisgroup.com/primo-explore/search?tab=default_tab&amp;search_scope=EVERYTHING&amp;vid=01CRU&amp;lang=en_US&amp;offset=0&amp;query=any,contains,991003220149702656","Catalog Record")</f>
        <v>Catalog Record</v>
      </c>
      <c r="AT122" s="6" t="str">
        <f>HYPERLINK("http://www.worldcat.org/oclc/41346998","WorldCat Record")</f>
        <v>WorldCat Record</v>
      </c>
      <c r="AU122" s="3" t="s">
        <v>1501</v>
      </c>
      <c r="AV122" s="3" t="s">
        <v>1502</v>
      </c>
      <c r="AW122" s="3" t="s">
        <v>1503</v>
      </c>
      <c r="AX122" s="3" t="s">
        <v>1503</v>
      </c>
      <c r="AY122" s="3" t="s">
        <v>1504</v>
      </c>
      <c r="AZ122" s="3" t="s">
        <v>74</v>
      </c>
      <c r="BB122" s="3" t="s">
        <v>1505</v>
      </c>
      <c r="BC122" s="3" t="s">
        <v>1506</v>
      </c>
      <c r="BD122" s="3" t="s">
        <v>1507</v>
      </c>
    </row>
    <row r="123" spans="1:56" ht="57.75" customHeight="1" x14ac:dyDescent="0.25">
      <c r="A123" s="7" t="s">
        <v>59</v>
      </c>
      <c r="B123" s="2" t="s">
        <v>1508</v>
      </c>
      <c r="C123" s="2" t="s">
        <v>1509</v>
      </c>
      <c r="D123" s="2" t="s">
        <v>1510</v>
      </c>
      <c r="F123" s="3" t="s">
        <v>59</v>
      </c>
      <c r="G123" s="3" t="s">
        <v>60</v>
      </c>
      <c r="H123" s="3" t="s">
        <v>59</v>
      </c>
      <c r="I123" s="3" t="s">
        <v>59</v>
      </c>
      <c r="J123" s="3" t="s">
        <v>61</v>
      </c>
      <c r="K123" s="2" t="s">
        <v>1511</v>
      </c>
      <c r="L123" s="2" t="s">
        <v>1512</v>
      </c>
      <c r="M123" s="3" t="s">
        <v>712</v>
      </c>
      <c r="O123" s="3" t="s">
        <v>64</v>
      </c>
      <c r="P123" s="3" t="s">
        <v>821</v>
      </c>
      <c r="R123" s="3" t="s">
        <v>67</v>
      </c>
      <c r="S123" s="4">
        <v>6</v>
      </c>
      <c r="T123" s="4">
        <v>6</v>
      </c>
      <c r="U123" s="5" t="s">
        <v>1513</v>
      </c>
      <c r="V123" s="5" t="s">
        <v>1513</v>
      </c>
      <c r="W123" s="5" t="s">
        <v>1514</v>
      </c>
      <c r="X123" s="5" t="s">
        <v>1514</v>
      </c>
      <c r="Y123" s="4">
        <v>435</v>
      </c>
      <c r="Z123" s="4">
        <v>387</v>
      </c>
      <c r="AA123" s="4">
        <v>451</v>
      </c>
      <c r="AB123" s="4">
        <v>3</v>
      </c>
      <c r="AC123" s="4">
        <v>3</v>
      </c>
      <c r="AD123" s="4">
        <v>5</v>
      </c>
      <c r="AE123" s="4">
        <v>9</v>
      </c>
      <c r="AF123" s="4">
        <v>3</v>
      </c>
      <c r="AG123" s="4">
        <v>5</v>
      </c>
      <c r="AH123" s="4">
        <v>0</v>
      </c>
      <c r="AI123" s="4">
        <v>2</v>
      </c>
      <c r="AJ123" s="4">
        <v>3</v>
      </c>
      <c r="AK123" s="4">
        <v>4</v>
      </c>
      <c r="AL123" s="4">
        <v>1</v>
      </c>
      <c r="AM123" s="4">
        <v>1</v>
      </c>
      <c r="AN123" s="4">
        <v>0</v>
      </c>
      <c r="AO123" s="4">
        <v>0</v>
      </c>
      <c r="AP123" s="3" t="s">
        <v>59</v>
      </c>
      <c r="AQ123" s="3" t="s">
        <v>59</v>
      </c>
      <c r="AS123" s="6" t="str">
        <f>HYPERLINK("https://creighton-primo.hosted.exlibrisgroup.com/primo-explore/search?tab=default_tab&amp;search_scope=EVERYTHING&amp;vid=01CRU&amp;lang=en_US&amp;offset=0&amp;query=any,contains,991002308609702656","Catalog Record")</f>
        <v>Catalog Record</v>
      </c>
      <c r="AT123" s="6" t="str">
        <f>HYPERLINK("http://www.worldcat.org/oclc/29952612","WorldCat Record")</f>
        <v>WorldCat Record</v>
      </c>
      <c r="AU123" s="3" t="s">
        <v>1515</v>
      </c>
      <c r="AV123" s="3" t="s">
        <v>1516</v>
      </c>
      <c r="AW123" s="3" t="s">
        <v>1517</v>
      </c>
      <c r="AX123" s="3" t="s">
        <v>1517</v>
      </c>
      <c r="AY123" s="3" t="s">
        <v>1518</v>
      </c>
      <c r="AZ123" s="3" t="s">
        <v>74</v>
      </c>
      <c r="BB123" s="3" t="s">
        <v>1519</v>
      </c>
      <c r="BC123" s="3" t="s">
        <v>1520</v>
      </c>
      <c r="BD123" s="3" t="s">
        <v>1521</v>
      </c>
    </row>
    <row r="124" spans="1:56" ht="57.75" customHeight="1" x14ac:dyDescent="0.25">
      <c r="A124" s="7" t="s">
        <v>59</v>
      </c>
      <c r="B124" s="2" t="s">
        <v>1522</v>
      </c>
      <c r="C124" s="2" t="s">
        <v>1523</v>
      </c>
      <c r="D124" s="2" t="s">
        <v>1524</v>
      </c>
      <c r="F124" s="3" t="s">
        <v>59</v>
      </c>
      <c r="G124" s="3" t="s">
        <v>60</v>
      </c>
      <c r="H124" s="3" t="s">
        <v>59</v>
      </c>
      <c r="I124" s="3" t="s">
        <v>59</v>
      </c>
      <c r="J124" s="3" t="s">
        <v>61</v>
      </c>
      <c r="K124" s="2" t="s">
        <v>1525</v>
      </c>
      <c r="L124" s="2" t="s">
        <v>1526</v>
      </c>
      <c r="M124" s="3" t="s">
        <v>1267</v>
      </c>
      <c r="O124" s="3" t="s">
        <v>64</v>
      </c>
      <c r="P124" s="3" t="s">
        <v>1485</v>
      </c>
      <c r="R124" s="3" t="s">
        <v>67</v>
      </c>
      <c r="S124" s="4">
        <v>1</v>
      </c>
      <c r="T124" s="4">
        <v>1</v>
      </c>
      <c r="U124" s="5" t="s">
        <v>1527</v>
      </c>
      <c r="V124" s="5" t="s">
        <v>1527</v>
      </c>
      <c r="W124" s="5" t="s">
        <v>1527</v>
      </c>
      <c r="X124" s="5" t="s">
        <v>1527</v>
      </c>
      <c r="Y124" s="4">
        <v>277</v>
      </c>
      <c r="Z124" s="4">
        <v>261</v>
      </c>
      <c r="AA124" s="4">
        <v>277</v>
      </c>
      <c r="AB124" s="4">
        <v>6</v>
      </c>
      <c r="AC124" s="4">
        <v>6</v>
      </c>
      <c r="AD124" s="4">
        <v>3</v>
      </c>
      <c r="AE124" s="4">
        <v>4</v>
      </c>
      <c r="AF124" s="4">
        <v>1</v>
      </c>
      <c r="AG124" s="4">
        <v>2</v>
      </c>
      <c r="AH124" s="4">
        <v>0</v>
      </c>
      <c r="AI124" s="4">
        <v>1</v>
      </c>
      <c r="AJ124" s="4">
        <v>1</v>
      </c>
      <c r="AK124" s="4">
        <v>1</v>
      </c>
      <c r="AL124" s="4">
        <v>1</v>
      </c>
      <c r="AM124" s="4">
        <v>1</v>
      </c>
      <c r="AN124" s="4">
        <v>0</v>
      </c>
      <c r="AO124" s="4">
        <v>0</v>
      </c>
      <c r="AP124" s="3" t="s">
        <v>59</v>
      </c>
      <c r="AQ124" s="3" t="s">
        <v>59</v>
      </c>
      <c r="AS124" s="6" t="str">
        <f>HYPERLINK("https://creighton-primo.hosted.exlibrisgroup.com/primo-explore/search?tab=default_tab&amp;search_scope=EVERYTHING&amp;vid=01CRU&amp;lang=en_US&amp;offset=0&amp;query=any,contains,991005319509702656","Catalog Record")</f>
        <v>Catalog Record</v>
      </c>
      <c r="AT124" s="6" t="str">
        <f>HYPERLINK("http://www.worldcat.org/oclc/176926490","WorldCat Record")</f>
        <v>WorldCat Record</v>
      </c>
      <c r="AU124" s="3" t="s">
        <v>1528</v>
      </c>
      <c r="AV124" s="3" t="s">
        <v>1529</v>
      </c>
      <c r="AW124" s="3" t="s">
        <v>1530</v>
      </c>
      <c r="AX124" s="3" t="s">
        <v>1530</v>
      </c>
      <c r="AY124" s="3" t="s">
        <v>1531</v>
      </c>
      <c r="AZ124" s="3" t="s">
        <v>74</v>
      </c>
      <c r="BB124" s="3" t="s">
        <v>1532</v>
      </c>
      <c r="BC124" s="3" t="s">
        <v>1533</v>
      </c>
      <c r="BD124" s="3" t="s">
        <v>1534</v>
      </c>
    </row>
    <row r="125" spans="1:56" ht="57.75" customHeight="1" x14ac:dyDescent="0.25">
      <c r="A125" s="7" t="s">
        <v>59</v>
      </c>
      <c r="B125" s="2" t="s">
        <v>1535</v>
      </c>
      <c r="C125" s="2" t="s">
        <v>1536</v>
      </c>
      <c r="D125" s="2" t="s">
        <v>1537</v>
      </c>
      <c r="F125" s="3" t="s">
        <v>59</v>
      </c>
      <c r="G125" s="3" t="s">
        <v>60</v>
      </c>
      <c r="H125" s="3" t="s">
        <v>59</v>
      </c>
      <c r="I125" s="3" t="s">
        <v>59</v>
      </c>
      <c r="J125" s="3" t="s">
        <v>61</v>
      </c>
      <c r="K125" s="2" t="s">
        <v>1538</v>
      </c>
      <c r="L125" s="2" t="s">
        <v>1539</v>
      </c>
      <c r="M125" s="3" t="s">
        <v>239</v>
      </c>
      <c r="N125" s="2" t="s">
        <v>556</v>
      </c>
      <c r="O125" s="3" t="s">
        <v>64</v>
      </c>
      <c r="P125" s="3" t="s">
        <v>467</v>
      </c>
      <c r="R125" s="3" t="s">
        <v>67</v>
      </c>
      <c r="S125" s="4">
        <v>4</v>
      </c>
      <c r="T125" s="4">
        <v>4</v>
      </c>
      <c r="U125" s="5" t="s">
        <v>1540</v>
      </c>
      <c r="V125" s="5" t="s">
        <v>1540</v>
      </c>
      <c r="W125" s="5" t="s">
        <v>1541</v>
      </c>
      <c r="X125" s="5" t="s">
        <v>1541</v>
      </c>
      <c r="Y125" s="4">
        <v>597</v>
      </c>
      <c r="Z125" s="4">
        <v>568</v>
      </c>
      <c r="AA125" s="4">
        <v>582</v>
      </c>
      <c r="AB125" s="4">
        <v>7</v>
      </c>
      <c r="AC125" s="4">
        <v>7</v>
      </c>
      <c r="AD125" s="4">
        <v>16</v>
      </c>
      <c r="AE125" s="4">
        <v>16</v>
      </c>
      <c r="AF125" s="4">
        <v>6</v>
      </c>
      <c r="AG125" s="4">
        <v>6</v>
      </c>
      <c r="AH125" s="4">
        <v>6</v>
      </c>
      <c r="AI125" s="4">
        <v>6</v>
      </c>
      <c r="AJ125" s="4">
        <v>5</v>
      </c>
      <c r="AK125" s="4">
        <v>5</v>
      </c>
      <c r="AL125" s="4">
        <v>4</v>
      </c>
      <c r="AM125" s="4">
        <v>4</v>
      </c>
      <c r="AN125" s="4">
        <v>0</v>
      </c>
      <c r="AO125" s="4">
        <v>0</v>
      </c>
      <c r="AP125" s="3" t="s">
        <v>59</v>
      </c>
      <c r="AQ125" s="3" t="s">
        <v>59</v>
      </c>
      <c r="AS125" s="6" t="str">
        <f>HYPERLINK("https://creighton-primo.hosted.exlibrisgroup.com/primo-explore/search?tab=default_tab&amp;search_scope=EVERYTHING&amp;vid=01CRU&amp;lang=en_US&amp;offset=0&amp;query=any,contains,991002557469702656","Catalog Record")</f>
        <v>Catalog Record</v>
      </c>
      <c r="AT125" s="6" t="str">
        <f>HYPERLINK("http://www.worldcat.org/oclc/33244376","WorldCat Record")</f>
        <v>WorldCat Record</v>
      </c>
      <c r="AU125" s="3" t="s">
        <v>1542</v>
      </c>
      <c r="AV125" s="3" t="s">
        <v>1543</v>
      </c>
      <c r="AW125" s="3" t="s">
        <v>1544</v>
      </c>
      <c r="AX125" s="3" t="s">
        <v>1544</v>
      </c>
      <c r="AY125" s="3" t="s">
        <v>1545</v>
      </c>
      <c r="AZ125" s="3" t="s">
        <v>74</v>
      </c>
      <c r="BB125" s="3" t="s">
        <v>1546</v>
      </c>
      <c r="BC125" s="3" t="s">
        <v>1547</v>
      </c>
      <c r="BD125" s="3" t="s">
        <v>1548</v>
      </c>
    </row>
    <row r="126" spans="1:56" ht="57.75" customHeight="1" x14ac:dyDescent="0.25">
      <c r="A126" s="7" t="s">
        <v>59</v>
      </c>
      <c r="B126" s="2" t="s">
        <v>1549</v>
      </c>
      <c r="C126" s="2" t="s">
        <v>1550</v>
      </c>
      <c r="D126" s="2" t="s">
        <v>1551</v>
      </c>
      <c r="F126" s="3" t="s">
        <v>59</v>
      </c>
      <c r="G126" s="3" t="s">
        <v>60</v>
      </c>
      <c r="H126" s="3" t="s">
        <v>59</v>
      </c>
      <c r="I126" s="3" t="s">
        <v>59</v>
      </c>
      <c r="J126" s="3" t="s">
        <v>61</v>
      </c>
      <c r="K126" s="2" t="s">
        <v>1552</v>
      </c>
      <c r="L126" s="2" t="s">
        <v>1553</v>
      </c>
      <c r="M126" s="3" t="s">
        <v>1267</v>
      </c>
      <c r="N126" s="2" t="s">
        <v>556</v>
      </c>
      <c r="O126" s="3" t="s">
        <v>64</v>
      </c>
      <c r="P126" s="3" t="s">
        <v>1253</v>
      </c>
      <c r="Q126" s="2" t="s">
        <v>1554</v>
      </c>
      <c r="R126" s="3" t="s">
        <v>67</v>
      </c>
      <c r="S126" s="4">
        <v>1</v>
      </c>
      <c r="T126" s="4">
        <v>1</v>
      </c>
      <c r="U126" s="5" t="s">
        <v>1555</v>
      </c>
      <c r="V126" s="5" t="s">
        <v>1555</v>
      </c>
      <c r="W126" s="5" t="s">
        <v>1555</v>
      </c>
      <c r="X126" s="5" t="s">
        <v>1555</v>
      </c>
      <c r="Y126" s="4">
        <v>102</v>
      </c>
      <c r="Z126" s="4">
        <v>92</v>
      </c>
      <c r="AA126" s="4">
        <v>92</v>
      </c>
      <c r="AB126" s="4">
        <v>1</v>
      </c>
      <c r="AC126" s="4">
        <v>1</v>
      </c>
      <c r="AD126" s="4">
        <v>3</v>
      </c>
      <c r="AE126" s="4">
        <v>3</v>
      </c>
      <c r="AF126" s="4">
        <v>1</v>
      </c>
      <c r="AG126" s="4">
        <v>1</v>
      </c>
      <c r="AH126" s="4">
        <v>1</v>
      </c>
      <c r="AI126" s="4">
        <v>1</v>
      </c>
      <c r="AJ126" s="4">
        <v>2</v>
      </c>
      <c r="AK126" s="4">
        <v>2</v>
      </c>
      <c r="AL126" s="4">
        <v>0</v>
      </c>
      <c r="AM126" s="4">
        <v>0</v>
      </c>
      <c r="AN126" s="4">
        <v>0</v>
      </c>
      <c r="AO126" s="4">
        <v>0</v>
      </c>
      <c r="AP126" s="3" t="s">
        <v>59</v>
      </c>
      <c r="AQ126" s="3" t="s">
        <v>59</v>
      </c>
      <c r="AS126" s="6" t="str">
        <f>HYPERLINK("https://creighton-primo.hosted.exlibrisgroup.com/primo-explore/search?tab=default_tab&amp;search_scope=EVERYTHING&amp;vid=01CRU&amp;lang=en_US&amp;offset=0&amp;query=any,contains,991005276309702656","Catalog Record")</f>
        <v>Catalog Record</v>
      </c>
      <c r="AT126" s="6" t="str">
        <f>HYPERLINK("http://www.worldcat.org/oclc/191882094","WorldCat Record")</f>
        <v>WorldCat Record</v>
      </c>
      <c r="AU126" s="3" t="s">
        <v>1556</v>
      </c>
      <c r="AV126" s="3" t="s">
        <v>1557</v>
      </c>
      <c r="AW126" s="3" t="s">
        <v>1558</v>
      </c>
      <c r="AX126" s="3" t="s">
        <v>1558</v>
      </c>
      <c r="AY126" s="3" t="s">
        <v>1559</v>
      </c>
      <c r="AZ126" s="3" t="s">
        <v>74</v>
      </c>
      <c r="BB126" s="3" t="s">
        <v>1560</v>
      </c>
      <c r="BC126" s="3" t="s">
        <v>1561</v>
      </c>
      <c r="BD126" s="3" t="s">
        <v>1562</v>
      </c>
    </row>
    <row r="127" spans="1:56" ht="57.75" customHeight="1" x14ac:dyDescent="0.25">
      <c r="A127" s="7" t="s">
        <v>59</v>
      </c>
      <c r="B127" s="2" t="s">
        <v>1563</v>
      </c>
      <c r="C127" s="2" t="s">
        <v>1564</v>
      </c>
      <c r="D127" s="2" t="s">
        <v>1565</v>
      </c>
      <c r="F127" s="3" t="s">
        <v>59</v>
      </c>
      <c r="G127" s="3" t="s">
        <v>60</v>
      </c>
      <c r="H127" s="3" t="s">
        <v>59</v>
      </c>
      <c r="I127" s="3" t="s">
        <v>59</v>
      </c>
      <c r="J127" s="3" t="s">
        <v>61</v>
      </c>
      <c r="K127" s="2" t="s">
        <v>1566</v>
      </c>
      <c r="L127" s="2" t="s">
        <v>1567</v>
      </c>
      <c r="M127" s="3" t="s">
        <v>617</v>
      </c>
      <c r="O127" s="3" t="s">
        <v>64</v>
      </c>
      <c r="P127" s="3" t="s">
        <v>467</v>
      </c>
      <c r="R127" s="3" t="s">
        <v>67</v>
      </c>
      <c r="S127" s="4">
        <v>2</v>
      </c>
      <c r="T127" s="4">
        <v>2</v>
      </c>
      <c r="U127" s="5" t="s">
        <v>1568</v>
      </c>
      <c r="V127" s="5" t="s">
        <v>1568</v>
      </c>
      <c r="W127" s="5" t="s">
        <v>543</v>
      </c>
      <c r="X127" s="5" t="s">
        <v>543</v>
      </c>
      <c r="Y127" s="4">
        <v>247</v>
      </c>
      <c r="Z127" s="4">
        <v>226</v>
      </c>
      <c r="AA127" s="4">
        <v>250</v>
      </c>
      <c r="AB127" s="4">
        <v>1</v>
      </c>
      <c r="AC127" s="4">
        <v>1</v>
      </c>
      <c r="AD127" s="4">
        <v>4</v>
      </c>
      <c r="AE127" s="4">
        <v>5</v>
      </c>
      <c r="AF127" s="4">
        <v>1</v>
      </c>
      <c r="AG127" s="4">
        <v>2</v>
      </c>
      <c r="AH127" s="4">
        <v>2</v>
      </c>
      <c r="AI127" s="4">
        <v>3</v>
      </c>
      <c r="AJ127" s="4">
        <v>2</v>
      </c>
      <c r="AK127" s="4">
        <v>2</v>
      </c>
      <c r="AL127" s="4">
        <v>0</v>
      </c>
      <c r="AM127" s="4">
        <v>0</v>
      </c>
      <c r="AN127" s="4">
        <v>0</v>
      </c>
      <c r="AO127" s="4">
        <v>0</v>
      </c>
      <c r="AP127" s="3" t="s">
        <v>59</v>
      </c>
      <c r="AQ127" s="3" t="s">
        <v>69</v>
      </c>
      <c r="AR127" s="6" t="str">
        <f>HYPERLINK("http://catalog.hathitrust.org/Record/000264813","HathiTrust Record")</f>
        <v>HathiTrust Record</v>
      </c>
      <c r="AS127" s="6" t="str">
        <f>HYPERLINK("https://creighton-primo.hosted.exlibrisgroup.com/primo-explore/search?tab=default_tab&amp;search_scope=EVERYTHING&amp;vid=01CRU&amp;lang=en_US&amp;offset=0&amp;query=any,contains,991005047489702656","Catalog Record")</f>
        <v>Catalog Record</v>
      </c>
      <c r="AT127" s="6" t="str">
        <f>HYPERLINK("http://www.worldcat.org/oclc/6857801","WorldCat Record")</f>
        <v>WorldCat Record</v>
      </c>
      <c r="AU127" s="3" t="s">
        <v>1569</v>
      </c>
      <c r="AV127" s="3" t="s">
        <v>1570</v>
      </c>
      <c r="AW127" s="3" t="s">
        <v>1571</v>
      </c>
      <c r="AX127" s="3" t="s">
        <v>1571</v>
      </c>
      <c r="AY127" s="3" t="s">
        <v>1572</v>
      </c>
      <c r="AZ127" s="3" t="s">
        <v>74</v>
      </c>
      <c r="BB127" s="3" t="s">
        <v>1573</v>
      </c>
      <c r="BC127" s="3" t="s">
        <v>1574</v>
      </c>
      <c r="BD127" s="3" t="s">
        <v>1575</v>
      </c>
    </row>
    <row r="128" spans="1:56" ht="57.75" customHeight="1" x14ac:dyDescent="0.25">
      <c r="A128" s="7" t="s">
        <v>59</v>
      </c>
      <c r="B128" s="2" t="s">
        <v>1576</v>
      </c>
      <c r="C128" s="2" t="s">
        <v>1577</v>
      </c>
      <c r="D128" s="2" t="s">
        <v>1578</v>
      </c>
      <c r="F128" s="3" t="s">
        <v>59</v>
      </c>
      <c r="G128" s="3" t="s">
        <v>60</v>
      </c>
      <c r="H128" s="3" t="s">
        <v>59</v>
      </c>
      <c r="I128" s="3" t="s">
        <v>59</v>
      </c>
      <c r="J128" s="3" t="s">
        <v>61</v>
      </c>
      <c r="K128" s="2" t="s">
        <v>1579</v>
      </c>
      <c r="L128" s="2" t="s">
        <v>1580</v>
      </c>
      <c r="M128" s="3" t="s">
        <v>93</v>
      </c>
      <c r="O128" s="3" t="s">
        <v>64</v>
      </c>
      <c r="P128" s="3" t="s">
        <v>405</v>
      </c>
      <c r="R128" s="3" t="s">
        <v>67</v>
      </c>
      <c r="S128" s="4">
        <v>5</v>
      </c>
      <c r="T128" s="4">
        <v>5</v>
      </c>
      <c r="U128" s="5" t="s">
        <v>1581</v>
      </c>
      <c r="V128" s="5" t="s">
        <v>1581</v>
      </c>
      <c r="W128" s="5" t="s">
        <v>1582</v>
      </c>
      <c r="X128" s="5" t="s">
        <v>1582</v>
      </c>
      <c r="Y128" s="4">
        <v>365</v>
      </c>
      <c r="Z128" s="4">
        <v>278</v>
      </c>
      <c r="AA128" s="4">
        <v>294</v>
      </c>
      <c r="AB128" s="4">
        <v>1</v>
      </c>
      <c r="AC128" s="4">
        <v>2</v>
      </c>
      <c r="AD128" s="4">
        <v>7</v>
      </c>
      <c r="AE128" s="4">
        <v>8</v>
      </c>
      <c r="AF128" s="4">
        <v>1</v>
      </c>
      <c r="AG128" s="4">
        <v>1</v>
      </c>
      <c r="AH128" s="4">
        <v>3</v>
      </c>
      <c r="AI128" s="4">
        <v>3</v>
      </c>
      <c r="AJ128" s="4">
        <v>4</v>
      </c>
      <c r="AK128" s="4">
        <v>4</v>
      </c>
      <c r="AL128" s="4">
        <v>0</v>
      </c>
      <c r="AM128" s="4">
        <v>1</v>
      </c>
      <c r="AN128" s="4">
        <v>0</v>
      </c>
      <c r="AO128" s="4">
        <v>0</v>
      </c>
      <c r="AP128" s="3" t="s">
        <v>59</v>
      </c>
      <c r="AQ128" s="3" t="s">
        <v>59</v>
      </c>
      <c r="AS128" s="6" t="str">
        <f>HYPERLINK("https://creighton-primo.hosted.exlibrisgroup.com/primo-explore/search?tab=default_tab&amp;search_scope=EVERYTHING&amp;vid=01CRU&amp;lang=en_US&amp;offset=0&amp;query=any,contains,991004276429702656","Catalog Record")</f>
        <v>Catalog Record</v>
      </c>
      <c r="AT128" s="6" t="str">
        <f>HYPERLINK("http://www.worldcat.org/oclc/52830553","WorldCat Record")</f>
        <v>WorldCat Record</v>
      </c>
      <c r="AU128" s="3" t="s">
        <v>1583</v>
      </c>
      <c r="AV128" s="3" t="s">
        <v>1584</v>
      </c>
      <c r="AW128" s="3" t="s">
        <v>1585</v>
      </c>
      <c r="AX128" s="3" t="s">
        <v>1585</v>
      </c>
      <c r="AY128" s="3" t="s">
        <v>1586</v>
      </c>
      <c r="AZ128" s="3" t="s">
        <v>74</v>
      </c>
      <c r="BB128" s="3" t="s">
        <v>1587</v>
      </c>
      <c r="BC128" s="3" t="s">
        <v>1588</v>
      </c>
      <c r="BD128" s="3" t="s">
        <v>1589</v>
      </c>
    </row>
    <row r="129" spans="1:56" ht="57.75" customHeight="1" x14ac:dyDescent="0.25">
      <c r="A129" s="7" t="s">
        <v>59</v>
      </c>
      <c r="B129" s="2" t="s">
        <v>1590</v>
      </c>
      <c r="C129" s="2" t="s">
        <v>1591</v>
      </c>
      <c r="D129" s="2" t="s">
        <v>1592</v>
      </c>
      <c r="F129" s="3" t="s">
        <v>59</v>
      </c>
      <c r="G129" s="3" t="s">
        <v>60</v>
      </c>
      <c r="H129" s="3" t="s">
        <v>59</v>
      </c>
      <c r="I129" s="3" t="s">
        <v>59</v>
      </c>
      <c r="J129" s="3" t="s">
        <v>61</v>
      </c>
      <c r="K129" s="2" t="s">
        <v>1593</v>
      </c>
      <c r="L129" s="2" t="s">
        <v>1594</v>
      </c>
      <c r="M129" s="3" t="s">
        <v>1595</v>
      </c>
      <c r="N129" s="2" t="s">
        <v>1596</v>
      </c>
      <c r="O129" s="3" t="s">
        <v>64</v>
      </c>
      <c r="P129" s="3" t="s">
        <v>573</v>
      </c>
      <c r="R129" s="3" t="s">
        <v>67</v>
      </c>
      <c r="S129" s="4">
        <v>3</v>
      </c>
      <c r="T129" s="4">
        <v>3</v>
      </c>
      <c r="U129" s="5" t="s">
        <v>1597</v>
      </c>
      <c r="V129" s="5" t="s">
        <v>1597</v>
      </c>
      <c r="W129" s="5" t="s">
        <v>1446</v>
      </c>
      <c r="X129" s="5" t="s">
        <v>1446</v>
      </c>
      <c r="Y129" s="4">
        <v>585</v>
      </c>
      <c r="Z129" s="4">
        <v>552</v>
      </c>
      <c r="AA129" s="4">
        <v>557</v>
      </c>
      <c r="AB129" s="4">
        <v>2</v>
      </c>
      <c r="AC129" s="4">
        <v>2</v>
      </c>
      <c r="AD129" s="4">
        <v>10</v>
      </c>
      <c r="AE129" s="4">
        <v>10</v>
      </c>
      <c r="AF129" s="4">
        <v>5</v>
      </c>
      <c r="AG129" s="4">
        <v>5</v>
      </c>
      <c r="AH129" s="4">
        <v>3</v>
      </c>
      <c r="AI129" s="4">
        <v>3</v>
      </c>
      <c r="AJ129" s="4">
        <v>6</v>
      </c>
      <c r="AK129" s="4">
        <v>6</v>
      </c>
      <c r="AL129" s="4">
        <v>0</v>
      </c>
      <c r="AM129" s="4">
        <v>0</v>
      </c>
      <c r="AN129" s="4">
        <v>0</v>
      </c>
      <c r="AO129" s="4">
        <v>0</v>
      </c>
      <c r="AP129" s="3" t="s">
        <v>59</v>
      </c>
      <c r="AQ129" s="3" t="s">
        <v>59</v>
      </c>
      <c r="AS129" s="6" t="str">
        <f>HYPERLINK("https://creighton-primo.hosted.exlibrisgroup.com/primo-explore/search?tab=default_tab&amp;search_scope=EVERYTHING&amp;vid=01CRU&amp;lang=en_US&amp;offset=0&amp;query=any,contains,991002661149702656","Catalog Record")</f>
        <v>Catalog Record</v>
      </c>
      <c r="AT129" s="6" t="str">
        <f>HYPERLINK("http://www.worldcat.org/oclc/391517","WorldCat Record")</f>
        <v>WorldCat Record</v>
      </c>
      <c r="AU129" s="3" t="s">
        <v>1598</v>
      </c>
      <c r="AV129" s="3" t="s">
        <v>1599</v>
      </c>
      <c r="AW129" s="3" t="s">
        <v>1600</v>
      </c>
      <c r="AX129" s="3" t="s">
        <v>1600</v>
      </c>
      <c r="AY129" s="3" t="s">
        <v>1601</v>
      </c>
      <c r="AZ129" s="3" t="s">
        <v>74</v>
      </c>
      <c r="BC129" s="3" t="s">
        <v>1602</v>
      </c>
      <c r="BD129" s="3" t="s">
        <v>1603</v>
      </c>
    </row>
    <row r="130" spans="1:56" ht="57.75" customHeight="1" x14ac:dyDescent="0.25">
      <c r="A130" s="7" t="s">
        <v>59</v>
      </c>
      <c r="B130" s="2" t="s">
        <v>1604</v>
      </c>
      <c r="C130" s="2" t="s">
        <v>1605</v>
      </c>
      <c r="D130" s="2" t="s">
        <v>1606</v>
      </c>
      <c r="F130" s="3" t="s">
        <v>59</v>
      </c>
      <c r="G130" s="3" t="s">
        <v>60</v>
      </c>
      <c r="H130" s="3" t="s">
        <v>59</v>
      </c>
      <c r="I130" s="3" t="s">
        <v>59</v>
      </c>
      <c r="J130" s="3" t="s">
        <v>61</v>
      </c>
      <c r="K130" s="2" t="s">
        <v>1607</v>
      </c>
      <c r="L130" s="2" t="s">
        <v>1608</v>
      </c>
      <c r="M130" s="3" t="s">
        <v>1430</v>
      </c>
      <c r="O130" s="3" t="s">
        <v>64</v>
      </c>
      <c r="P130" s="3" t="s">
        <v>630</v>
      </c>
      <c r="R130" s="3" t="s">
        <v>67</v>
      </c>
      <c r="S130" s="4">
        <v>10</v>
      </c>
      <c r="T130" s="4">
        <v>10</v>
      </c>
      <c r="U130" s="5" t="s">
        <v>1609</v>
      </c>
      <c r="V130" s="5" t="s">
        <v>1609</v>
      </c>
      <c r="W130" s="5" t="s">
        <v>1199</v>
      </c>
      <c r="X130" s="5" t="s">
        <v>1199</v>
      </c>
      <c r="Y130" s="4">
        <v>1340</v>
      </c>
      <c r="Z130" s="4">
        <v>1285</v>
      </c>
      <c r="AA130" s="4">
        <v>1516</v>
      </c>
      <c r="AB130" s="4">
        <v>10</v>
      </c>
      <c r="AC130" s="4">
        <v>11</v>
      </c>
      <c r="AD130" s="4">
        <v>20</v>
      </c>
      <c r="AE130" s="4">
        <v>22</v>
      </c>
      <c r="AF130" s="4">
        <v>9</v>
      </c>
      <c r="AG130" s="4">
        <v>11</v>
      </c>
      <c r="AH130" s="4">
        <v>2</v>
      </c>
      <c r="AI130" s="4">
        <v>3</v>
      </c>
      <c r="AJ130" s="4">
        <v>10</v>
      </c>
      <c r="AK130" s="4">
        <v>10</v>
      </c>
      <c r="AL130" s="4">
        <v>2</v>
      </c>
      <c r="AM130" s="4">
        <v>2</v>
      </c>
      <c r="AN130" s="4">
        <v>0</v>
      </c>
      <c r="AO130" s="4">
        <v>0</v>
      </c>
      <c r="AP130" s="3" t="s">
        <v>59</v>
      </c>
      <c r="AQ130" s="3" t="s">
        <v>69</v>
      </c>
      <c r="AR130" s="6" t="str">
        <f>HYPERLINK("http://catalog.hathitrust.org/Record/006202348","HathiTrust Record")</f>
        <v>HathiTrust Record</v>
      </c>
      <c r="AS130" s="6" t="str">
        <f>HYPERLINK("https://creighton-primo.hosted.exlibrisgroup.com/primo-explore/search?tab=default_tab&amp;search_scope=EVERYTHING&amp;vid=01CRU&amp;lang=en_US&amp;offset=0&amp;query=any,contains,991000433609702656","Catalog Record")</f>
        <v>Catalog Record</v>
      </c>
      <c r="AT130" s="6" t="str">
        <f>HYPERLINK("http://www.worldcat.org/oclc/10780404","WorldCat Record")</f>
        <v>WorldCat Record</v>
      </c>
      <c r="AU130" s="3" t="s">
        <v>1610</v>
      </c>
      <c r="AV130" s="3" t="s">
        <v>1611</v>
      </c>
      <c r="AW130" s="3" t="s">
        <v>1612</v>
      </c>
      <c r="AX130" s="3" t="s">
        <v>1612</v>
      </c>
      <c r="AY130" s="3" t="s">
        <v>1613</v>
      </c>
      <c r="AZ130" s="3" t="s">
        <v>74</v>
      </c>
      <c r="BB130" s="3" t="s">
        <v>1614</v>
      </c>
      <c r="BC130" s="3" t="s">
        <v>1615</v>
      </c>
      <c r="BD130" s="3" t="s">
        <v>1616</v>
      </c>
    </row>
    <row r="131" spans="1:56" ht="57.75" customHeight="1" x14ac:dyDescent="0.25">
      <c r="A131" s="7" t="s">
        <v>59</v>
      </c>
      <c r="B131" s="2" t="s">
        <v>1617</v>
      </c>
      <c r="C131" s="2" t="s">
        <v>1618</v>
      </c>
      <c r="D131" s="2" t="s">
        <v>1619</v>
      </c>
      <c r="F131" s="3" t="s">
        <v>59</v>
      </c>
      <c r="G131" s="3" t="s">
        <v>60</v>
      </c>
      <c r="H131" s="3" t="s">
        <v>59</v>
      </c>
      <c r="I131" s="3" t="s">
        <v>59</v>
      </c>
      <c r="J131" s="3" t="s">
        <v>61</v>
      </c>
      <c r="L131" s="2" t="s">
        <v>1620</v>
      </c>
      <c r="M131" s="3" t="s">
        <v>1430</v>
      </c>
      <c r="N131" s="2" t="s">
        <v>556</v>
      </c>
      <c r="O131" s="3" t="s">
        <v>64</v>
      </c>
      <c r="P131" s="3" t="s">
        <v>405</v>
      </c>
      <c r="Q131" s="2" t="s">
        <v>1621</v>
      </c>
      <c r="R131" s="3" t="s">
        <v>67</v>
      </c>
      <c r="S131" s="4">
        <v>8</v>
      </c>
      <c r="T131" s="4">
        <v>8</v>
      </c>
      <c r="U131" s="5" t="s">
        <v>1622</v>
      </c>
      <c r="V131" s="5" t="s">
        <v>1622</v>
      </c>
      <c r="W131" s="5" t="s">
        <v>1199</v>
      </c>
      <c r="X131" s="5" t="s">
        <v>1199</v>
      </c>
      <c r="Y131" s="4">
        <v>473</v>
      </c>
      <c r="Z131" s="4">
        <v>366</v>
      </c>
      <c r="AA131" s="4">
        <v>403</v>
      </c>
      <c r="AB131" s="4">
        <v>4</v>
      </c>
      <c r="AC131" s="4">
        <v>4</v>
      </c>
      <c r="AD131" s="4">
        <v>12</v>
      </c>
      <c r="AE131" s="4">
        <v>15</v>
      </c>
      <c r="AF131" s="4">
        <v>3</v>
      </c>
      <c r="AG131" s="4">
        <v>5</v>
      </c>
      <c r="AH131" s="4">
        <v>4</v>
      </c>
      <c r="AI131" s="4">
        <v>6</v>
      </c>
      <c r="AJ131" s="4">
        <v>4</v>
      </c>
      <c r="AK131" s="4">
        <v>4</v>
      </c>
      <c r="AL131" s="4">
        <v>3</v>
      </c>
      <c r="AM131" s="4">
        <v>3</v>
      </c>
      <c r="AN131" s="4">
        <v>0</v>
      </c>
      <c r="AO131" s="4">
        <v>0</v>
      </c>
      <c r="AP131" s="3" t="s">
        <v>59</v>
      </c>
      <c r="AQ131" s="3" t="s">
        <v>69</v>
      </c>
      <c r="AR131" s="6" t="str">
        <f>HYPERLINK("http://catalog.hathitrust.org/Record/004413510","HathiTrust Record")</f>
        <v>HathiTrust Record</v>
      </c>
      <c r="AS131" s="6" t="str">
        <f>HYPERLINK("https://creighton-primo.hosted.exlibrisgroup.com/primo-explore/search?tab=default_tab&amp;search_scope=EVERYTHING&amp;vid=01CRU&amp;lang=en_US&amp;offset=0&amp;query=any,contains,991000276749702656","Catalog Record")</f>
        <v>Catalog Record</v>
      </c>
      <c r="AT131" s="6" t="str">
        <f>HYPERLINK("http://www.worldcat.org/oclc/9895231","WorldCat Record")</f>
        <v>WorldCat Record</v>
      </c>
      <c r="AU131" s="3" t="s">
        <v>1623</v>
      </c>
      <c r="AV131" s="3" t="s">
        <v>1624</v>
      </c>
      <c r="AW131" s="3" t="s">
        <v>1625</v>
      </c>
      <c r="AX131" s="3" t="s">
        <v>1625</v>
      </c>
      <c r="AY131" s="3" t="s">
        <v>1626</v>
      </c>
      <c r="AZ131" s="3" t="s">
        <v>74</v>
      </c>
      <c r="BB131" s="3" t="s">
        <v>1627</v>
      </c>
      <c r="BC131" s="3" t="s">
        <v>1628</v>
      </c>
      <c r="BD131" s="3" t="s">
        <v>1629</v>
      </c>
    </row>
    <row r="132" spans="1:56" ht="57.75" customHeight="1" x14ac:dyDescent="0.25">
      <c r="A132" s="7" t="s">
        <v>59</v>
      </c>
      <c r="B132" s="2" t="s">
        <v>1630</v>
      </c>
      <c r="C132" s="2" t="s">
        <v>1631</v>
      </c>
      <c r="D132" s="2" t="s">
        <v>1632</v>
      </c>
      <c r="F132" s="3" t="s">
        <v>59</v>
      </c>
      <c r="G132" s="3" t="s">
        <v>60</v>
      </c>
      <c r="H132" s="3" t="s">
        <v>59</v>
      </c>
      <c r="I132" s="3" t="s">
        <v>59</v>
      </c>
      <c r="J132" s="3" t="s">
        <v>61</v>
      </c>
      <c r="K132" s="2" t="s">
        <v>1633</v>
      </c>
      <c r="L132" s="2" t="s">
        <v>1634</v>
      </c>
      <c r="M132" s="3" t="s">
        <v>587</v>
      </c>
      <c r="N132" s="2" t="s">
        <v>556</v>
      </c>
      <c r="O132" s="3" t="s">
        <v>64</v>
      </c>
      <c r="P132" s="3" t="s">
        <v>467</v>
      </c>
      <c r="R132" s="3" t="s">
        <v>67</v>
      </c>
      <c r="S132" s="4">
        <v>1</v>
      </c>
      <c r="T132" s="4">
        <v>1</v>
      </c>
      <c r="U132" s="5" t="s">
        <v>1635</v>
      </c>
      <c r="V132" s="5" t="s">
        <v>1635</v>
      </c>
      <c r="W132" s="5" t="s">
        <v>575</v>
      </c>
      <c r="X132" s="5" t="s">
        <v>575</v>
      </c>
      <c r="Y132" s="4">
        <v>1109</v>
      </c>
      <c r="Z132" s="4">
        <v>1072</v>
      </c>
      <c r="AA132" s="4">
        <v>1919</v>
      </c>
      <c r="AB132" s="4">
        <v>7</v>
      </c>
      <c r="AC132" s="4">
        <v>16</v>
      </c>
      <c r="AD132" s="4">
        <v>23</v>
      </c>
      <c r="AE132" s="4">
        <v>38</v>
      </c>
      <c r="AF132" s="4">
        <v>7</v>
      </c>
      <c r="AG132" s="4">
        <v>13</v>
      </c>
      <c r="AH132" s="4">
        <v>5</v>
      </c>
      <c r="AI132" s="4">
        <v>6</v>
      </c>
      <c r="AJ132" s="4">
        <v>13</v>
      </c>
      <c r="AK132" s="4">
        <v>17</v>
      </c>
      <c r="AL132" s="4">
        <v>3</v>
      </c>
      <c r="AM132" s="4">
        <v>9</v>
      </c>
      <c r="AN132" s="4">
        <v>0</v>
      </c>
      <c r="AO132" s="4">
        <v>0</v>
      </c>
      <c r="AP132" s="3" t="s">
        <v>59</v>
      </c>
      <c r="AQ132" s="3" t="s">
        <v>69</v>
      </c>
      <c r="AR132" s="6" t="str">
        <f>HYPERLINK("http://catalog.hathitrust.org/Record/102073883","HathiTrust Record")</f>
        <v>HathiTrust Record</v>
      </c>
      <c r="AS132" s="6" t="str">
        <f>HYPERLINK("https://creighton-primo.hosted.exlibrisgroup.com/primo-explore/search?tab=default_tab&amp;search_scope=EVERYTHING&amp;vid=01CRU&amp;lang=en_US&amp;offset=0&amp;query=any,contains,991002428069702656","Catalog Record")</f>
        <v>Catalog Record</v>
      </c>
      <c r="AT132" s="6" t="str">
        <f>HYPERLINK("http://www.worldcat.org/oclc/31636827","WorldCat Record")</f>
        <v>WorldCat Record</v>
      </c>
      <c r="AU132" s="3" t="s">
        <v>1636</v>
      </c>
      <c r="AV132" s="3" t="s">
        <v>1637</v>
      </c>
      <c r="AW132" s="3" t="s">
        <v>1638</v>
      </c>
      <c r="AX132" s="3" t="s">
        <v>1638</v>
      </c>
      <c r="AY132" s="3" t="s">
        <v>1639</v>
      </c>
      <c r="AZ132" s="3" t="s">
        <v>74</v>
      </c>
      <c r="BB132" s="3" t="s">
        <v>1640</v>
      </c>
      <c r="BC132" s="3" t="s">
        <v>1641</v>
      </c>
      <c r="BD132" s="3" t="s">
        <v>1642</v>
      </c>
    </row>
    <row r="133" spans="1:56" ht="57.75" customHeight="1" x14ac:dyDescent="0.25">
      <c r="A133" s="7" t="s">
        <v>59</v>
      </c>
      <c r="B133" s="2" t="s">
        <v>1643</v>
      </c>
      <c r="C133" s="2" t="s">
        <v>1644</v>
      </c>
      <c r="D133" s="2" t="s">
        <v>1645</v>
      </c>
      <c r="F133" s="3" t="s">
        <v>59</v>
      </c>
      <c r="G133" s="3" t="s">
        <v>60</v>
      </c>
      <c r="H133" s="3" t="s">
        <v>59</v>
      </c>
      <c r="I133" s="3" t="s">
        <v>59</v>
      </c>
      <c r="J133" s="3" t="s">
        <v>61</v>
      </c>
      <c r="K133" s="2" t="s">
        <v>1646</v>
      </c>
      <c r="L133" s="2" t="s">
        <v>1647</v>
      </c>
      <c r="M133" s="3" t="s">
        <v>763</v>
      </c>
      <c r="O133" s="3" t="s">
        <v>64</v>
      </c>
      <c r="P133" s="3" t="s">
        <v>1078</v>
      </c>
      <c r="R133" s="3" t="s">
        <v>67</v>
      </c>
      <c r="S133" s="4">
        <v>8</v>
      </c>
      <c r="T133" s="4">
        <v>8</v>
      </c>
      <c r="U133" s="5" t="s">
        <v>1648</v>
      </c>
      <c r="V133" s="5" t="s">
        <v>1648</v>
      </c>
      <c r="W133" s="5" t="s">
        <v>1199</v>
      </c>
      <c r="X133" s="5" t="s">
        <v>1199</v>
      </c>
      <c r="Y133" s="4">
        <v>641</v>
      </c>
      <c r="Z133" s="4">
        <v>589</v>
      </c>
      <c r="AA133" s="4">
        <v>595</v>
      </c>
      <c r="AB133" s="4">
        <v>3</v>
      </c>
      <c r="AC133" s="4">
        <v>3</v>
      </c>
      <c r="AD133" s="4">
        <v>7</v>
      </c>
      <c r="AE133" s="4">
        <v>7</v>
      </c>
      <c r="AF133" s="4">
        <v>3</v>
      </c>
      <c r="AG133" s="4">
        <v>3</v>
      </c>
      <c r="AH133" s="4">
        <v>1</v>
      </c>
      <c r="AI133" s="4">
        <v>1</v>
      </c>
      <c r="AJ133" s="4">
        <v>3</v>
      </c>
      <c r="AK133" s="4">
        <v>3</v>
      </c>
      <c r="AL133" s="4">
        <v>0</v>
      </c>
      <c r="AM133" s="4">
        <v>0</v>
      </c>
      <c r="AN133" s="4">
        <v>0</v>
      </c>
      <c r="AO133" s="4">
        <v>0</v>
      </c>
      <c r="AP133" s="3" t="s">
        <v>59</v>
      </c>
      <c r="AQ133" s="3" t="s">
        <v>59</v>
      </c>
      <c r="AS133" s="6" t="str">
        <f>HYPERLINK("https://creighton-primo.hosted.exlibrisgroup.com/primo-explore/search?tab=default_tab&amp;search_scope=EVERYTHING&amp;vid=01CRU&amp;lang=en_US&amp;offset=0&amp;query=any,contains,991001019659702656","Catalog Record")</f>
        <v>Catalog Record</v>
      </c>
      <c r="AT133" s="6" t="str">
        <f>HYPERLINK("http://www.worldcat.org/oclc/15366006","WorldCat Record")</f>
        <v>WorldCat Record</v>
      </c>
      <c r="AU133" s="3" t="s">
        <v>1649</v>
      </c>
      <c r="AV133" s="3" t="s">
        <v>1650</v>
      </c>
      <c r="AW133" s="3" t="s">
        <v>1651</v>
      </c>
      <c r="AX133" s="3" t="s">
        <v>1651</v>
      </c>
      <c r="AY133" s="3" t="s">
        <v>1652</v>
      </c>
      <c r="AZ133" s="3" t="s">
        <v>74</v>
      </c>
      <c r="BB133" s="3" t="s">
        <v>1653</v>
      </c>
      <c r="BC133" s="3" t="s">
        <v>1654</v>
      </c>
      <c r="BD133" s="3" t="s">
        <v>1655</v>
      </c>
    </row>
    <row r="134" spans="1:56" ht="57.75" customHeight="1" x14ac:dyDescent="0.25">
      <c r="A134" s="7" t="s">
        <v>59</v>
      </c>
      <c r="B134" s="2" t="s">
        <v>1656</v>
      </c>
      <c r="C134" s="2" t="s">
        <v>1657</v>
      </c>
      <c r="D134" s="2" t="s">
        <v>1658</v>
      </c>
      <c r="F134" s="3" t="s">
        <v>59</v>
      </c>
      <c r="G134" s="3" t="s">
        <v>60</v>
      </c>
      <c r="H134" s="3" t="s">
        <v>59</v>
      </c>
      <c r="I134" s="3" t="s">
        <v>59</v>
      </c>
      <c r="J134" s="3" t="s">
        <v>61</v>
      </c>
      <c r="L134" s="2" t="s">
        <v>1659</v>
      </c>
      <c r="M134" s="3" t="s">
        <v>835</v>
      </c>
      <c r="O134" s="3" t="s">
        <v>64</v>
      </c>
      <c r="P134" s="3" t="s">
        <v>821</v>
      </c>
      <c r="R134" s="3" t="s">
        <v>67</v>
      </c>
      <c r="S134" s="4">
        <v>13</v>
      </c>
      <c r="T134" s="4">
        <v>13</v>
      </c>
      <c r="U134" s="5" t="s">
        <v>1660</v>
      </c>
      <c r="V134" s="5" t="s">
        <v>1660</v>
      </c>
      <c r="W134" s="5" t="s">
        <v>1661</v>
      </c>
      <c r="X134" s="5" t="s">
        <v>1661</v>
      </c>
      <c r="Y134" s="4">
        <v>676</v>
      </c>
      <c r="Z134" s="4">
        <v>544</v>
      </c>
      <c r="AA134" s="4">
        <v>567</v>
      </c>
      <c r="AB134" s="4">
        <v>4</v>
      </c>
      <c r="AC134" s="4">
        <v>4</v>
      </c>
      <c r="AD134" s="4">
        <v>21</v>
      </c>
      <c r="AE134" s="4">
        <v>22</v>
      </c>
      <c r="AF134" s="4">
        <v>9</v>
      </c>
      <c r="AG134" s="4">
        <v>10</v>
      </c>
      <c r="AH134" s="4">
        <v>5</v>
      </c>
      <c r="AI134" s="4">
        <v>5</v>
      </c>
      <c r="AJ134" s="4">
        <v>9</v>
      </c>
      <c r="AK134" s="4">
        <v>10</v>
      </c>
      <c r="AL134" s="4">
        <v>3</v>
      </c>
      <c r="AM134" s="4">
        <v>3</v>
      </c>
      <c r="AN134" s="4">
        <v>0</v>
      </c>
      <c r="AO134" s="4">
        <v>0</v>
      </c>
      <c r="AP134" s="3" t="s">
        <v>59</v>
      </c>
      <c r="AQ134" s="3" t="s">
        <v>59</v>
      </c>
      <c r="AS134" s="6" t="str">
        <f>HYPERLINK("https://creighton-primo.hosted.exlibrisgroup.com/primo-explore/search?tab=default_tab&amp;search_scope=EVERYTHING&amp;vid=01CRU&amp;lang=en_US&amp;offset=0&amp;query=any,contains,991004720999702656","Catalog Record")</f>
        <v>Catalog Record</v>
      </c>
      <c r="AT134" s="6" t="str">
        <f>HYPERLINK("http://www.worldcat.org/oclc/4804514","WorldCat Record")</f>
        <v>WorldCat Record</v>
      </c>
      <c r="AU134" s="3" t="s">
        <v>1662</v>
      </c>
      <c r="AV134" s="3" t="s">
        <v>1663</v>
      </c>
      <c r="AW134" s="3" t="s">
        <v>1664</v>
      </c>
      <c r="AX134" s="3" t="s">
        <v>1664</v>
      </c>
      <c r="AY134" s="3" t="s">
        <v>1665</v>
      </c>
      <c r="AZ134" s="3" t="s">
        <v>74</v>
      </c>
      <c r="BB134" s="3" t="s">
        <v>1666</v>
      </c>
      <c r="BC134" s="3" t="s">
        <v>1667</v>
      </c>
      <c r="BD134" s="3" t="s">
        <v>1668</v>
      </c>
    </row>
    <row r="135" spans="1:56" ht="57.75" customHeight="1" x14ac:dyDescent="0.25">
      <c r="A135" s="7" t="s">
        <v>59</v>
      </c>
      <c r="B135" s="2" t="s">
        <v>1669</v>
      </c>
      <c r="C135" s="2" t="s">
        <v>1670</v>
      </c>
      <c r="D135" s="2" t="s">
        <v>1671</v>
      </c>
      <c r="F135" s="3" t="s">
        <v>59</v>
      </c>
      <c r="G135" s="3" t="s">
        <v>60</v>
      </c>
      <c r="H135" s="3" t="s">
        <v>59</v>
      </c>
      <c r="I135" s="3" t="s">
        <v>59</v>
      </c>
      <c r="J135" s="3" t="s">
        <v>61</v>
      </c>
      <c r="K135" s="2" t="s">
        <v>1672</v>
      </c>
      <c r="L135" s="2" t="s">
        <v>1673</v>
      </c>
      <c r="M135" s="3" t="s">
        <v>63</v>
      </c>
      <c r="O135" s="3" t="s">
        <v>64</v>
      </c>
      <c r="P135" s="3" t="s">
        <v>1674</v>
      </c>
      <c r="R135" s="3" t="s">
        <v>67</v>
      </c>
      <c r="S135" s="4">
        <v>1</v>
      </c>
      <c r="T135" s="4">
        <v>1</v>
      </c>
      <c r="U135" s="5" t="s">
        <v>1675</v>
      </c>
      <c r="V135" s="5" t="s">
        <v>1675</v>
      </c>
      <c r="W135" s="5" t="s">
        <v>1675</v>
      </c>
      <c r="X135" s="5" t="s">
        <v>1675</v>
      </c>
      <c r="Y135" s="4">
        <v>54</v>
      </c>
      <c r="Z135" s="4">
        <v>24</v>
      </c>
      <c r="AA135" s="4">
        <v>24</v>
      </c>
      <c r="AB135" s="4">
        <v>1</v>
      </c>
      <c r="AC135" s="4">
        <v>1</v>
      </c>
      <c r="AD135" s="4">
        <v>0</v>
      </c>
      <c r="AE135" s="4">
        <v>0</v>
      </c>
      <c r="AF135" s="4">
        <v>0</v>
      </c>
      <c r="AG135" s="4">
        <v>0</v>
      </c>
      <c r="AH135" s="4">
        <v>0</v>
      </c>
      <c r="AI135" s="4">
        <v>0</v>
      </c>
      <c r="AJ135" s="4">
        <v>0</v>
      </c>
      <c r="AK135" s="4">
        <v>0</v>
      </c>
      <c r="AL135" s="4">
        <v>0</v>
      </c>
      <c r="AM135" s="4">
        <v>0</v>
      </c>
      <c r="AN135" s="4">
        <v>0</v>
      </c>
      <c r="AO135" s="4">
        <v>0</v>
      </c>
      <c r="AP135" s="3" t="s">
        <v>59</v>
      </c>
      <c r="AQ135" s="3" t="s">
        <v>59</v>
      </c>
      <c r="AS135" s="6" t="str">
        <f>HYPERLINK("https://creighton-primo.hosted.exlibrisgroup.com/primo-explore/search?tab=default_tab&amp;search_scope=EVERYTHING&amp;vid=01CRU&amp;lang=en_US&amp;offset=0&amp;query=any,contains,991005151989702656","Catalog Record")</f>
        <v>Catalog Record</v>
      </c>
      <c r="AT135" s="6" t="str">
        <f>HYPERLINK("http://www.worldcat.org/oclc/51575878","WorldCat Record")</f>
        <v>WorldCat Record</v>
      </c>
      <c r="AU135" s="3" t="s">
        <v>1676</v>
      </c>
      <c r="AV135" s="3" t="s">
        <v>1677</v>
      </c>
      <c r="AW135" s="3" t="s">
        <v>1678</v>
      </c>
      <c r="AX135" s="3" t="s">
        <v>1678</v>
      </c>
      <c r="AY135" s="3" t="s">
        <v>1679</v>
      </c>
      <c r="AZ135" s="3" t="s">
        <v>74</v>
      </c>
      <c r="BB135" s="3" t="s">
        <v>1680</v>
      </c>
      <c r="BC135" s="3" t="s">
        <v>1681</v>
      </c>
      <c r="BD135" s="3" t="s">
        <v>1682</v>
      </c>
    </row>
    <row r="136" spans="1:56" ht="57.75" customHeight="1" x14ac:dyDescent="0.25">
      <c r="A136" s="7" t="s">
        <v>59</v>
      </c>
      <c r="B136" s="2" t="s">
        <v>1683</v>
      </c>
      <c r="C136" s="2" t="s">
        <v>1684</v>
      </c>
      <c r="D136" s="2" t="s">
        <v>1685</v>
      </c>
      <c r="F136" s="3" t="s">
        <v>59</v>
      </c>
      <c r="G136" s="3" t="s">
        <v>60</v>
      </c>
      <c r="H136" s="3" t="s">
        <v>59</v>
      </c>
      <c r="I136" s="3" t="s">
        <v>59</v>
      </c>
      <c r="J136" s="3" t="s">
        <v>61</v>
      </c>
      <c r="L136" s="2" t="s">
        <v>1686</v>
      </c>
      <c r="O136" s="3" t="s">
        <v>64</v>
      </c>
      <c r="P136" s="3" t="s">
        <v>1687</v>
      </c>
      <c r="Q136" s="2" t="s">
        <v>1688</v>
      </c>
      <c r="R136" s="3" t="s">
        <v>67</v>
      </c>
      <c r="S136" s="4">
        <v>3</v>
      </c>
      <c r="T136" s="4">
        <v>3</v>
      </c>
      <c r="U136" s="5" t="s">
        <v>1689</v>
      </c>
      <c r="V136" s="5" t="s">
        <v>1689</v>
      </c>
      <c r="W136" s="5" t="s">
        <v>946</v>
      </c>
      <c r="X136" s="5" t="s">
        <v>946</v>
      </c>
      <c r="Y136" s="4">
        <v>119</v>
      </c>
      <c r="Z136" s="4">
        <v>108</v>
      </c>
      <c r="AA136" s="4">
        <v>139</v>
      </c>
      <c r="AB136" s="4">
        <v>3</v>
      </c>
      <c r="AC136" s="4">
        <v>4</v>
      </c>
      <c r="AD136" s="4">
        <v>3</v>
      </c>
      <c r="AE136" s="4">
        <v>3</v>
      </c>
      <c r="AF136" s="4">
        <v>1</v>
      </c>
      <c r="AG136" s="4">
        <v>1</v>
      </c>
      <c r="AH136" s="4">
        <v>0</v>
      </c>
      <c r="AI136" s="4">
        <v>0</v>
      </c>
      <c r="AJ136" s="4">
        <v>0</v>
      </c>
      <c r="AK136" s="4">
        <v>0</v>
      </c>
      <c r="AL136" s="4">
        <v>2</v>
      </c>
      <c r="AM136" s="4">
        <v>2</v>
      </c>
      <c r="AN136" s="4">
        <v>0</v>
      </c>
      <c r="AO136" s="4">
        <v>0</v>
      </c>
      <c r="AP136" s="3" t="s">
        <v>59</v>
      </c>
      <c r="AQ136" s="3" t="s">
        <v>59</v>
      </c>
      <c r="AS136" s="6" t="str">
        <f>HYPERLINK("https://creighton-primo.hosted.exlibrisgroup.com/primo-explore/search?tab=default_tab&amp;search_scope=EVERYTHING&amp;vid=01CRU&amp;lang=en_US&amp;offset=0&amp;query=any,contains,991004578269702656","Catalog Record")</f>
        <v>Catalog Record</v>
      </c>
      <c r="AT136" s="6" t="str">
        <f>HYPERLINK("http://www.worldcat.org/oclc/4055516","WorldCat Record")</f>
        <v>WorldCat Record</v>
      </c>
      <c r="AU136" s="3" t="s">
        <v>1690</v>
      </c>
      <c r="AV136" s="3" t="s">
        <v>1691</v>
      </c>
      <c r="AW136" s="3" t="s">
        <v>1692</v>
      </c>
      <c r="AX136" s="3" t="s">
        <v>1692</v>
      </c>
      <c r="AY136" s="3" t="s">
        <v>1693</v>
      </c>
      <c r="AZ136" s="3" t="s">
        <v>74</v>
      </c>
      <c r="BC136" s="3" t="s">
        <v>1694</v>
      </c>
      <c r="BD136" s="3" t="s">
        <v>1695</v>
      </c>
    </row>
    <row r="137" spans="1:56" ht="57.75" customHeight="1" x14ac:dyDescent="0.25">
      <c r="A137" s="7" t="s">
        <v>59</v>
      </c>
      <c r="B137" s="2" t="s">
        <v>1696</v>
      </c>
      <c r="C137" s="2" t="s">
        <v>1697</v>
      </c>
      <c r="D137" s="2" t="s">
        <v>1698</v>
      </c>
      <c r="F137" s="3" t="s">
        <v>59</v>
      </c>
      <c r="G137" s="3" t="s">
        <v>60</v>
      </c>
      <c r="H137" s="3" t="s">
        <v>59</v>
      </c>
      <c r="I137" s="3" t="s">
        <v>59</v>
      </c>
      <c r="J137" s="3" t="s">
        <v>61</v>
      </c>
      <c r="K137" s="2" t="s">
        <v>1699</v>
      </c>
      <c r="L137" s="2" t="s">
        <v>1700</v>
      </c>
      <c r="M137" s="3" t="s">
        <v>1701</v>
      </c>
      <c r="O137" s="3" t="s">
        <v>64</v>
      </c>
      <c r="P137" s="3" t="s">
        <v>932</v>
      </c>
      <c r="Q137" s="2" t="s">
        <v>1702</v>
      </c>
      <c r="R137" s="3" t="s">
        <v>67</v>
      </c>
      <c r="S137" s="4">
        <v>17</v>
      </c>
      <c r="T137" s="4">
        <v>17</v>
      </c>
      <c r="U137" s="5" t="s">
        <v>469</v>
      </c>
      <c r="V137" s="5" t="s">
        <v>469</v>
      </c>
      <c r="W137" s="5" t="s">
        <v>1703</v>
      </c>
      <c r="X137" s="5" t="s">
        <v>1703</v>
      </c>
      <c r="Y137" s="4">
        <v>513</v>
      </c>
      <c r="Z137" s="4">
        <v>464</v>
      </c>
      <c r="AA137" s="4">
        <v>469</v>
      </c>
      <c r="AB137" s="4">
        <v>5</v>
      </c>
      <c r="AC137" s="4">
        <v>5</v>
      </c>
      <c r="AD137" s="4">
        <v>2</v>
      </c>
      <c r="AE137" s="4">
        <v>2</v>
      </c>
      <c r="AF137" s="4">
        <v>0</v>
      </c>
      <c r="AG137" s="4">
        <v>0</v>
      </c>
      <c r="AH137" s="4">
        <v>0</v>
      </c>
      <c r="AI137" s="4">
        <v>0</v>
      </c>
      <c r="AJ137" s="4">
        <v>1</v>
      </c>
      <c r="AK137" s="4">
        <v>1</v>
      </c>
      <c r="AL137" s="4">
        <v>1</v>
      </c>
      <c r="AM137" s="4">
        <v>1</v>
      </c>
      <c r="AN137" s="4">
        <v>0</v>
      </c>
      <c r="AO137" s="4">
        <v>0</v>
      </c>
      <c r="AP137" s="3" t="s">
        <v>59</v>
      </c>
      <c r="AQ137" s="3" t="s">
        <v>59</v>
      </c>
      <c r="AS137" s="6" t="str">
        <f>HYPERLINK("https://creighton-primo.hosted.exlibrisgroup.com/primo-explore/search?tab=default_tab&amp;search_scope=EVERYTHING&amp;vid=01CRU&amp;lang=en_US&amp;offset=0&amp;query=any,contains,991004486429702656","Catalog Record")</f>
        <v>Catalog Record</v>
      </c>
      <c r="AT137" s="6" t="str">
        <f>HYPERLINK("http://www.worldcat.org/oclc/3647063","WorldCat Record")</f>
        <v>WorldCat Record</v>
      </c>
      <c r="AU137" s="3" t="s">
        <v>1704</v>
      </c>
      <c r="AV137" s="3" t="s">
        <v>1705</v>
      </c>
      <c r="AW137" s="3" t="s">
        <v>1706</v>
      </c>
      <c r="AX137" s="3" t="s">
        <v>1706</v>
      </c>
      <c r="AY137" s="3" t="s">
        <v>1707</v>
      </c>
      <c r="AZ137" s="3" t="s">
        <v>74</v>
      </c>
      <c r="BB137" s="3" t="s">
        <v>1708</v>
      </c>
      <c r="BC137" s="3" t="s">
        <v>1709</v>
      </c>
      <c r="BD137" s="3" t="s">
        <v>1710</v>
      </c>
    </row>
    <row r="138" spans="1:56" ht="57.75" customHeight="1" x14ac:dyDescent="0.25">
      <c r="A138" s="7" t="s">
        <v>59</v>
      </c>
      <c r="B138" s="2" t="s">
        <v>1711</v>
      </c>
      <c r="C138" s="2" t="s">
        <v>1712</v>
      </c>
      <c r="D138" s="2" t="s">
        <v>1713</v>
      </c>
      <c r="F138" s="3" t="s">
        <v>59</v>
      </c>
      <c r="G138" s="3" t="s">
        <v>60</v>
      </c>
      <c r="H138" s="3" t="s">
        <v>59</v>
      </c>
      <c r="I138" s="3" t="s">
        <v>59</v>
      </c>
      <c r="J138" s="3" t="s">
        <v>61</v>
      </c>
      <c r="K138" s="2" t="s">
        <v>1714</v>
      </c>
      <c r="L138" s="2" t="s">
        <v>1715</v>
      </c>
      <c r="M138" s="3" t="s">
        <v>452</v>
      </c>
      <c r="O138" s="3" t="s">
        <v>64</v>
      </c>
      <c r="P138" s="3" t="s">
        <v>405</v>
      </c>
      <c r="Q138" s="2" t="s">
        <v>1716</v>
      </c>
      <c r="R138" s="3" t="s">
        <v>67</v>
      </c>
      <c r="S138" s="4">
        <v>5</v>
      </c>
      <c r="T138" s="4">
        <v>5</v>
      </c>
      <c r="U138" s="5" t="s">
        <v>1717</v>
      </c>
      <c r="V138" s="5" t="s">
        <v>1717</v>
      </c>
      <c r="W138" s="5" t="s">
        <v>1718</v>
      </c>
      <c r="X138" s="5" t="s">
        <v>1718</v>
      </c>
      <c r="Y138" s="4">
        <v>11</v>
      </c>
      <c r="Z138" s="4">
        <v>11</v>
      </c>
      <c r="AA138" s="4">
        <v>214</v>
      </c>
      <c r="AB138" s="4">
        <v>1</v>
      </c>
      <c r="AC138" s="4">
        <v>2</v>
      </c>
      <c r="AD138" s="4">
        <v>2</v>
      </c>
      <c r="AE138" s="4">
        <v>7</v>
      </c>
      <c r="AF138" s="4">
        <v>1</v>
      </c>
      <c r="AG138" s="4">
        <v>4</v>
      </c>
      <c r="AH138" s="4">
        <v>0</v>
      </c>
      <c r="AI138" s="4">
        <v>2</v>
      </c>
      <c r="AJ138" s="4">
        <v>1</v>
      </c>
      <c r="AK138" s="4">
        <v>1</v>
      </c>
      <c r="AL138" s="4">
        <v>0</v>
      </c>
      <c r="AM138" s="4">
        <v>1</v>
      </c>
      <c r="AN138" s="4">
        <v>0</v>
      </c>
      <c r="AO138" s="4">
        <v>0</v>
      </c>
      <c r="AP138" s="3" t="s">
        <v>59</v>
      </c>
      <c r="AQ138" s="3" t="s">
        <v>59</v>
      </c>
      <c r="AS138" s="6" t="str">
        <f>HYPERLINK("https://creighton-primo.hosted.exlibrisgroup.com/primo-explore/search?tab=default_tab&amp;search_scope=EVERYTHING&amp;vid=01CRU&amp;lang=en_US&amp;offset=0&amp;query=any,contains,991000394939702656","Catalog Record")</f>
        <v>Catalog Record</v>
      </c>
      <c r="AT138" s="6" t="str">
        <f>HYPERLINK("http://www.worldcat.org/oclc/10566222","WorldCat Record")</f>
        <v>WorldCat Record</v>
      </c>
      <c r="AU138" s="3" t="s">
        <v>1719</v>
      </c>
      <c r="AV138" s="3" t="s">
        <v>1720</v>
      </c>
      <c r="AW138" s="3" t="s">
        <v>1721</v>
      </c>
      <c r="AX138" s="3" t="s">
        <v>1721</v>
      </c>
      <c r="AY138" s="3" t="s">
        <v>1722</v>
      </c>
      <c r="AZ138" s="3" t="s">
        <v>74</v>
      </c>
      <c r="BC138" s="3" t="s">
        <v>1723</v>
      </c>
      <c r="BD138" s="3" t="s">
        <v>1724</v>
      </c>
    </row>
    <row r="139" spans="1:56" ht="57.75" customHeight="1" x14ac:dyDescent="0.25">
      <c r="A139" s="7" t="s">
        <v>59</v>
      </c>
      <c r="B139" s="2" t="s">
        <v>1725</v>
      </c>
      <c r="C139" s="2" t="s">
        <v>1726</v>
      </c>
      <c r="D139" s="2" t="s">
        <v>1727</v>
      </c>
      <c r="E139" s="3" t="s">
        <v>923</v>
      </c>
      <c r="F139" s="3" t="s">
        <v>69</v>
      </c>
      <c r="G139" s="3" t="s">
        <v>60</v>
      </c>
      <c r="H139" s="3" t="s">
        <v>59</v>
      </c>
      <c r="I139" s="3" t="s">
        <v>59</v>
      </c>
      <c r="J139" s="3" t="s">
        <v>61</v>
      </c>
      <c r="L139" s="2" t="s">
        <v>1728</v>
      </c>
      <c r="M139" s="3" t="s">
        <v>617</v>
      </c>
      <c r="O139" s="3" t="s">
        <v>64</v>
      </c>
      <c r="P139" s="3" t="s">
        <v>405</v>
      </c>
      <c r="R139" s="3" t="s">
        <v>67</v>
      </c>
      <c r="S139" s="4">
        <v>3</v>
      </c>
      <c r="T139" s="4">
        <v>6</v>
      </c>
      <c r="U139" s="5" t="s">
        <v>822</v>
      </c>
      <c r="V139" s="5" t="s">
        <v>822</v>
      </c>
      <c r="W139" s="5" t="s">
        <v>1199</v>
      </c>
      <c r="X139" s="5" t="s">
        <v>1199</v>
      </c>
      <c r="Y139" s="4">
        <v>410</v>
      </c>
      <c r="Z139" s="4">
        <v>280</v>
      </c>
      <c r="AA139" s="4">
        <v>287</v>
      </c>
      <c r="AB139" s="4">
        <v>3</v>
      </c>
      <c r="AC139" s="4">
        <v>3</v>
      </c>
      <c r="AD139" s="4">
        <v>6</v>
      </c>
      <c r="AE139" s="4">
        <v>6</v>
      </c>
      <c r="AF139" s="4">
        <v>1</v>
      </c>
      <c r="AG139" s="4">
        <v>1</v>
      </c>
      <c r="AH139" s="4">
        <v>1</v>
      </c>
      <c r="AI139" s="4">
        <v>1</v>
      </c>
      <c r="AJ139" s="4">
        <v>3</v>
      </c>
      <c r="AK139" s="4">
        <v>3</v>
      </c>
      <c r="AL139" s="4">
        <v>2</v>
      </c>
      <c r="AM139" s="4">
        <v>2</v>
      </c>
      <c r="AN139" s="4">
        <v>0</v>
      </c>
      <c r="AO139" s="4">
        <v>0</v>
      </c>
      <c r="AP139" s="3" t="s">
        <v>59</v>
      </c>
      <c r="AQ139" s="3" t="s">
        <v>69</v>
      </c>
      <c r="AR139" s="6" t="str">
        <f>HYPERLINK("http://catalog.hathitrust.org/Record/000098329","HathiTrust Record")</f>
        <v>HathiTrust Record</v>
      </c>
      <c r="AS139" s="6" t="str">
        <f>HYPERLINK("https://creighton-primo.hosted.exlibrisgroup.com/primo-explore/search?tab=default_tab&amp;search_scope=EVERYTHING&amp;vid=01CRU&amp;lang=en_US&amp;offset=0&amp;query=any,contains,991004949249702656","Catalog Record")</f>
        <v>Catalog Record</v>
      </c>
      <c r="AT139" s="6" t="str">
        <f>HYPERLINK("http://www.worldcat.org/oclc/6223809","WorldCat Record")</f>
        <v>WorldCat Record</v>
      </c>
      <c r="AU139" s="3" t="s">
        <v>1729</v>
      </c>
      <c r="AV139" s="3" t="s">
        <v>1730</v>
      </c>
      <c r="AW139" s="3" t="s">
        <v>1731</v>
      </c>
      <c r="AX139" s="3" t="s">
        <v>1731</v>
      </c>
      <c r="AY139" s="3" t="s">
        <v>1732</v>
      </c>
      <c r="AZ139" s="3" t="s">
        <v>74</v>
      </c>
      <c r="BB139" s="3" t="s">
        <v>1733</v>
      </c>
      <c r="BC139" s="3" t="s">
        <v>1734</v>
      </c>
      <c r="BD139" s="3" t="s">
        <v>1735</v>
      </c>
    </row>
    <row r="140" spans="1:56" ht="57.75" customHeight="1" x14ac:dyDescent="0.25">
      <c r="A140" s="7" t="s">
        <v>59</v>
      </c>
      <c r="B140" s="2" t="s">
        <v>1725</v>
      </c>
      <c r="C140" s="2" t="s">
        <v>1726</v>
      </c>
      <c r="D140" s="2" t="s">
        <v>1727</v>
      </c>
      <c r="E140" s="3" t="s">
        <v>904</v>
      </c>
      <c r="F140" s="3" t="s">
        <v>69</v>
      </c>
      <c r="G140" s="3" t="s">
        <v>60</v>
      </c>
      <c r="H140" s="3" t="s">
        <v>59</v>
      </c>
      <c r="I140" s="3" t="s">
        <v>59</v>
      </c>
      <c r="J140" s="3" t="s">
        <v>61</v>
      </c>
      <c r="L140" s="2" t="s">
        <v>1728</v>
      </c>
      <c r="M140" s="3" t="s">
        <v>617</v>
      </c>
      <c r="O140" s="3" t="s">
        <v>64</v>
      </c>
      <c r="P140" s="3" t="s">
        <v>405</v>
      </c>
      <c r="R140" s="3" t="s">
        <v>67</v>
      </c>
      <c r="S140" s="4">
        <v>0</v>
      </c>
      <c r="T140" s="4">
        <v>6</v>
      </c>
      <c r="V140" s="5" t="s">
        <v>822</v>
      </c>
      <c r="W140" s="5" t="s">
        <v>1199</v>
      </c>
      <c r="X140" s="5" t="s">
        <v>1199</v>
      </c>
      <c r="Y140" s="4">
        <v>410</v>
      </c>
      <c r="Z140" s="4">
        <v>280</v>
      </c>
      <c r="AA140" s="4">
        <v>287</v>
      </c>
      <c r="AB140" s="4">
        <v>3</v>
      </c>
      <c r="AC140" s="4">
        <v>3</v>
      </c>
      <c r="AD140" s="4">
        <v>6</v>
      </c>
      <c r="AE140" s="4">
        <v>6</v>
      </c>
      <c r="AF140" s="4">
        <v>1</v>
      </c>
      <c r="AG140" s="4">
        <v>1</v>
      </c>
      <c r="AH140" s="4">
        <v>1</v>
      </c>
      <c r="AI140" s="4">
        <v>1</v>
      </c>
      <c r="AJ140" s="4">
        <v>3</v>
      </c>
      <c r="AK140" s="4">
        <v>3</v>
      </c>
      <c r="AL140" s="4">
        <v>2</v>
      </c>
      <c r="AM140" s="4">
        <v>2</v>
      </c>
      <c r="AN140" s="4">
        <v>0</v>
      </c>
      <c r="AO140" s="4">
        <v>0</v>
      </c>
      <c r="AP140" s="3" t="s">
        <v>59</v>
      </c>
      <c r="AQ140" s="3" t="s">
        <v>69</v>
      </c>
      <c r="AR140" s="6" t="str">
        <f>HYPERLINK("http://catalog.hathitrust.org/Record/000098329","HathiTrust Record")</f>
        <v>HathiTrust Record</v>
      </c>
      <c r="AS140" s="6" t="str">
        <f>HYPERLINK("https://creighton-primo.hosted.exlibrisgroup.com/primo-explore/search?tab=default_tab&amp;search_scope=EVERYTHING&amp;vid=01CRU&amp;lang=en_US&amp;offset=0&amp;query=any,contains,991004949249702656","Catalog Record")</f>
        <v>Catalog Record</v>
      </c>
      <c r="AT140" s="6" t="str">
        <f>HYPERLINK("http://www.worldcat.org/oclc/6223809","WorldCat Record")</f>
        <v>WorldCat Record</v>
      </c>
      <c r="AU140" s="3" t="s">
        <v>1729</v>
      </c>
      <c r="AV140" s="3" t="s">
        <v>1730</v>
      </c>
      <c r="AW140" s="3" t="s">
        <v>1731</v>
      </c>
      <c r="AX140" s="3" t="s">
        <v>1731</v>
      </c>
      <c r="AY140" s="3" t="s">
        <v>1732</v>
      </c>
      <c r="AZ140" s="3" t="s">
        <v>74</v>
      </c>
      <c r="BB140" s="3" t="s">
        <v>1733</v>
      </c>
      <c r="BC140" s="3" t="s">
        <v>1736</v>
      </c>
      <c r="BD140" s="3" t="s">
        <v>1737</v>
      </c>
    </row>
    <row r="141" spans="1:56" ht="57.75" customHeight="1" x14ac:dyDescent="0.25">
      <c r="A141" s="7" t="s">
        <v>59</v>
      </c>
      <c r="B141" s="2" t="s">
        <v>1725</v>
      </c>
      <c r="C141" s="2" t="s">
        <v>1726</v>
      </c>
      <c r="D141" s="2" t="s">
        <v>1727</v>
      </c>
      <c r="E141" s="3" t="s">
        <v>917</v>
      </c>
      <c r="F141" s="3" t="s">
        <v>69</v>
      </c>
      <c r="G141" s="3" t="s">
        <v>60</v>
      </c>
      <c r="H141" s="3" t="s">
        <v>59</v>
      </c>
      <c r="I141" s="3" t="s">
        <v>59</v>
      </c>
      <c r="J141" s="3" t="s">
        <v>61</v>
      </c>
      <c r="L141" s="2" t="s">
        <v>1728</v>
      </c>
      <c r="M141" s="3" t="s">
        <v>617</v>
      </c>
      <c r="O141" s="3" t="s">
        <v>64</v>
      </c>
      <c r="P141" s="3" t="s">
        <v>405</v>
      </c>
      <c r="R141" s="3" t="s">
        <v>67</v>
      </c>
      <c r="S141" s="4">
        <v>3</v>
      </c>
      <c r="T141" s="4">
        <v>6</v>
      </c>
      <c r="U141" s="5" t="s">
        <v>822</v>
      </c>
      <c r="V141" s="5" t="s">
        <v>822</v>
      </c>
      <c r="W141" s="5" t="s">
        <v>1199</v>
      </c>
      <c r="X141" s="5" t="s">
        <v>1199</v>
      </c>
      <c r="Y141" s="4">
        <v>410</v>
      </c>
      <c r="Z141" s="4">
        <v>280</v>
      </c>
      <c r="AA141" s="4">
        <v>287</v>
      </c>
      <c r="AB141" s="4">
        <v>3</v>
      </c>
      <c r="AC141" s="4">
        <v>3</v>
      </c>
      <c r="AD141" s="4">
        <v>6</v>
      </c>
      <c r="AE141" s="4">
        <v>6</v>
      </c>
      <c r="AF141" s="4">
        <v>1</v>
      </c>
      <c r="AG141" s="4">
        <v>1</v>
      </c>
      <c r="AH141" s="4">
        <v>1</v>
      </c>
      <c r="AI141" s="4">
        <v>1</v>
      </c>
      <c r="AJ141" s="4">
        <v>3</v>
      </c>
      <c r="AK141" s="4">
        <v>3</v>
      </c>
      <c r="AL141" s="4">
        <v>2</v>
      </c>
      <c r="AM141" s="4">
        <v>2</v>
      </c>
      <c r="AN141" s="4">
        <v>0</v>
      </c>
      <c r="AO141" s="4">
        <v>0</v>
      </c>
      <c r="AP141" s="3" t="s">
        <v>59</v>
      </c>
      <c r="AQ141" s="3" t="s">
        <v>69</v>
      </c>
      <c r="AR141" s="6" t="str">
        <f>HYPERLINK("http://catalog.hathitrust.org/Record/000098329","HathiTrust Record")</f>
        <v>HathiTrust Record</v>
      </c>
      <c r="AS141" s="6" t="str">
        <f>HYPERLINK("https://creighton-primo.hosted.exlibrisgroup.com/primo-explore/search?tab=default_tab&amp;search_scope=EVERYTHING&amp;vid=01CRU&amp;lang=en_US&amp;offset=0&amp;query=any,contains,991004949249702656","Catalog Record")</f>
        <v>Catalog Record</v>
      </c>
      <c r="AT141" s="6" t="str">
        <f>HYPERLINK("http://www.worldcat.org/oclc/6223809","WorldCat Record")</f>
        <v>WorldCat Record</v>
      </c>
      <c r="AU141" s="3" t="s">
        <v>1729</v>
      </c>
      <c r="AV141" s="3" t="s">
        <v>1730</v>
      </c>
      <c r="AW141" s="3" t="s">
        <v>1731</v>
      </c>
      <c r="AX141" s="3" t="s">
        <v>1731</v>
      </c>
      <c r="AY141" s="3" t="s">
        <v>1732</v>
      </c>
      <c r="AZ141" s="3" t="s">
        <v>74</v>
      </c>
      <c r="BB141" s="3" t="s">
        <v>1733</v>
      </c>
      <c r="BC141" s="3" t="s">
        <v>1738</v>
      </c>
      <c r="BD141" s="3" t="s">
        <v>1739</v>
      </c>
    </row>
    <row r="142" spans="1:56" ht="57.75" customHeight="1" x14ac:dyDescent="0.25">
      <c r="A142" s="7" t="s">
        <v>59</v>
      </c>
      <c r="B142" s="2" t="s">
        <v>1740</v>
      </c>
      <c r="C142" s="2" t="s">
        <v>1741</v>
      </c>
      <c r="D142" s="2" t="s">
        <v>1742</v>
      </c>
      <c r="F142" s="3" t="s">
        <v>59</v>
      </c>
      <c r="G142" s="3" t="s">
        <v>60</v>
      </c>
      <c r="H142" s="3" t="s">
        <v>59</v>
      </c>
      <c r="I142" s="3" t="s">
        <v>59</v>
      </c>
      <c r="J142" s="3" t="s">
        <v>61</v>
      </c>
      <c r="K142" s="2" t="s">
        <v>1743</v>
      </c>
      <c r="L142" s="2" t="s">
        <v>1744</v>
      </c>
      <c r="M142" s="3" t="s">
        <v>481</v>
      </c>
      <c r="O142" s="3" t="s">
        <v>64</v>
      </c>
      <c r="P142" s="3" t="s">
        <v>467</v>
      </c>
      <c r="R142" s="3" t="s">
        <v>67</v>
      </c>
      <c r="S142" s="4">
        <v>1</v>
      </c>
      <c r="T142" s="4">
        <v>1</v>
      </c>
      <c r="U142" s="5" t="s">
        <v>1745</v>
      </c>
      <c r="V142" s="5" t="s">
        <v>1745</v>
      </c>
      <c r="W142" s="5" t="s">
        <v>575</v>
      </c>
      <c r="X142" s="5" t="s">
        <v>575</v>
      </c>
      <c r="Y142" s="4">
        <v>872</v>
      </c>
      <c r="Z142" s="4">
        <v>708</v>
      </c>
      <c r="AA142" s="4">
        <v>716</v>
      </c>
      <c r="AB142" s="4">
        <v>4</v>
      </c>
      <c r="AC142" s="4">
        <v>4</v>
      </c>
      <c r="AD142" s="4">
        <v>22</v>
      </c>
      <c r="AE142" s="4">
        <v>22</v>
      </c>
      <c r="AF142" s="4">
        <v>7</v>
      </c>
      <c r="AG142" s="4">
        <v>7</v>
      </c>
      <c r="AH142" s="4">
        <v>4</v>
      </c>
      <c r="AI142" s="4">
        <v>4</v>
      </c>
      <c r="AJ142" s="4">
        <v>13</v>
      </c>
      <c r="AK142" s="4">
        <v>13</v>
      </c>
      <c r="AL142" s="4">
        <v>3</v>
      </c>
      <c r="AM142" s="4">
        <v>3</v>
      </c>
      <c r="AN142" s="4">
        <v>0</v>
      </c>
      <c r="AO142" s="4">
        <v>0</v>
      </c>
      <c r="AP142" s="3" t="s">
        <v>59</v>
      </c>
      <c r="AQ142" s="3" t="s">
        <v>69</v>
      </c>
      <c r="AR142" s="6" t="str">
        <f>HYPERLINK("http://catalog.hathitrust.org/Record/001499212","HathiTrust Record")</f>
        <v>HathiTrust Record</v>
      </c>
      <c r="AS142" s="6" t="str">
        <f>HYPERLINK("https://creighton-primo.hosted.exlibrisgroup.com/primo-explore/search?tab=default_tab&amp;search_scope=EVERYTHING&amp;vid=01CRU&amp;lang=en_US&amp;offset=0&amp;query=any,contains,991002378789702656","Catalog Record")</f>
        <v>Catalog Record</v>
      </c>
      <c r="AT142" s="6" t="str">
        <f>HYPERLINK("http://www.worldcat.org/oclc/327928","WorldCat Record")</f>
        <v>WorldCat Record</v>
      </c>
      <c r="AU142" s="3" t="s">
        <v>1746</v>
      </c>
      <c r="AV142" s="3" t="s">
        <v>1747</v>
      </c>
      <c r="AW142" s="3" t="s">
        <v>1748</v>
      </c>
      <c r="AX142" s="3" t="s">
        <v>1748</v>
      </c>
      <c r="AY142" s="3" t="s">
        <v>1749</v>
      </c>
      <c r="AZ142" s="3" t="s">
        <v>74</v>
      </c>
      <c r="BC142" s="3" t="s">
        <v>1750</v>
      </c>
      <c r="BD142" s="3" t="s">
        <v>1751</v>
      </c>
    </row>
    <row r="143" spans="1:56" ht="57.75" customHeight="1" x14ac:dyDescent="0.25">
      <c r="A143" s="7" t="s">
        <v>59</v>
      </c>
      <c r="B143" s="2" t="s">
        <v>1752</v>
      </c>
      <c r="C143" s="2" t="s">
        <v>1753</v>
      </c>
      <c r="D143" s="2" t="s">
        <v>1754</v>
      </c>
      <c r="F143" s="3" t="s">
        <v>59</v>
      </c>
      <c r="G143" s="3" t="s">
        <v>60</v>
      </c>
      <c r="H143" s="3" t="s">
        <v>59</v>
      </c>
      <c r="I143" s="3" t="s">
        <v>59</v>
      </c>
      <c r="J143" s="3" t="s">
        <v>61</v>
      </c>
      <c r="K143" s="2" t="s">
        <v>1755</v>
      </c>
      <c r="L143" s="2" t="s">
        <v>1756</v>
      </c>
      <c r="M143" s="3" t="s">
        <v>1757</v>
      </c>
      <c r="O143" s="3" t="s">
        <v>64</v>
      </c>
      <c r="P143" s="3" t="s">
        <v>630</v>
      </c>
      <c r="R143" s="3" t="s">
        <v>67</v>
      </c>
      <c r="S143" s="4">
        <v>5</v>
      </c>
      <c r="T143" s="4">
        <v>5</v>
      </c>
      <c r="U143" s="5" t="s">
        <v>1758</v>
      </c>
      <c r="V143" s="5" t="s">
        <v>1758</v>
      </c>
      <c r="W143" s="5" t="s">
        <v>1759</v>
      </c>
      <c r="X143" s="5" t="s">
        <v>1759</v>
      </c>
      <c r="Y143" s="4">
        <v>507</v>
      </c>
      <c r="Z143" s="4">
        <v>409</v>
      </c>
      <c r="AA143" s="4">
        <v>440</v>
      </c>
      <c r="AB143" s="4">
        <v>4</v>
      </c>
      <c r="AC143" s="4">
        <v>4</v>
      </c>
      <c r="AD143" s="4">
        <v>14</v>
      </c>
      <c r="AE143" s="4">
        <v>14</v>
      </c>
      <c r="AF143" s="4">
        <v>4</v>
      </c>
      <c r="AG143" s="4">
        <v>4</v>
      </c>
      <c r="AH143" s="4">
        <v>2</v>
      </c>
      <c r="AI143" s="4">
        <v>2</v>
      </c>
      <c r="AJ143" s="4">
        <v>8</v>
      </c>
      <c r="AK143" s="4">
        <v>8</v>
      </c>
      <c r="AL143" s="4">
        <v>3</v>
      </c>
      <c r="AM143" s="4">
        <v>3</v>
      </c>
      <c r="AN143" s="4">
        <v>0</v>
      </c>
      <c r="AO143" s="4">
        <v>0</v>
      </c>
      <c r="AP143" s="3" t="s">
        <v>59</v>
      </c>
      <c r="AQ143" s="3" t="s">
        <v>59</v>
      </c>
      <c r="AS143" s="6" t="str">
        <f>HYPERLINK("https://creighton-primo.hosted.exlibrisgroup.com/primo-explore/search?tab=default_tab&amp;search_scope=EVERYTHING&amp;vid=01CRU&amp;lang=en_US&amp;offset=0&amp;query=any,contains,991002758929702656","Catalog Record")</f>
        <v>Catalog Record</v>
      </c>
      <c r="AT143" s="6" t="str">
        <f>HYPERLINK("http://www.worldcat.org/oclc/36186375","WorldCat Record")</f>
        <v>WorldCat Record</v>
      </c>
      <c r="AU143" s="3" t="s">
        <v>1760</v>
      </c>
      <c r="AV143" s="3" t="s">
        <v>1761</v>
      </c>
      <c r="AW143" s="3" t="s">
        <v>1762</v>
      </c>
      <c r="AX143" s="3" t="s">
        <v>1762</v>
      </c>
      <c r="AY143" s="3" t="s">
        <v>1763</v>
      </c>
      <c r="AZ143" s="3" t="s">
        <v>74</v>
      </c>
      <c r="BB143" s="3" t="s">
        <v>1764</v>
      </c>
      <c r="BC143" s="3" t="s">
        <v>1765</v>
      </c>
      <c r="BD143" s="3" t="s">
        <v>1766</v>
      </c>
    </row>
    <row r="144" spans="1:56" ht="57.75" customHeight="1" x14ac:dyDescent="0.25">
      <c r="A144" s="7" t="s">
        <v>59</v>
      </c>
      <c r="B144" s="2" t="s">
        <v>1767</v>
      </c>
      <c r="C144" s="2" t="s">
        <v>1768</v>
      </c>
      <c r="D144" s="2" t="s">
        <v>1769</v>
      </c>
      <c r="F144" s="3" t="s">
        <v>59</v>
      </c>
      <c r="G144" s="3" t="s">
        <v>60</v>
      </c>
      <c r="H144" s="3" t="s">
        <v>59</v>
      </c>
      <c r="I144" s="3" t="s">
        <v>59</v>
      </c>
      <c r="J144" s="3" t="s">
        <v>61</v>
      </c>
      <c r="K144" s="2" t="s">
        <v>1770</v>
      </c>
      <c r="L144" s="2" t="s">
        <v>1771</v>
      </c>
      <c r="M144" s="3" t="s">
        <v>864</v>
      </c>
      <c r="O144" s="3" t="s">
        <v>64</v>
      </c>
      <c r="P144" s="3" t="s">
        <v>405</v>
      </c>
      <c r="Q144" s="2" t="s">
        <v>1772</v>
      </c>
      <c r="R144" s="3" t="s">
        <v>67</v>
      </c>
      <c r="S144" s="4">
        <v>3</v>
      </c>
      <c r="T144" s="4">
        <v>3</v>
      </c>
      <c r="U144" s="5" t="s">
        <v>1773</v>
      </c>
      <c r="V144" s="5" t="s">
        <v>1773</v>
      </c>
      <c r="W144" s="5" t="s">
        <v>575</v>
      </c>
      <c r="X144" s="5" t="s">
        <v>575</v>
      </c>
      <c r="Y144" s="4">
        <v>138</v>
      </c>
      <c r="Z144" s="4">
        <v>42</v>
      </c>
      <c r="AA144" s="4">
        <v>44</v>
      </c>
      <c r="AB144" s="4">
        <v>2</v>
      </c>
      <c r="AC144" s="4">
        <v>2</v>
      </c>
      <c r="AD144" s="4">
        <v>2</v>
      </c>
      <c r="AE144" s="4">
        <v>2</v>
      </c>
      <c r="AF144" s="4">
        <v>0</v>
      </c>
      <c r="AG144" s="4">
        <v>0</v>
      </c>
      <c r="AH144" s="4">
        <v>1</v>
      </c>
      <c r="AI144" s="4">
        <v>1</v>
      </c>
      <c r="AJ144" s="4">
        <v>0</v>
      </c>
      <c r="AK144" s="4">
        <v>0</v>
      </c>
      <c r="AL144" s="4">
        <v>1</v>
      </c>
      <c r="AM144" s="4">
        <v>1</v>
      </c>
      <c r="AN144" s="4">
        <v>0</v>
      </c>
      <c r="AO144" s="4">
        <v>0</v>
      </c>
      <c r="AP144" s="3" t="s">
        <v>59</v>
      </c>
      <c r="AQ144" s="3" t="s">
        <v>69</v>
      </c>
      <c r="AR144" s="6" t="str">
        <f>HYPERLINK("http://catalog.hathitrust.org/Record/001499222","HathiTrust Record")</f>
        <v>HathiTrust Record</v>
      </c>
      <c r="AS144" s="6" t="str">
        <f>HYPERLINK("https://creighton-primo.hosted.exlibrisgroup.com/primo-explore/search?tab=default_tab&amp;search_scope=EVERYTHING&amp;vid=01CRU&amp;lang=en_US&amp;offset=0&amp;query=any,contains,991000584709702656","Catalog Record")</f>
        <v>Catalog Record</v>
      </c>
      <c r="AT144" s="6" t="str">
        <f>HYPERLINK("http://www.worldcat.org/oclc/95960","WorldCat Record")</f>
        <v>WorldCat Record</v>
      </c>
      <c r="AU144" s="3" t="s">
        <v>1774</v>
      </c>
      <c r="AV144" s="3" t="s">
        <v>1775</v>
      </c>
      <c r="AW144" s="3" t="s">
        <v>1776</v>
      </c>
      <c r="AX144" s="3" t="s">
        <v>1776</v>
      </c>
      <c r="AY144" s="3" t="s">
        <v>1777</v>
      </c>
      <c r="AZ144" s="3" t="s">
        <v>74</v>
      </c>
      <c r="BB144" s="3" t="s">
        <v>1778</v>
      </c>
      <c r="BC144" s="3" t="s">
        <v>1779</v>
      </c>
      <c r="BD144" s="3" t="s">
        <v>1780</v>
      </c>
    </row>
    <row r="145" spans="1:56" ht="57.75" customHeight="1" x14ac:dyDescent="0.25">
      <c r="A145" s="7" t="s">
        <v>59</v>
      </c>
      <c r="B145" s="2" t="s">
        <v>1781</v>
      </c>
      <c r="C145" s="2" t="s">
        <v>1782</v>
      </c>
      <c r="D145" s="2" t="s">
        <v>1783</v>
      </c>
      <c r="F145" s="3" t="s">
        <v>59</v>
      </c>
      <c r="G145" s="3" t="s">
        <v>60</v>
      </c>
      <c r="H145" s="3" t="s">
        <v>59</v>
      </c>
      <c r="I145" s="3" t="s">
        <v>59</v>
      </c>
      <c r="J145" s="3" t="s">
        <v>61</v>
      </c>
      <c r="K145" s="2" t="s">
        <v>1784</v>
      </c>
      <c r="L145" s="2" t="s">
        <v>1785</v>
      </c>
      <c r="M145" s="3" t="s">
        <v>1786</v>
      </c>
      <c r="O145" s="3" t="s">
        <v>64</v>
      </c>
      <c r="P145" s="3" t="s">
        <v>932</v>
      </c>
      <c r="R145" s="3" t="s">
        <v>67</v>
      </c>
      <c r="S145" s="4">
        <v>2</v>
      </c>
      <c r="T145" s="4">
        <v>2</v>
      </c>
      <c r="U145" s="5" t="s">
        <v>1787</v>
      </c>
      <c r="V145" s="5" t="s">
        <v>1787</v>
      </c>
      <c r="W145" s="5" t="s">
        <v>1788</v>
      </c>
      <c r="X145" s="5" t="s">
        <v>1788</v>
      </c>
      <c r="Y145" s="4">
        <v>11</v>
      </c>
      <c r="Z145" s="4">
        <v>8</v>
      </c>
      <c r="AA145" s="4">
        <v>9</v>
      </c>
      <c r="AB145" s="4">
        <v>1</v>
      </c>
      <c r="AC145" s="4">
        <v>1</v>
      </c>
      <c r="AD145" s="4">
        <v>0</v>
      </c>
      <c r="AE145" s="4">
        <v>0</v>
      </c>
      <c r="AF145" s="4">
        <v>0</v>
      </c>
      <c r="AG145" s="4">
        <v>0</v>
      </c>
      <c r="AH145" s="4">
        <v>0</v>
      </c>
      <c r="AI145" s="4">
        <v>0</v>
      </c>
      <c r="AJ145" s="4">
        <v>0</v>
      </c>
      <c r="AK145" s="4">
        <v>0</v>
      </c>
      <c r="AL145" s="4">
        <v>0</v>
      </c>
      <c r="AM145" s="4">
        <v>0</v>
      </c>
      <c r="AN145" s="4">
        <v>0</v>
      </c>
      <c r="AO145" s="4">
        <v>0</v>
      </c>
      <c r="AP145" s="3" t="s">
        <v>59</v>
      </c>
      <c r="AQ145" s="3" t="s">
        <v>69</v>
      </c>
      <c r="AR145" s="6" t="str">
        <f>HYPERLINK("http://catalog.hathitrust.org/Record/009087696","HathiTrust Record")</f>
        <v>HathiTrust Record</v>
      </c>
      <c r="AS145" s="6" t="str">
        <f>HYPERLINK("https://creighton-primo.hosted.exlibrisgroup.com/primo-explore/search?tab=default_tab&amp;search_scope=EVERYTHING&amp;vid=01CRU&amp;lang=en_US&amp;offset=0&amp;query=any,contains,991004502409702656","Catalog Record")</f>
        <v>Catalog Record</v>
      </c>
      <c r="AT145" s="6" t="str">
        <f>HYPERLINK("http://www.worldcat.org/oclc/3727554","WorldCat Record")</f>
        <v>WorldCat Record</v>
      </c>
      <c r="AU145" s="3" t="s">
        <v>1789</v>
      </c>
      <c r="AV145" s="3" t="s">
        <v>1790</v>
      </c>
      <c r="AW145" s="3" t="s">
        <v>1791</v>
      </c>
      <c r="AX145" s="3" t="s">
        <v>1791</v>
      </c>
      <c r="AY145" s="3" t="s">
        <v>1792</v>
      </c>
      <c r="AZ145" s="3" t="s">
        <v>74</v>
      </c>
      <c r="BC145" s="3" t="s">
        <v>1793</v>
      </c>
      <c r="BD145" s="3" t="s">
        <v>1794</v>
      </c>
    </row>
    <row r="146" spans="1:56" ht="57.75" customHeight="1" x14ac:dyDescent="0.25">
      <c r="A146" s="7" t="s">
        <v>59</v>
      </c>
      <c r="B146" s="2" t="s">
        <v>1795</v>
      </c>
      <c r="C146" s="2" t="s">
        <v>1796</v>
      </c>
      <c r="D146" s="2" t="s">
        <v>1797</v>
      </c>
      <c r="F146" s="3" t="s">
        <v>59</v>
      </c>
      <c r="G146" s="3" t="s">
        <v>60</v>
      </c>
      <c r="H146" s="3" t="s">
        <v>59</v>
      </c>
      <c r="I146" s="3" t="s">
        <v>59</v>
      </c>
      <c r="J146" s="3" t="s">
        <v>61</v>
      </c>
      <c r="K146" s="2" t="s">
        <v>1798</v>
      </c>
      <c r="L146" s="2" t="s">
        <v>1799</v>
      </c>
      <c r="M146" s="3" t="s">
        <v>1800</v>
      </c>
      <c r="O146" s="3" t="s">
        <v>64</v>
      </c>
      <c r="P146" s="3" t="s">
        <v>1078</v>
      </c>
      <c r="R146" s="3" t="s">
        <v>67</v>
      </c>
      <c r="S146" s="4">
        <v>3</v>
      </c>
      <c r="T146" s="4">
        <v>3</v>
      </c>
      <c r="U146" s="5" t="s">
        <v>822</v>
      </c>
      <c r="V146" s="5" t="s">
        <v>822</v>
      </c>
      <c r="W146" s="5" t="s">
        <v>1801</v>
      </c>
      <c r="X146" s="5" t="s">
        <v>1801</v>
      </c>
      <c r="Y146" s="4">
        <v>199</v>
      </c>
      <c r="Z146" s="4">
        <v>178</v>
      </c>
      <c r="AA146" s="4">
        <v>273</v>
      </c>
      <c r="AB146" s="4">
        <v>2</v>
      </c>
      <c r="AC146" s="4">
        <v>2</v>
      </c>
      <c r="AD146" s="4">
        <v>4</v>
      </c>
      <c r="AE146" s="4">
        <v>7</v>
      </c>
      <c r="AF146" s="4">
        <v>0</v>
      </c>
      <c r="AG146" s="4">
        <v>1</v>
      </c>
      <c r="AH146" s="4">
        <v>1</v>
      </c>
      <c r="AI146" s="4">
        <v>1</v>
      </c>
      <c r="AJ146" s="4">
        <v>2</v>
      </c>
      <c r="AK146" s="4">
        <v>5</v>
      </c>
      <c r="AL146" s="4">
        <v>1</v>
      </c>
      <c r="AM146" s="4">
        <v>1</v>
      </c>
      <c r="AN146" s="4">
        <v>0</v>
      </c>
      <c r="AO146" s="4">
        <v>0</v>
      </c>
      <c r="AP146" s="3" t="s">
        <v>59</v>
      </c>
      <c r="AQ146" s="3" t="s">
        <v>69</v>
      </c>
      <c r="AR146" s="6" t="str">
        <f>HYPERLINK("http://catalog.hathitrust.org/Record/001959232","HathiTrust Record")</f>
        <v>HathiTrust Record</v>
      </c>
      <c r="AS146" s="6" t="str">
        <f>HYPERLINK("https://creighton-primo.hosted.exlibrisgroup.com/primo-explore/search?tab=default_tab&amp;search_scope=EVERYTHING&amp;vid=01CRU&amp;lang=en_US&amp;offset=0&amp;query=any,contains,991003287659702656","Catalog Record")</f>
        <v>Catalog Record</v>
      </c>
      <c r="AT146" s="6" t="str">
        <f>HYPERLINK("http://www.worldcat.org/oclc/809965","WorldCat Record")</f>
        <v>WorldCat Record</v>
      </c>
      <c r="AU146" s="3" t="s">
        <v>1802</v>
      </c>
      <c r="AV146" s="3" t="s">
        <v>1803</v>
      </c>
      <c r="AW146" s="3" t="s">
        <v>1804</v>
      </c>
      <c r="AX146" s="3" t="s">
        <v>1804</v>
      </c>
      <c r="AY146" s="3" t="s">
        <v>1805</v>
      </c>
      <c r="AZ146" s="3" t="s">
        <v>74</v>
      </c>
      <c r="BC146" s="3" t="s">
        <v>1806</v>
      </c>
      <c r="BD146" s="3" t="s">
        <v>1807</v>
      </c>
    </row>
    <row r="147" spans="1:56" ht="57.75" customHeight="1" x14ac:dyDescent="0.25">
      <c r="A147" s="7" t="s">
        <v>59</v>
      </c>
      <c r="B147" s="2" t="s">
        <v>1808</v>
      </c>
      <c r="C147" s="2" t="s">
        <v>1809</v>
      </c>
      <c r="D147" s="2" t="s">
        <v>1810</v>
      </c>
      <c r="F147" s="3" t="s">
        <v>59</v>
      </c>
      <c r="G147" s="3" t="s">
        <v>60</v>
      </c>
      <c r="H147" s="3" t="s">
        <v>59</v>
      </c>
      <c r="I147" s="3" t="s">
        <v>59</v>
      </c>
      <c r="J147" s="3" t="s">
        <v>61</v>
      </c>
      <c r="K147" s="2" t="s">
        <v>1811</v>
      </c>
      <c r="L147" s="2" t="s">
        <v>1812</v>
      </c>
      <c r="M147" s="3" t="s">
        <v>452</v>
      </c>
      <c r="O147" s="3" t="s">
        <v>64</v>
      </c>
      <c r="P147" s="3" t="s">
        <v>932</v>
      </c>
      <c r="R147" s="3" t="s">
        <v>67</v>
      </c>
      <c r="S147" s="4">
        <v>3</v>
      </c>
      <c r="T147" s="4">
        <v>3</v>
      </c>
      <c r="U147" s="5" t="s">
        <v>822</v>
      </c>
      <c r="V147" s="5" t="s">
        <v>822</v>
      </c>
      <c r="W147" s="5" t="s">
        <v>575</v>
      </c>
      <c r="X147" s="5" t="s">
        <v>575</v>
      </c>
      <c r="Y147" s="4">
        <v>188</v>
      </c>
      <c r="Z147" s="4">
        <v>169</v>
      </c>
      <c r="AA147" s="4">
        <v>180</v>
      </c>
      <c r="AB147" s="4">
        <v>2</v>
      </c>
      <c r="AC147" s="4">
        <v>2</v>
      </c>
      <c r="AD147" s="4">
        <v>4</v>
      </c>
      <c r="AE147" s="4">
        <v>4</v>
      </c>
      <c r="AF147" s="4">
        <v>0</v>
      </c>
      <c r="AG147" s="4">
        <v>0</v>
      </c>
      <c r="AH147" s="4">
        <v>0</v>
      </c>
      <c r="AI147" s="4">
        <v>0</v>
      </c>
      <c r="AJ147" s="4">
        <v>3</v>
      </c>
      <c r="AK147" s="4">
        <v>3</v>
      </c>
      <c r="AL147" s="4">
        <v>1</v>
      </c>
      <c r="AM147" s="4">
        <v>1</v>
      </c>
      <c r="AN147" s="4">
        <v>0</v>
      </c>
      <c r="AO147" s="4">
        <v>0</v>
      </c>
      <c r="AP147" s="3" t="s">
        <v>59</v>
      </c>
      <c r="AQ147" s="3" t="s">
        <v>69</v>
      </c>
      <c r="AR147" s="6" t="str">
        <f>HYPERLINK("http://catalog.hathitrust.org/Record/002001613","HathiTrust Record")</f>
        <v>HathiTrust Record</v>
      </c>
      <c r="AS147" s="6" t="str">
        <f>HYPERLINK("https://creighton-primo.hosted.exlibrisgroup.com/primo-explore/search?tab=default_tab&amp;search_scope=EVERYTHING&amp;vid=01CRU&amp;lang=en_US&amp;offset=0&amp;query=any,contains,991003259029702656","Catalog Record")</f>
        <v>Catalog Record</v>
      </c>
      <c r="AT147" s="6" t="str">
        <f>HYPERLINK("http://www.worldcat.org/oclc/784637","WorldCat Record")</f>
        <v>WorldCat Record</v>
      </c>
      <c r="AU147" s="3" t="s">
        <v>1813</v>
      </c>
      <c r="AV147" s="3" t="s">
        <v>1814</v>
      </c>
      <c r="AW147" s="3" t="s">
        <v>1815</v>
      </c>
      <c r="AX147" s="3" t="s">
        <v>1815</v>
      </c>
      <c r="AY147" s="3" t="s">
        <v>1816</v>
      </c>
      <c r="AZ147" s="3" t="s">
        <v>74</v>
      </c>
      <c r="BC147" s="3" t="s">
        <v>1817</v>
      </c>
      <c r="BD147" s="3" t="s">
        <v>1818</v>
      </c>
    </row>
    <row r="148" spans="1:56" ht="57.75" customHeight="1" x14ac:dyDescent="0.25">
      <c r="A148" s="7" t="s">
        <v>59</v>
      </c>
      <c r="B148" s="2" t="s">
        <v>1819</v>
      </c>
      <c r="C148" s="2" t="s">
        <v>1820</v>
      </c>
      <c r="D148" s="2" t="s">
        <v>1821</v>
      </c>
      <c r="F148" s="3" t="s">
        <v>59</v>
      </c>
      <c r="G148" s="3" t="s">
        <v>60</v>
      </c>
      <c r="H148" s="3" t="s">
        <v>59</v>
      </c>
      <c r="I148" s="3" t="s">
        <v>59</v>
      </c>
      <c r="J148" s="3" t="s">
        <v>61</v>
      </c>
      <c r="K148" s="2" t="s">
        <v>1822</v>
      </c>
      <c r="L148" s="2" t="s">
        <v>1823</v>
      </c>
      <c r="M148" s="3" t="s">
        <v>835</v>
      </c>
      <c r="O148" s="3" t="s">
        <v>64</v>
      </c>
      <c r="P148" s="3" t="s">
        <v>405</v>
      </c>
      <c r="R148" s="3" t="s">
        <v>67</v>
      </c>
      <c r="S148" s="4">
        <v>17</v>
      </c>
      <c r="T148" s="4">
        <v>17</v>
      </c>
      <c r="U148" s="5" t="s">
        <v>1824</v>
      </c>
      <c r="V148" s="5" t="s">
        <v>1824</v>
      </c>
      <c r="W148" s="5" t="s">
        <v>1199</v>
      </c>
      <c r="X148" s="5" t="s">
        <v>1199</v>
      </c>
      <c r="Y148" s="4">
        <v>693</v>
      </c>
      <c r="Z148" s="4">
        <v>480</v>
      </c>
      <c r="AA148" s="4">
        <v>485</v>
      </c>
      <c r="AB148" s="4">
        <v>6</v>
      </c>
      <c r="AC148" s="4">
        <v>6</v>
      </c>
      <c r="AD148" s="4">
        <v>24</v>
      </c>
      <c r="AE148" s="4">
        <v>24</v>
      </c>
      <c r="AF148" s="4">
        <v>8</v>
      </c>
      <c r="AG148" s="4">
        <v>8</v>
      </c>
      <c r="AH148" s="4">
        <v>5</v>
      </c>
      <c r="AI148" s="4">
        <v>5</v>
      </c>
      <c r="AJ148" s="4">
        <v>12</v>
      </c>
      <c r="AK148" s="4">
        <v>12</v>
      </c>
      <c r="AL148" s="4">
        <v>5</v>
      </c>
      <c r="AM148" s="4">
        <v>5</v>
      </c>
      <c r="AN148" s="4">
        <v>0</v>
      </c>
      <c r="AO148" s="4">
        <v>0</v>
      </c>
      <c r="AP148" s="3" t="s">
        <v>59</v>
      </c>
      <c r="AQ148" s="3" t="s">
        <v>59</v>
      </c>
      <c r="AS148" s="6" t="str">
        <f>HYPERLINK("https://creighton-primo.hosted.exlibrisgroup.com/primo-explore/search?tab=default_tab&amp;search_scope=EVERYTHING&amp;vid=01CRU&amp;lang=en_US&amp;offset=0&amp;query=any,contains,991004530589702656","Catalog Record")</f>
        <v>Catalog Record</v>
      </c>
      <c r="AT148" s="6" t="str">
        <f>HYPERLINK("http://www.worldcat.org/oclc/3845123","WorldCat Record")</f>
        <v>WorldCat Record</v>
      </c>
      <c r="AU148" s="3" t="s">
        <v>1825</v>
      </c>
      <c r="AV148" s="3" t="s">
        <v>1826</v>
      </c>
      <c r="AW148" s="3" t="s">
        <v>1827</v>
      </c>
      <c r="AX148" s="3" t="s">
        <v>1827</v>
      </c>
      <c r="AY148" s="3" t="s">
        <v>1828</v>
      </c>
      <c r="AZ148" s="3" t="s">
        <v>74</v>
      </c>
      <c r="BB148" s="3" t="s">
        <v>1829</v>
      </c>
      <c r="BC148" s="3" t="s">
        <v>1830</v>
      </c>
      <c r="BD148" s="3" t="s">
        <v>1831</v>
      </c>
    </row>
    <row r="149" spans="1:56" ht="57.75" customHeight="1" x14ac:dyDescent="0.25">
      <c r="A149" s="7" t="s">
        <v>59</v>
      </c>
      <c r="B149" s="2" t="s">
        <v>1832</v>
      </c>
      <c r="C149" s="2" t="s">
        <v>1833</v>
      </c>
      <c r="D149" s="2" t="s">
        <v>1834</v>
      </c>
      <c r="F149" s="3" t="s">
        <v>59</v>
      </c>
      <c r="G149" s="3" t="s">
        <v>60</v>
      </c>
      <c r="H149" s="3" t="s">
        <v>59</v>
      </c>
      <c r="I149" s="3" t="s">
        <v>59</v>
      </c>
      <c r="J149" s="3" t="s">
        <v>61</v>
      </c>
      <c r="K149" s="2" t="s">
        <v>1835</v>
      </c>
      <c r="L149" s="2" t="s">
        <v>1836</v>
      </c>
      <c r="M149" s="3" t="s">
        <v>1837</v>
      </c>
      <c r="N149" s="2" t="s">
        <v>877</v>
      </c>
      <c r="O149" s="3" t="s">
        <v>64</v>
      </c>
      <c r="P149" s="3" t="s">
        <v>405</v>
      </c>
      <c r="R149" s="3" t="s">
        <v>67</v>
      </c>
      <c r="S149" s="4">
        <v>18</v>
      </c>
      <c r="T149" s="4">
        <v>18</v>
      </c>
      <c r="U149" s="5" t="s">
        <v>1838</v>
      </c>
      <c r="V149" s="5" t="s">
        <v>1838</v>
      </c>
      <c r="W149" s="5" t="s">
        <v>1839</v>
      </c>
      <c r="X149" s="5" t="s">
        <v>1839</v>
      </c>
      <c r="Y149" s="4">
        <v>425</v>
      </c>
      <c r="Z149" s="4">
        <v>228</v>
      </c>
      <c r="AA149" s="4">
        <v>427</v>
      </c>
      <c r="AB149" s="4">
        <v>2</v>
      </c>
      <c r="AC149" s="4">
        <v>3</v>
      </c>
      <c r="AD149" s="4">
        <v>8</v>
      </c>
      <c r="AE149" s="4">
        <v>18</v>
      </c>
      <c r="AF149" s="4">
        <v>2</v>
      </c>
      <c r="AG149" s="4">
        <v>7</v>
      </c>
      <c r="AH149" s="4">
        <v>1</v>
      </c>
      <c r="AI149" s="4">
        <v>3</v>
      </c>
      <c r="AJ149" s="4">
        <v>5</v>
      </c>
      <c r="AK149" s="4">
        <v>9</v>
      </c>
      <c r="AL149" s="4">
        <v>1</v>
      </c>
      <c r="AM149" s="4">
        <v>2</v>
      </c>
      <c r="AN149" s="4">
        <v>0</v>
      </c>
      <c r="AO149" s="4">
        <v>0</v>
      </c>
      <c r="AP149" s="3" t="s">
        <v>59</v>
      </c>
      <c r="AQ149" s="3" t="s">
        <v>59</v>
      </c>
      <c r="AS149" s="6" t="str">
        <f>HYPERLINK("https://creighton-primo.hosted.exlibrisgroup.com/primo-explore/search?tab=default_tab&amp;search_scope=EVERYTHING&amp;vid=01CRU&amp;lang=en_US&amp;offset=0&amp;query=any,contains,991002074119702656","Catalog Record")</f>
        <v>Catalog Record</v>
      </c>
      <c r="AT149" s="6" t="str">
        <f>HYPERLINK("http://www.worldcat.org/oclc/26586485","WorldCat Record")</f>
        <v>WorldCat Record</v>
      </c>
      <c r="AU149" s="3" t="s">
        <v>1840</v>
      </c>
      <c r="AV149" s="3" t="s">
        <v>1841</v>
      </c>
      <c r="AW149" s="3" t="s">
        <v>1842</v>
      </c>
      <c r="AX149" s="3" t="s">
        <v>1842</v>
      </c>
      <c r="AY149" s="3" t="s">
        <v>1843</v>
      </c>
      <c r="AZ149" s="3" t="s">
        <v>74</v>
      </c>
      <c r="BB149" s="3" t="s">
        <v>1844</v>
      </c>
      <c r="BC149" s="3" t="s">
        <v>1845</v>
      </c>
      <c r="BD149" s="3" t="s">
        <v>1846</v>
      </c>
    </row>
    <row r="150" spans="1:56" ht="57.75" customHeight="1" x14ac:dyDescent="0.25">
      <c r="A150" s="7" t="s">
        <v>59</v>
      </c>
      <c r="B150" s="2" t="s">
        <v>1847</v>
      </c>
      <c r="C150" s="2" t="s">
        <v>1848</v>
      </c>
      <c r="D150" s="2" t="s">
        <v>1849</v>
      </c>
      <c r="F150" s="3" t="s">
        <v>59</v>
      </c>
      <c r="G150" s="3" t="s">
        <v>60</v>
      </c>
      <c r="H150" s="3" t="s">
        <v>59</v>
      </c>
      <c r="I150" s="3" t="s">
        <v>59</v>
      </c>
      <c r="J150" s="3" t="s">
        <v>61</v>
      </c>
      <c r="K150" s="2" t="s">
        <v>1850</v>
      </c>
      <c r="L150" s="2" t="s">
        <v>1851</v>
      </c>
      <c r="M150" s="3" t="s">
        <v>1852</v>
      </c>
      <c r="O150" s="3" t="s">
        <v>64</v>
      </c>
      <c r="P150" s="3" t="s">
        <v>573</v>
      </c>
      <c r="R150" s="3" t="s">
        <v>67</v>
      </c>
      <c r="S150" s="4">
        <v>37</v>
      </c>
      <c r="T150" s="4">
        <v>37</v>
      </c>
      <c r="U150" s="5" t="s">
        <v>1853</v>
      </c>
      <c r="V150" s="5" t="s">
        <v>1853</v>
      </c>
      <c r="W150" s="5" t="s">
        <v>1854</v>
      </c>
      <c r="X150" s="5" t="s">
        <v>1854</v>
      </c>
      <c r="Y150" s="4">
        <v>436</v>
      </c>
      <c r="Z150" s="4">
        <v>334</v>
      </c>
      <c r="AA150" s="4">
        <v>1314</v>
      </c>
      <c r="AB150" s="4">
        <v>3</v>
      </c>
      <c r="AC150" s="4">
        <v>9</v>
      </c>
      <c r="AD150" s="4">
        <v>13</v>
      </c>
      <c r="AE150" s="4">
        <v>42</v>
      </c>
      <c r="AF150" s="4">
        <v>5</v>
      </c>
      <c r="AG150" s="4">
        <v>19</v>
      </c>
      <c r="AH150" s="4">
        <v>3</v>
      </c>
      <c r="AI150" s="4">
        <v>5</v>
      </c>
      <c r="AJ150" s="4">
        <v>6</v>
      </c>
      <c r="AK150" s="4">
        <v>23</v>
      </c>
      <c r="AL150" s="4">
        <v>2</v>
      </c>
      <c r="AM150" s="4">
        <v>7</v>
      </c>
      <c r="AN150" s="4">
        <v>0</v>
      </c>
      <c r="AO150" s="4">
        <v>0</v>
      </c>
      <c r="AP150" s="3" t="s">
        <v>59</v>
      </c>
      <c r="AQ150" s="3" t="s">
        <v>69</v>
      </c>
      <c r="AR150" s="6" t="str">
        <f>HYPERLINK("http://catalog.hathitrust.org/Record/001499241","HathiTrust Record")</f>
        <v>HathiTrust Record</v>
      </c>
      <c r="AS150" s="6" t="str">
        <f>HYPERLINK("https://creighton-primo.hosted.exlibrisgroup.com/primo-explore/search?tab=default_tab&amp;search_scope=EVERYTHING&amp;vid=01CRU&amp;lang=en_US&amp;offset=0&amp;query=any,contains,991002984179702656","Catalog Record")</f>
        <v>Catalog Record</v>
      </c>
      <c r="AT150" s="6" t="str">
        <f>HYPERLINK("http://www.worldcat.org/oclc/556540","WorldCat Record")</f>
        <v>WorldCat Record</v>
      </c>
      <c r="AU150" s="3" t="s">
        <v>1855</v>
      </c>
      <c r="AV150" s="3" t="s">
        <v>1856</v>
      </c>
      <c r="AW150" s="3" t="s">
        <v>1857</v>
      </c>
      <c r="AX150" s="3" t="s">
        <v>1857</v>
      </c>
      <c r="AY150" s="3" t="s">
        <v>1858</v>
      </c>
      <c r="AZ150" s="3" t="s">
        <v>74</v>
      </c>
      <c r="BC150" s="3" t="s">
        <v>1859</v>
      </c>
      <c r="BD150" s="3" t="s">
        <v>1860</v>
      </c>
    </row>
    <row r="151" spans="1:56" ht="57.75" customHeight="1" x14ac:dyDescent="0.25">
      <c r="A151" s="7" t="s">
        <v>59</v>
      </c>
      <c r="B151" s="2" t="s">
        <v>1861</v>
      </c>
      <c r="C151" s="2" t="s">
        <v>1862</v>
      </c>
      <c r="D151" s="2" t="s">
        <v>1863</v>
      </c>
      <c r="F151" s="3" t="s">
        <v>59</v>
      </c>
      <c r="G151" s="3" t="s">
        <v>60</v>
      </c>
      <c r="H151" s="3" t="s">
        <v>59</v>
      </c>
      <c r="I151" s="3" t="s">
        <v>59</v>
      </c>
      <c r="J151" s="3" t="s">
        <v>61</v>
      </c>
      <c r="K151" s="2" t="s">
        <v>1864</v>
      </c>
      <c r="L151" s="2" t="s">
        <v>1865</v>
      </c>
      <c r="M151" s="3" t="s">
        <v>481</v>
      </c>
      <c r="O151" s="3" t="s">
        <v>64</v>
      </c>
      <c r="P151" s="3" t="s">
        <v>467</v>
      </c>
      <c r="R151" s="3" t="s">
        <v>67</v>
      </c>
      <c r="S151" s="4">
        <v>8</v>
      </c>
      <c r="T151" s="4">
        <v>8</v>
      </c>
      <c r="U151" s="5" t="s">
        <v>1866</v>
      </c>
      <c r="V151" s="5" t="s">
        <v>1866</v>
      </c>
      <c r="W151" s="5" t="s">
        <v>1867</v>
      </c>
      <c r="X151" s="5" t="s">
        <v>1867</v>
      </c>
      <c r="Y151" s="4">
        <v>672</v>
      </c>
      <c r="Z151" s="4">
        <v>592</v>
      </c>
      <c r="AA151" s="4">
        <v>603</v>
      </c>
      <c r="AB151" s="4">
        <v>5</v>
      </c>
      <c r="AC151" s="4">
        <v>5</v>
      </c>
      <c r="AD151" s="4">
        <v>18</v>
      </c>
      <c r="AE151" s="4">
        <v>18</v>
      </c>
      <c r="AF151" s="4">
        <v>6</v>
      </c>
      <c r="AG151" s="4">
        <v>6</v>
      </c>
      <c r="AH151" s="4">
        <v>4</v>
      </c>
      <c r="AI151" s="4">
        <v>4</v>
      </c>
      <c r="AJ151" s="4">
        <v>9</v>
      </c>
      <c r="AK151" s="4">
        <v>9</v>
      </c>
      <c r="AL151" s="4">
        <v>4</v>
      </c>
      <c r="AM151" s="4">
        <v>4</v>
      </c>
      <c r="AN151" s="4">
        <v>0</v>
      </c>
      <c r="AO151" s="4">
        <v>0</v>
      </c>
      <c r="AP151" s="3" t="s">
        <v>59</v>
      </c>
      <c r="AQ151" s="3" t="s">
        <v>59</v>
      </c>
      <c r="AS151" s="6" t="str">
        <f>HYPERLINK("https://creighton-primo.hosted.exlibrisgroup.com/primo-explore/search?tab=default_tab&amp;search_scope=EVERYTHING&amp;vid=01CRU&amp;lang=en_US&amp;offset=0&amp;query=any,contains,991001963919702656","Catalog Record")</f>
        <v>Catalog Record</v>
      </c>
      <c r="AT151" s="6" t="str">
        <f>HYPERLINK("http://www.worldcat.org/oclc/253740","WorldCat Record")</f>
        <v>WorldCat Record</v>
      </c>
      <c r="AU151" s="3" t="s">
        <v>1868</v>
      </c>
      <c r="AV151" s="3" t="s">
        <v>1869</v>
      </c>
      <c r="AW151" s="3" t="s">
        <v>1870</v>
      </c>
      <c r="AX151" s="3" t="s">
        <v>1870</v>
      </c>
      <c r="AY151" s="3" t="s">
        <v>1871</v>
      </c>
      <c r="AZ151" s="3" t="s">
        <v>74</v>
      </c>
      <c r="BC151" s="3" t="s">
        <v>1872</v>
      </c>
      <c r="BD151" s="3" t="s">
        <v>1873</v>
      </c>
    </row>
    <row r="152" spans="1:56" ht="57.75" customHeight="1" x14ac:dyDescent="0.25">
      <c r="A152" s="7" t="s">
        <v>59</v>
      </c>
      <c r="B152" s="2" t="s">
        <v>1874</v>
      </c>
      <c r="C152" s="2" t="s">
        <v>1875</v>
      </c>
      <c r="D152" s="2" t="s">
        <v>1876</v>
      </c>
      <c r="F152" s="3" t="s">
        <v>59</v>
      </c>
      <c r="G152" s="3" t="s">
        <v>60</v>
      </c>
      <c r="H152" s="3" t="s">
        <v>59</v>
      </c>
      <c r="I152" s="3" t="s">
        <v>59</v>
      </c>
      <c r="J152" s="3" t="s">
        <v>61</v>
      </c>
      <c r="K152" s="2" t="s">
        <v>1877</v>
      </c>
      <c r="L152" s="2" t="s">
        <v>1878</v>
      </c>
      <c r="M152" s="3" t="s">
        <v>1595</v>
      </c>
      <c r="N152" s="2" t="s">
        <v>1879</v>
      </c>
      <c r="O152" s="3" t="s">
        <v>64</v>
      </c>
      <c r="P152" s="3" t="s">
        <v>405</v>
      </c>
      <c r="R152" s="3" t="s">
        <v>67</v>
      </c>
      <c r="S152" s="4">
        <v>6</v>
      </c>
      <c r="T152" s="4">
        <v>6</v>
      </c>
      <c r="U152" s="5" t="s">
        <v>1880</v>
      </c>
      <c r="V152" s="5" t="s">
        <v>1880</v>
      </c>
      <c r="W152" s="5" t="s">
        <v>1881</v>
      </c>
      <c r="X152" s="5" t="s">
        <v>1881</v>
      </c>
      <c r="Y152" s="4">
        <v>407</v>
      </c>
      <c r="Z152" s="4">
        <v>302</v>
      </c>
      <c r="AA152" s="4">
        <v>882</v>
      </c>
      <c r="AB152" s="4">
        <v>5</v>
      </c>
      <c r="AC152" s="4">
        <v>8</v>
      </c>
      <c r="AD152" s="4">
        <v>12</v>
      </c>
      <c r="AE152" s="4">
        <v>37</v>
      </c>
      <c r="AF152" s="4">
        <v>2</v>
      </c>
      <c r="AG152" s="4">
        <v>13</v>
      </c>
      <c r="AH152" s="4">
        <v>4</v>
      </c>
      <c r="AI152" s="4">
        <v>6</v>
      </c>
      <c r="AJ152" s="4">
        <v>4</v>
      </c>
      <c r="AK152" s="4">
        <v>19</v>
      </c>
      <c r="AL152" s="4">
        <v>4</v>
      </c>
      <c r="AM152" s="4">
        <v>7</v>
      </c>
      <c r="AN152" s="4">
        <v>0</v>
      </c>
      <c r="AO152" s="4">
        <v>0</v>
      </c>
      <c r="AP152" s="3" t="s">
        <v>59</v>
      </c>
      <c r="AQ152" s="3" t="s">
        <v>69</v>
      </c>
      <c r="AR152" s="6" t="str">
        <f>HYPERLINK("http://catalog.hathitrust.org/Record/002001533","HathiTrust Record")</f>
        <v>HathiTrust Record</v>
      </c>
      <c r="AS152" s="6" t="str">
        <f>HYPERLINK("https://creighton-primo.hosted.exlibrisgroup.com/primo-explore/search?tab=default_tab&amp;search_scope=EVERYTHING&amp;vid=01CRU&amp;lang=en_US&amp;offset=0&amp;query=any,contains,991004879209702656","Catalog Record")</f>
        <v>Catalog Record</v>
      </c>
      <c r="AT152" s="6" t="str">
        <f>HYPERLINK("http://www.worldcat.org/oclc/5806181","WorldCat Record")</f>
        <v>WorldCat Record</v>
      </c>
      <c r="AU152" s="3" t="s">
        <v>1882</v>
      </c>
      <c r="AV152" s="3" t="s">
        <v>1883</v>
      </c>
      <c r="AW152" s="3" t="s">
        <v>1884</v>
      </c>
      <c r="AX152" s="3" t="s">
        <v>1884</v>
      </c>
      <c r="AY152" s="3" t="s">
        <v>1885</v>
      </c>
      <c r="AZ152" s="3" t="s">
        <v>74</v>
      </c>
      <c r="BC152" s="3" t="s">
        <v>1886</v>
      </c>
      <c r="BD152" s="3" t="s">
        <v>1887</v>
      </c>
    </row>
    <row r="153" spans="1:56" ht="57.75" customHeight="1" x14ac:dyDescent="0.25">
      <c r="A153" s="7" t="s">
        <v>59</v>
      </c>
      <c r="B153" s="2" t="s">
        <v>1888</v>
      </c>
      <c r="C153" s="2" t="s">
        <v>1889</v>
      </c>
      <c r="D153" s="2" t="s">
        <v>1890</v>
      </c>
      <c r="F153" s="3" t="s">
        <v>59</v>
      </c>
      <c r="G153" s="3" t="s">
        <v>60</v>
      </c>
      <c r="H153" s="3" t="s">
        <v>59</v>
      </c>
      <c r="I153" s="3" t="s">
        <v>59</v>
      </c>
      <c r="J153" s="3" t="s">
        <v>61</v>
      </c>
      <c r="K153" s="2" t="s">
        <v>1891</v>
      </c>
      <c r="L153" s="2" t="s">
        <v>1892</v>
      </c>
      <c r="M153" s="3" t="s">
        <v>1893</v>
      </c>
      <c r="O153" s="3" t="s">
        <v>64</v>
      </c>
      <c r="P153" s="3" t="s">
        <v>467</v>
      </c>
      <c r="R153" s="3" t="s">
        <v>67</v>
      </c>
      <c r="S153" s="4">
        <v>5</v>
      </c>
      <c r="T153" s="4">
        <v>5</v>
      </c>
      <c r="U153" s="5" t="s">
        <v>1894</v>
      </c>
      <c r="V153" s="5" t="s">
        <v>1894</v>
      </c>
      <c r="W153" s="5" t="s">
        <v>1895</v>
      </c>
      <c r="X153" s="5" t="s">
        <v>1895</v>
      </c>
      <c r="Y153" s="4">
        <v>697</v>
      </c>
      <c r="Z153" s="4">
        <v>608</v>
      </c>
      <c r="AA153" s="4">
        <v>611</v>
      </c>
      <c r="AB153" s="4">
        <v>4</v>
      </c>
      <c r="AC153" s="4">
        <v>4</v>
      </c>
      <c r="AD153" s="4">
        <v>26</v>
      </c>
      <c r="AE153" s="4">
        <v>26</v>
      </c>
      <c r="AF153" s="4">
        <v>11</v>
      </c>
      <c r="AG153" s="4">
        <v>11</v>
      </c>
      <c r="AH153" s="4">
        <v>4</v>
      </c>
      <c r="AI153" s="4">
        <v>4</v>
      </c>
      <c r="AJ153" s="4">
        <v>13</v>
      </c>
      <c r="AK153" s="4">
        <v>13</v>
      </c>
      <c r="AL153" s="4">
        <v>3</v>
      </c>
      <c r="AM153" s="4">
        <v>3</v>
      </c>
      <c r="AN153" s="4">
        <v>0</v>
      </c>
      <c r="AO153" s="4">
        <v>0</v>
      </c>
      <c r="AP153" s="3" t="s">
        <v>59</v>
      </c>
      <c r="AQ153" s="3" t="s">
        <v>59</v>
      </c>
      <c r="AR153" s="6" t="str">
        <f>HYPERLINK("http://catalog.hathitrust.org/Record/001499246","HathiTrust Record")</f>
        <v>HathiTrust Record</v>
      </c>
      <c r="AS153" s="6" t="str">
        <f>HYPERLINK("https://creighton-primo.hosted.exlibrisgroup.com/primo-explore/search?tab=default_tab&amp;search_scope=EVERYTHING&amp;vid=01CRU&amp;lang=en_US&amp;offset=0&amp;query=any,contains,991001962589702656","Catalog Record")</f>
        <v>Catalog Record</v>
      </c>
      <c r="AT153" s="6" t="str">
        <f>HYPERLINK("http://www.worldcat.org/oclc/253557","WorldCat Record")</f>
        <v>WorldCat Record</v>
      </c>
      <c r="AU153" s="3" t="s">
        <v>1896</v>
      </c>
      <c r="AV153" s="3" t="s">
        <v>1897</v>
      </c>
      <c r="AW153" s="3" t="s">
        <v>1898</v>
      </c>
      <c r="AX153" s="3" t="s">
        <v>1898</v>
      </c>
      <c r="AY153" s="3" t="s">
        <v>1899</v>
      </c>
      <c r="AZ153" s="3" t="s">
        <v>74</v>
      </c>
      <c r="BC153" s="3" t="s">
        <v>1900</v>
      </c>
      <c r="BD153" s="3" t="s">
        <v>1901</v>
      </c>
    </row>
    <row r="154" spans="1:56" ht="57.75" customHeight="1" x14ac:dyDescent="0.25">
      <c r="A154" s="7" t="s">
        <v>59</v>
      </c>
      <c r="B154" s="2" t="s">
        <v>1902</v>
      </c>
      <c r="C154" s="2" t="s">
        <v>1903</v>
      </c>
      <c r="D154" s="2" t="s">
        <v>1904</v>
      </c>
      <c r="F154" s="3" t="s">
        <v>59</v>
      </c>
      <c r="G154" s="3" t="s">
        <v>60</v>
      </c>
      <c r="H154" s="3" t="s">
        <v>59</v>
      </c>
      <c r="I154" s="3" t="s">
        <v>59</v>
      </c>
      <c r="J154" s="3" t="s">
        <v>61</v>
      </c>
      <c r="K154" s="2" t="s">
        <v>1905</v>
      </c>
      <c r="L154" s="2" t="s">
        <v>1906</v>
      </c>
      <c r="M154" s="3" t="s">
        <v>93</v>
      </c>
      <c r="N154" s="2" t="s">
        <v>877</v>
      </c>
      <c r="O154" s="3" t="s">
        <v>64</v>
      </c>
      <c r="P154" s="3" t="s">
        <v>630</v>
      </c>
      <c r="R154" s="3" t="s">
        <v>67</v>
      </c>
      <c r="S154" s="4">
        <v>7</v>
      </c>
      <c r="T154" s="4">
        <v>7</v>
      </c>
      <c r="U154" s="5" t="s">
        <v>1907</v>
      </c>
      <c r="V154" s="5" t="s">
        <v>1907</v>
      </c>
      <c r="W154" s="5" t="s">
        <v>1908</v>
      </c>
      <c r="X154" s="5" t="s">
        <v>1908</v>
      </c>
      <c r="Y154" s="4">
        <v>477</v>
      </c>
      <c r="Z154" s="4">
        <v>308</v>
      </c>
      <c r="AA154" s="4">
        <v>888</v>
      </c>
      <c r="AB154" s="4">
        <v>3</v>
      </c>
      <c r="AC154" s="4">
        <v>8</v>
      </c>
      <c r="AD154" s="4">
        <v>13</v>
      </c>
      <c r="AE154" s="4">
        <v>39</v>
      </c>
      <c r="AF154" s="4">
        <v>8</v>
      </c>
      <c r="AG154" s="4">
        <v>19</v>
      </c>
      <c r="AH154" s="4">
        <v>3</v>
      </c>
      <c r="AI154" s="4">
        <v>8</v>
      </c>
      <c r="AJ154" s="4">
        <v>6</v>
      </c>
      <c r="AK154" s="4">
        <v>15</v>
      </c>
      <c r="AL154" s="4">
        <v>1</v>
      </c>
      <c r="AM154" s="4">
        <v>6</v>
      </c>
      <c r="AN154" s="4">
        <v>0</v>
      </c>
      <c r="AO154" s="4">
        <v>0</v>
      </c>
      <c r="AP154" s="3" t="s">
        <v>59</v>
      </c>
      <c r="AQ154" s="3" t="s">
        <v>59</v>
      </c>
      <c r="AS154" s="6" t="str">
        <f>HYPERLINK("https://creighton-primo.hosted.exlibrisgroup.com/primo-explore/search?tab=default_tab&amp;search_scope=EVERYTHING&amp;vid=01CRU&amp;lang=en_US&amp;offset=0&amp;query=any,contains,991004628969702656","Catalog Record")</f>
        <v>Catalog Record</v>
      </c>
      <c r="AT154" s="6" t="str">
        <f>HYPERLINK("http://www.worldcat.org/oclc/51053596","WorldCat Record")</f>
        <v>WorldCat Record</v>
      </c>
      <c r="AU154" s="3" t="s">
        <v>1909</v>
      </c>
      <c r="AV154" s="3" t="s">
        <v>1910</v>
      </c>
      <c r="AW154" s="3" t="s">
        <v>1911</v>
      </c>
      <c r="AX154" s="3" t="s">
        <v>1911</v>
      </c>
      <c r="AY154" s="3" t="s">
        <v>1912</v>
      </c>
      <c r="AZ154" s="3" t="s">
        <v>74</v>
      </c>
      <c r="BB154" s="3" t="s">
        <v>1913</v>
      </c>
      <c r="BC154" s="3" t="s">
        <v>1914</v>
      </c>
      <c r="BD154" s="3" t="s">
        <v>1915</v>
      </c>
    </row>
    <row r="155" spans="1:56" ht="57.75" customHeight="1" x14ac:dyDescent="0.25">
      <c r="A155" s="7" t="s">
        <v>59</v>
      </c>
      <c r="B155" s="2" t="s">
        <v>1916</v>
      </c>
      <c r="C155" s="2" t="s">
        <v>1917</v>
      </c>
      <c r="D155" s="2" t="s">
        <v>1918</v>
      </c>
      <c r="F155" s="3" t="s">
        <v>59</v>
      </c>
      <c r="G155" s="3" t="s">
        <v>60</v>
      </c>
      <c r="H155" s="3" t="s">
        <v>59</v>
      </c>
      <c r="I155" s="3" t="s">
        <v>59</v>
      </c>
      <c r="J155" s="3" t="s">
        <v>61</v>
      </c>
      <c r="K155" s="2" t="s">
        <v>1919</v>
      </c>
      <c r="L155" s="2" t="s">
        <v>1920</v>
      </c>
      <c r="M155" s="3" t="s">
        <v>763</v>
      </c>
      <c r="N155" s="2" t="s">
        <v>1921</v>
      </c>
      <c r="O155" s="3" t="s">
        <v>64</v>
      </c>
      <c r="P155" s="3" t="s">
        <v>821</v>
      </c>
      <c r="R155" s="3" t="s">
        <v>67</v>
      </c>
      <c r="S155" s="4">
        <v>40</v>
      </c>
      <c r="T155" s="4">
        <v>40</v>
      </c>
      <c r="U155" s="5" t="s">
        <v>1922</v>
      </c>
      <c r="V155" s="5" t="s">
        <v>1922</v>
      </c>
      <c r="W155" s="5" t="s">
        <v>1923</v>
      </c>
      <c r="X155" s="5" t="s">
        <v>1923</v>
      </c>
      <c r="Y155" s="4">
        <v>1059</v>
      </c>
      <c r="Z155" s="4">
        <v>878</v>
      </c>
      <c r="AA155" s="4">
        <v>889</v>
      </c>
      <c r="AB155" s="4">
        <v>4</v>
      </c>
      <c r="AC155" s="4">
        <v>4</v>
      </c>
      <c r="AD155" s="4">
        <v>22</v>
      </c>
      <c r="AE155" s="4">
        <v>22</v>
      </c>
      <c r="AF155" s="4">
        <v>9</v>
      </c>
      <c r="AG155" s="4">
        <v>9</v>
      </c>
      <c r="AH155" s="4">
        <v>5</v>
      </c>
      <c r="AI155" s="4">
        <v>5</v>
      </c>
      <c r="AJ155" s="4">
        <v>14</v>
      </c>
      <c r="AK155" s="4">
        <v>14</v>
      </c>
      <c r="AL155" s="4">
        <v>1</v>
      </c>
      <c r="AM155" s="4">
        <v>1</v>
      </c>
      <c r="AN155" s="4">
        <v>0</v>
      </c>
      <c r="AO155" s="4">
        <v>0</v>
      </c>
      <c r="AP155" s="3" t="s">
        <v>59</v>
      </c>
      <c r="AQ155" s="3" t="s">
        <v>59</v>
      </c>
      <c r="AS155" s="6" t="str">
        <f>HYPERLINK("https://creighton-primo.hosted.exlibrisgroup.com/primo-explore/search?tab=default_tab&amp;search_scope=EVERYTHING&amp;vid=01CRU&amp;lang=en_US&amp;offset=0&amp;query=any,contains,991000833169702656","Catalog Record")</f>
        <v>Catalog Record</v>
      </c>
      <c r="AT155" s="6" t="str">
        <f>HYPERLINK("http://www.worldcat.org/oclc/13456472","WorldCat Record")</f>
        <v>WorldCat Record</v>
      </c>
      <c r="AU155" s="3" t="s">
        <v>1924</v>
      </c>
      <c r="AV155" s="3" t="s">
        <v>1925</v>
      </c>
      <c r="AW155" s="3" t="s">
        <v>1926</v>
      </c>
      <c r="AX155" s="3" t="s">
        <v>1926</v>
      </c>
      <c r="AY155" s="3" t="s">
        <v>1927</v>
      </c>
      <c r="AZ155" s="3" t="s">
        <v>74</v>
      </c>
      <c r="BB155" s="3" t="s">
        <v>1928</v>
      </c>
      <c r="BC155" s="3" t="s">
        <v>1929</v>
      </c>
      <c r="BD155" s="3" t="s">
        <v>1930</v>
      </c>
    </row>
    <row r="156" spans="1:56" ht="57.75" customHeight="1" x14ac:dyDescent="0.25">
      <c r="A156" s="7" t="s">
        <v>59</v>
      </c>
      <c r="B156" s="2" t="s">
        <v>1931</v>
      </c>
      <c r="C156" s="2" t="s">
        <v>1932</v>
      </c>
      <c r="D156" s="2" t="s">
        <v>1933</v>
      </c>
      <c r="F156" s="3" t="s">
        <v>59</v>
      </c>
      <c r="G156" s="3" t="s">
        <v>60</v>
      </c>
      <c r="H156" s="3" t="s">
        <v>59</v>
      </c>
      <c r="I156" s="3" t="s">
        <v>59</v>
      </c>
      <c r="J156" s="3" t="s">
        <v>61</v>
      </c>
      <c r="K156" s="2" t="s">
        <v>1919</v>
      </c>
      <c r="L156" s="2" t="s">
        <v>1934</v>
      </c>
      <c r="M156" s="3" t="s">
        <v>1935</v>
      </c>
      <c r="N156" s="2" t="s">
        <v>1936</v>
      </c>
      <c r="O156" s="3" t="s">
        <v>64</v>
      </c>
      <c r="P156" s="3" t="s">
        <v>467</v>
      </c>
      <c r="Q156" s="2" t="s">
        <v>1937</v>
      </c>
      <c r="R156" s="3" t="s">
        <v>67</v>
      </c>
      <c r="S156" s="4">
        <v>2</v>
      </c>
      <c r="T156" s="4">
        <v>2</v>
      </c>
      <c r="U156" s="5" t="s">
        <v>909</v>
      </c>
      <c r="V156" s="5" t="s">
        <v>909</v>
      </c>
      <c r="W156" s="5" t="s">
        <v>1938</v>
      </c>
      <c r="X156" s="5" t="s">
        <v>1938</v>
      </c>
      <c r="Y156" s="4">
        <v>1002</v>
      </c>
      <c r="Z156" s="4">
        <v>962</v>
      </c>
      <c r="AA156" s="4">
        <v>1078</v>
      </c>
      <c r="AB156" s="4">
        <v>4</v>
      </c>
      <c r="AC156" s="4">
        <v>4</v>
      </c>
      <c r="AD156" s="4">
        <v>17</v>
      </c>
      <c r="AE156" s="4">
        <v>21</v>
      </c>
      <c r="AF156" s="4">
        <v>5</v>
      </c>
      <c r="AG156" s="4">
        <v>6</v>
      </c>
      <c r="AH156" s="4">
        <v>2</v>
      </c>
      <c r="AI156" s="4">
        <v>4</v>
      </c>
      <c r="AJ156" s="4">
        <v>10</v>
      </c>
      <c r="AK156" s="4">
        <v>11</v>
      </c>
      <c r="AL156" s="4">
        <v>2</v>
      </c>
      <c r="AM156" s="4">
        <v>2</v>
      </c>
      <c r="AN156" s="4">
        <v>0</v>
      </c>
      <c r="AO156" s="4">
        <v>2</v>
      </c>
      <c r="AP156" s="3" t="s">
        <v>69</v>
      </c>
      <c r="AQ156" s="3" t="s">
        <v>59</v>
      </c>
      <c r="AR156" s="6" t="str">
        <f>HYPERLINK("http://catalog.hathitrust.org/Record/001496630","HathiTrust Record")</f>
        <v>HathiTrust Record</v>
      </c>
      <c r="AS156" s="6" t="str">
        <f>HYPERLINK("https://creighton-primo.hosted.exlibrisgroup.com/primo-explore/search?tab=default_tab&amp;search_scope=EVERYTHING&amp;vid=01CRU&amp;lang=en_US&amp;offset=0&amp;query=any,contains,991002990859702656","Catalog Record")</f>
        <v>Catalog Record</v>
      </c>
      <c r="AT156" s="6" t="str">
        <f>HYPERLINK("http://www.worldcat.org/oclc/560458","WorldCat Record")</f>
        <v>WorldCat Record</v>
      </c>
      <c r="AU156" s="3" t="s">
        <v>1939</v>
      </c>
      <c r="AV156" s="3" t="s">
        <v>1940</v>
      </c>
      <c r="AW156" s="3" t="s">
        <v>1941</v>
      </c>
      <c r="AX156" s="3" t="s">
        <v>1941</v>
      </c>
      <c r="AY156" s="3" t="s">
        <v>1942</v>
      </c>
      <c r="AZ156" s="3" t="s">
        <v>74</v>
      </c>
      <c r="BC156" s="3" t="s">
        <v>1943</v>
      </c>
      <c r="BD156" s="3" t="s">
        <v>1944</v>
      </c>
    </row>
    <row r="157" spans="1:56" ht="57.75" customHeight="1" x14ac:dyDescent="0.25">
      <c r="A157" s="7" t="s">
        <v>59</v>
      </c>
      <c r="B157" s="2" t="s">
        <v>1945</v>
      </c>
      <c r="C157" s="2" t="s">
        <v>1946</v>
      </c>
      <c r="D157" s="2" t="s">
        <v>1947</v>
      </c>
      <c r="F157" s="3" t="s">
        <v>59</v>
      </c>
      <c r="G157" s="3" t="s">
        <v>60</v>
      </c>
      <c r="H157" s="3" t="s">
        <v>59</v>
      </c>
      <c r="I157" s="3" t="s">
        <v>59</v>
      </c>
      <c r="J157" s="3" t="s">
        <v>61</v>
      </c>
      <c r="K157" s="2" t="s">
        <v>1948</v>
      </c>
      <c r="L157" s="2" t="s">
        <v>1949</v>
      </c>
      <c r="M157" s="3" t="s">
        <v>540</v>
      </c>
      <c r="O157" s="3" t="s">
        <v>64</v>
      </c>
      <c r="P157" s="3" t="s">
        <v>405</v>
      </c>
      <c r="R157" s="3" t="s">
        <v>67</v>
      </c>
      <c r="S157" s="4">
        <v>6</v>
      </c>
      <c r="T157" s="4">
        <v>6</v>
      </c>
      <c r="U157" s="5" t="s">
        <v>1950</v>
      </c>
      <c r="V157" s="5" t="s">
        <v>1950</v>
      </c>
      <c r="W157" s="5" t="s">
        <v>1199</v>
      </c>
      <c r="X157" s="5" t="s">
        <v>1199</v>
      </c>
      <c r="Y157" s="4">
        <v>406</v>
      </c>
      <c r="Z157" s="4">
        <v>284</v>
      </c>
      <c r="AA157" s="4">
        <v>303</v>
      </c>
      <c r="AB157" s="4">
        <v>4</v>
      </c>
      <c r="AC157" s="4">
        <v>4</v>
      </c>
      <c r="AD157" s="4">
        <v>9</v>
      </c>
      <c r="AE157" s="4">
        <v>10</v>
      </c>
      <c r="AF157" s="4">
        <v>3</v>
      </c>
      <c r="AG157" s="4">
        <v>4</v>
      </c>
      <c r="AH157" s="4">
        <v>0</v>
      </c>
      <c r="AI157" s="4">
        <v>1</v>
      </c>
      <c r="AJ157" s="4">
        <v>4</v>
      </c>
      <c r="AK157" s="4">
        <v>4</v>
      </c>
      <c r="AL157" s="4">
        <v>3</v>
      </c>
      <c r="AM157" s="4">
        <v>3</v>
      </c>
      <c r="AN157" s="4">
        <v>0</v>
      </c>
      <c r="AO157" s="4">
        <v>0</v>
      </c>
      <c r="AP157" s="3" t="s">
        <v>59</v>
      </c>
      <c r="AQ157" s="3" t="s">
        <v>69</v>
      </c>
      <c r="AR157" s="6" t="str">
        <f>HYPERLINK("http://catalog.hathitrust.org/Record/000431866","HathiTrust Record")</f>
        <v>HathiTrust Record</v>
      </c>
      <c r="AS157" s="6" t="str">
        <f>HYPERLINK("https://creighton-primo.hosted.exlibrisgroup.com/primo-explore/search?tab=default_tab&amp;search_scope=EVERYTHING&amp;vid=01CRU&amp;lang=en_US&amp;offset=0&amp;query=any,contains,991005134059702656","Catalog Record")</f>
        <v>Catalog Record</v>
      </c>
      <c r="AT157" s="6" t="str">
        <f>HYPERLINK("http://www.worldcat.org/oclc/7575207","WorldCat Record")</f>
        <v>WorldCat Record</v>
      </c>
      <c r="AU157" s="3" t="s">
        <v>1951</v>
      </c>
      <c r="AV157" s="3" t="s">
        <v>1952</v>
      </c>
      <c r="AW157" s="3" t="s">
        <v>1953</v>
      </c>
      <c r="AX157" s="3" t="s">
        <v>1953</v>
      </c>
      <c r="AY157" s="3" t="s">
        <v>1954</v>
      </c>
      <c r="AZ157" s="3" t="s">
        <v>74</v>
      </c>
      <c r="BC157" s="3" t="s">
        <v>1955</v>
      </c>
      <c r="BD157" s="3" t="s">
        <v>1956</v>
      </c>
    </row>
    <row r="158" spans="1:56" ht="57.75" customHeight="1" x14ac:dyDescent="0.25">
      <c r="A158" s="7" t="s">
        <v>59</v>
      </c>
      <c r="B158" s="2" t="s">
        <v>1957</v>
      </c>
      <c r="C158" s="2" t="s">
        <v>1958</v>
      </c>
      <c r="D158" s="2" t="s">
        <v>1959</v>
      </c>
      <c r="F158" s="3" t="s">
        <v>59</v>
      </c>
      <c r="G158" s="3" t="s">
        <v>60</v>
      </c>
      <c r="H158" s="3" t="s">
        <v>59</v>
      </c>
      <c r="I158" s="3" t="s">
        <v>59</v>
      </c>
      <c r="J158" s="3" t="s">
        <v>61</v>
      </c>
      <c r="K158" s="2" t="s">
        <v>1960</v>
      </c>
      <c r="L158" s="2" t="s">
        <v>1961</v>
      </c>
      <c r="M158" s="3" t="s">
        <v>239</v>
      </c>
      <c r="N158" s="2" t="s">
        <v>556</v>
      </c>
      <c r="O158" s="3" t="s">
        <v>64</v>
      </c>
      <c r="P158" s="3" t="s">
        <v>467</v>
      </c>
      <c r="R158" s="3" t="s">
        <v>67</v>
      </c>
      <c r="S158" s="4">
        <v>5</v>
      </c>
      <c r="T158" s="4">
        <v>5</v>
      </c>
      <c r="U158" s="5" t="s">
        <v>1962</v>
      </c>
      <c r="V158" s="5" t="s">
        <v>1962</v>
      </c>
      <c r="W158" s="5" t="s">
        <v>1963</v>
      </c>
      <c r="X158" s="5" t="s">
        <v>1963</v>
      </c>
      <c r="Y158" s="4">
        <v>1090</v>
      </c>
      <c r="Z158" s="4">
        <v>1037</v>
      </c>
      <c r="AA158" s="4">
        <v>1134</v>
      </c>
      <c r="AB158" s="4">
        <v>8</v>
      </c>
      <c r="AC158" s="4">
        <v>9</v>
      </c>
      <c r="AD158" s="4">
        <v>26</v>
      </c>
      <c r="AE158" s="4">
        <v>29</v>
      </c>
      <c r="AF158" s="4">
        <v>10</v>
      </c>
      <c r="AG158" s="4">
        <v>12</v>
      </c>
      <c r="AH158" s="4">
        <v>4</v>
      </c>
      <c r="AI158" s="4">
        <v>4</v>
      </c>
      <c r="AJ158" s="4">
        <v>12</v>
      </c>
      <c r="AK158" s="4">
        <v>12</v>
      </c>
      <c r="AL158" s="4">
        <v>5</v>
      </c>
      <c r="AM158" s="4">
        <v>6</v>
      </c>
      <c r="AN158" s="4">
        <v>0</v>
      </c>
      <c r="AO158" s="4">
        <v>0</v>
      </c>
      <c r="AP158" s="3" t="s">
        <v>59</v>
      </c>
      <c r="AQ158" s="3" t="s">
        <v>59</v>
      </c>
      <c r="AS158" s="6" t="str">
        <f>HYPERLINK("https://creighton-primo.hosted.exlibrisgroup.com/primo-explore/search?tab=default_tab&amp;search_scope=EVERYTHING&amp;vid=01CRU&amp;lang=en_US&amp;offset=0&amp;query=any,contains,991002621519702656","Catalog Record")</f>
        <v>Catalog Record</v>
      </c>
      <c r="AT158" s="6" t="str">
        <f>HYPERLINK("http://www.worldcat.org/oclc/34355087","WorldCat Record")</f>
        <v>WorldCat Record</v>
      </c>
      <c r="AU158" s="3" t="s">
        <v>1964</v>
      </c>
      <c r="AV158" s="3" t="s">
        <v>1965</v>
      </c>
      <c r="AW158" s="3" t="s">
        <v>1966</v>
      </c>
      <c r="AX158" s="3" t="s">
        <v>1966</v>
      </c>
      <c r="AY158" s="3" t="s">
        <v>1967</v>
      </c>
      <c r="AZ158" s="3" t="s">
        <v>74</v>
      </c>
      <c r="BB158" s="3" t="s">
        <v>1968</v>
      </c>
      <c r="BC158" s="3" t="s">
        <v>1969</v>
      </c>
      <c r="BD158" s="3" t="s">
        <v>1970</v>
      </c>
    </row>
    <row r="159" spans="1:56" ht="57.75" customHeight="1" x14ac:dyDescent="0.25">
      <c r="A159" s="7" t="s">
        <v>59</v>
      </c>
      <c r="B159" s="2" t="s">
        <v>1971</v>
      </c>
      <c r="C159" s="2" t="s">
        <v>1972</v>
      </c>
      <c r="D159" s="2" t="s">
        <v>1973</v>
      </c>
      <c r="F159" s="3" t="s">
        <v>59</v>
      </c>
      <c r="G159" s="3" t="s">
        <v>60</v>
      </c>
      <c r="H159" s="3" t="s">
        <v>59</v>
      </c>
      <c r="I159" s="3" t="s">
        <v>59</v>
      </c>
      <c r="J159" s="3" t="s">
        <v>61</v>
      </c>
      <c r="K159" s="2" t="s">
        <v>1974</v>
      </c>
      <c r="L159" s="2" t="s">
        <v>1975</v>
      </c>
      <c r="M159" s="3" t="s">
        <v>587</v>
      </c>
      <c r="O159" s="3" t="s">
        <v>64</v>
      </c>
      <c r="P159" s="3" t="s">
        <v>467</v>
      </c>
      <c r="Q159" s="2" t="s">
        <v>1976</v>
      </c>
      <c r="R159" s="3" t="s">
        <v>67</v>
      </c>
      <c r="S159" s="4">
        <v>2</v>
      </c>
      <c r="T159" s="4">
        <v>2</v>
      </c>
      <c r="U159" s="5" t="s">
        <v>1824</v>
      </c>
      <c r="V159" s="5" t="s">
        <v>1824</v>
      </c>
      <c r="W159" s="5" t="s">
        <v>575</v>
      </c>
      <c r="X159" s="5" t="s">
        <v>575</v>
      </c>
      <c r="Y159" s="4">
        <v>685</v>
      </c>
      <c r="Z159" s="4">
        <v>550</v>
      </c>
      <c r="AA159" s="4">
        <v>556</v>
      </c>
      <c r="AB159" s="4">
        <v>5</v>
      </c>
      <c r="AC159" s="4">
        <v>5</v>
      </c>
      <c r="AD159" s="4">
        <v>20</v>
      </c>
      <c r="AE159" s="4">
        <v>20</v>
      </c>
      <c r="AF159" s="4">
        <v>10</v>
      </c>
      <c r="AG159" s="4">
        <v>10</v>
      </c>
      <c r="AH159" s="4">
        <v>4</v>
      </c>
      <c r="AI159" s="4">
        <v>4</v>
      </c>
      <c r="AJ159" s="4">
        <v>6</v>
      </c>
      <c r="AK159" s="4">
        <v>6</v>
      </c>
      <c r="AL159" s="4">
        <v>4</v>
      </c>
      <c r="AM159" s="4">
        <v>4</v>
      </c>
      <c r="AN159" s="4">
        <v>0</v>
      </c>
      <c r="AO159" s="4">
        <v>0</v>
      </c>
      <c r="AP159" s="3" t="s">
        <v>59</v>
      </c>
      <c r="AQ159" s="3" t="s">
        <v>69</v>
      </c>
      <c r="AR159" s="6" t="str">
        <f>HYPERLINK("http://catalog.hathitrust.org/Record/001499253","HathiTrust Record")</f>
        <v>HathiTrust Record</v>
      </c>
      <c r="AS159" s="6" t="str">
        <f>HYPERLINK("https://creighton-primo.hosted.exlibrisgroup.com/primo-explore/search?tab=default_tab&amp;search_scope=EVERYTHING&amp;vid=01CRU&amp;lang=en_US&amp;offset=0&amp;query=any,contains,991002728959702656","Catalog Record")</f>
        <v>Catalog Record</v>
      </c>
      <c r="AT159" s="6" t="str">
        <f>HYPERLINK("http://www.worldcat.org/oclc/415238","WorldCat Record")</f>
        <v>WorldCat Record</v>
      </c>
      <c r="AU159" s="3" t="s">
        <v>1977</v>
      </c>
      <c r="AV159" s="3" t="s">
        <v>1978</v>
      </c>
      <c r="AW159" s="3" t="s">
        <v>1979</v>
      </c>
      <c r="AX159" s="3" t="s">
        <v>1979</v>
      </c>
      <c r="AY159" s="3" t="s">
        <v>1980</v>
      </c>
      <c r="AZ159" s="3" t="s">
        <v>74</v>
      </c>
      <c r="BB159" s="3" t="s">
        <v>1981</v>
      </c>
      <c r="BC159" s="3" t="s">
        <v>1982</v>
      </c>
      <c r="BD159" s="3" t="s">
        <v>1983</v>
      </c>
    </row>
    <row r="160" spans="1:56" ht="57.75" customHeight="1" x14ac:dyDescent="0.25">
      <c r="A160" s="7" t="s">
        <v>59</v>
      </c>
      <c r="B160" s="2" t="s">
        <v>1984</v>
      </c>
      <c r="C160" s="2" t="s">
        <v>1985</v>
      </c>
      <c r="D160" s="2" t="s">
        <v>1986</v>
      </c>
      <c r="E160" s="3" t="s">
        <v>917</v>
      </c>
      <c r="F160" s="3" t="s">
        <v>69</v>
      </c>
      <c r="G160" s="3" t="s">
        <v>60</v>
      </c>
      <c r="H160" s="3" t="s">
        <v>59</v>
      </c>
      <c r="I160" s="3" t="s">
        <v>59</v>
      </c>
      <c r="J160" s="3" t="s">
        <v>61</v>
      </c>
      <c r="K160" s="2" t="s">
        <v>1987</v>
      </c>
      <c r="L160" s="2" t="s">
        <v>1988</v>
      </c>
      <c r="M160" s="3" t="s">
        <v>481</v>
      </c>
      <c r="O160" s="3" t="s">
        <v>64</v>
      </c>
      <c r="P160" s="3" t="s">
        <v>467</v>
      </c>
      <c r="R160" s="3" t="s">
        <v>67</v>
      </c>
      <c r="S160" s="4">
        <v>5</v>
      </c>
      <c r="T160" s="4">
        <v>5</v>
      </c>
      <c r="U160" s="5" t="s">
        <v>1824</v>
      </c>
      <c r="V160" s="5" t="s">
        <v>1824</v>
      </c>
      <c r="W160" s="5" t="s">
        <v>575</v>
      </c>
      <c r="X160" s="5" t="s">
        <v>575</v>
      </c>
      <c r="Y160" s="4">
        <v>714</v>
      </c>
      <c r="Z160" s="4">
        <v>607</v>
      </c>
      <c r="AA160" s="4">
        <v>628</v>
      </c>
      <c r="AB160" s="4">
        <v>6</v>
      </c>
      <c r="AC160" s="4">
        <v>6</v>
      </c>
      <c r="AD160" s="4">
        <v>22</v>
      </c>
      <c r="AE160" s="4">
        <v>22</v>
      </c>
      <c r="AF160" s="4">
        <v>9</v>
      </c>
      <c r="AG160" s="4">
        <v>9</v>
      </c>
      <c r="AH160" s="4">
        <v>4</v>
      </c>
      <c r="AI160" s="4">
        <v>4</v>
      </c>
      <c r="AJ160" s="4">
        <v>11</v>
      </c>
      <c r="AK160" s="4">
        <v>11</v>
      </c>
      <c r="AL160" s="4">
        <v>5</v>
      </c>
      <c r="AM160" s="4">
        <v>5</v>
      </c>
      <c r="AN160" s="4">
        <v>0</v>
      </c>
      <c r="AO160" s="4">
        <v>0</v>
      </c>
      <c r="AP160" s="3" t="s">
        <v>59</v>
      </c>
      <c r="AQ160" s="3" t="s">
        <v>69</v>
      </c>
      <c r="AR160" s="6" t="str">
        <f>HYPERLINK("http://catalog.hathitrust.org/Record/000113921","HathiTrust Record")</f>
        <v>HathiTrust Record</v>
      </c>
      <c r="AS160" s="6" t="str">
        <f>HYPERLINK("https://creighton-primo.hosted.exlibrisgroup.com/primo-explore/search?tab=default_tab&amp;search_scope=EVERYTHING&amp;vid=01CRU&amp;lang=en_US&amp;offset=0&amp;query=any,contains,991001425759702656","Catalog Record")</f>
        <v>Catalog Record</v>
      </c>
      <c r="AT160" s="6" t="str">
        <f>HYPERLINK("http://www.worldcat.org/oclc/230967","WorldCat Record")</f>
        <v>WorldCat Record</v>
      </c>
      <c r="AU160" s="3" t="s">
        <v>1989</v>
      </c>
      <c r="AV160" s="3" t="s">
        <v>1990</v>
      </c>
      <c r="AW160" s="3" t="s">
        <v>1991</v>
      </c>
      <c r="AX160" s="3" t="s">
        <v>1991</v>
      </c>
      <c r="AY160" s="3" t="s">
        <v>1992</v>
      </c>
      <c r="AZ160" s="3" t="s">
        <v>74</v>
      </c>
      <c r="BB160" s="3" t="s">
        <v>1993</v>
      </c>
      <c r="BC160" s="3" t="s">
        <v>1994</v>
      </c>
      <c r="BD160" s="3" t="s">
        <v>1995</v>
      </c>
    </row>
    <row r="161" spans="1:56" ht="57.75" customHeight="1" x14ac:dyDescent="0.25">
      <c r="A161" s="7" t="s">
        <v>59</v>
      </c>
      <c r="B161" s="2" t="s">
        <v>1984</v>
      </c>
      <c r="C161" s="2" t="s">
        <v>1985</v>
      </c>
      <c r="D161" s="2" t="s">
        <v>1986</v>
      </c>
      <c r="E161" s="3" t="s">
        <v>904</v>
      </c>
      <c r="F161" s="3" t="s">
        <v>69</v>
      </c>
      <c r="G161" s="3" t="s">
        <v>60</v>
      </c>
      <c r="H161" s="3" t="s">
        <v>59</v>
      </c>
      <c r="I161" s="3" t="s">
        <v>59</v>
      </c>
      <c r="J161" s="3" t="s">
        <v>61</v>
      </c>
      <c r="K161" s="2" t="s">
        <v>1987</v>
      </c>
      <c r="L161" s="2" t="s">
        <v>1988</v>
      </c>
      <c r="M161" s="3" t="s">
        <v>481</v>
      </c>
      <c r="O161" s="3" t="s">
        <v>64</v>
      </c>
      <c r="P161" s="3" t="s">
        <v>467</v>
      </c>
      <c r="R161" s="3" t="s">
        <v>67</v>
      </c>
      <c r="S161" s="4">
        <v>0</v>
      </c>
      <c r="T161" s="4">
        <v>5</v>
      </c>
      <c r="V161" s="5" t="s">
        <v>1824</v>
      </c>
      <c r="W161" s="5" t="s">
        <v>575</v>
      </c>
      <c r="X161" s="5" t="s">
        <v>575</v>
      </c>
      <c r="Y161" s="4">
        <v>714</v>
      </c>
      <c r="Z161" s="4">
        <v>607</v>
      </c>
      <c r="AA161" s="4">
        <v>628</v>
      </c>
      <c r="AB161" s="4">
        <v>6</v>
      </c>
      <c r="AC161" s="4">
        <v>6</v>
      </c>
      <c r="AD161" s="4">
        <v>22</v>
      </c>
      <c r="AE161" s="4">
        <v>22</v>
      </c>
      <c r="AF161" s="4">
        <v>9</v>
      </c>
      <c r="AG161" s="4">
        <v>9</v>
      </c>
      <c r="AH161" s="4">
        <v>4</v>
      </c>
      <c r="AI161" s="4">
        <v>4</v>
      </c>
      <c r="AJ161" s="4">
        <v>11</v>
      </c>
      <c r="AK161" s="4">
        <v>11</v>
      </c>
      <c r="AL161" s="4">
        <v>5</v>
      </c>
      <c r="AM161" s="4">
        <v>5</v>
      </c>
      <c r="AN161" s="4">
        <v>0</v>
      </c>
      <c r="AO161" s="4">
        <v>0</v>
      </c>
      <c r="AP161" s="3" t="s">
        <v>59</v>
      </c>
      <c r="AQ161" s="3" t="s">
        <v>69</v>
      </c>
      <c r="AR161" s="6" t="str">
        <f>HYPERLINK("http://catalog.hathitrust.org/Record/000113921","HathiTrust Record")</f>
        <v>HathiTrust Record</v>
      </c>
      <c r="AS161" s="6" t="str">
        <f>HYPERLINK("https://creighton-primo.hosted.exlibrisgroup.com/primo-explore/search?tab=default_tab&amp;search_scope=EVERYTHING&amp;vid=01CRU&amp;lang=en_US&amp;offset=0&amp;query=any,contains,991001425759702656","Catalog Record")</f>
        <v>Catalog Record</v>
      </c>
      <c r="AT161" s="6" t="str">
        <f>HYPERLINK("http://www.worldcat.org/oclc/230967","WorldCat Record")</f>
        <v>WorldCat Record</v>
      </c>
      <c r="AU161" s="3" t="s">
        <v>1989</v>
      </c>
      <c r="AV161" s="3" t="s">
        <v>1990</v>
      </c>
      <c r="AW161" s="3" t="s">
        <v>1991</v>
      </c>
      <c r="AX161" s="3" t="s">
        <v>1991</v>
      </c>
      <c r="AY161" s="3" t="s">
        <v>1992</v>
      </c>
      <c r="AZ161" s="3" t="s">
        <v>74</v>
      </c>
      <c r="BB161" s="3" t="s">
        <v>1993</v>
      </c>
      <c r="BC161" s="3" t="s">
        <v>1996</v>
      </c>
      <c r="BD161" s="3" t="s">
        <v>1997</v>
      </c>
    </row>
    <row r="162" spans="1:56" ht="57.75" customHeight="1" x14ac:dyDescent="0.25">
      <c r="A162" s="7" t="s">
        <v>59</v>
      </c>
      <c r="B162" s="2" t="s">
        <v>1984</v>
      </c>
      <c r="C162" s="2" t="s">
        <v>1985</v>
      </c>
      <c r="D162" s="2" t="s">
        <v>1986</v>
      </c>
      <c r="E162" s="3" t="s">
        <v>923</v>
      </c>
      <c r="F162" s="3" t="s">
        <v>69</v>
      </c>
      <c r="G162" s="3" t="s">
        <v>60</v>
      </c>
      <c r="H162" s="3" t="s">
        <v>59</v>
      </c>
      <c r="I162" s="3" t="s">
        <v>59</v>
      </c>
      <c r="J162" s="3" t="s">
        <v>61</v>
      </c>
      <c r="K162" s="2" t="s">
        <v>1987</v>
      </c>
      <c r="L162" s="2" t="s">
        <v>1988</v>
      </c>
      <c r="M162" s="3" t="s">
        <v>481</v>
      </c>
      <c r="O162" s="3" t="s">
        <v>64</v>
      </c>
      <c r="P162" s="3" t="s">
        <v>467</v>
      </c>
      <c r="R162" s="3" t="s">
        <v>67</v>
      </c>
      <c r="S162" s="4">
        <v>0</v>
      </c>
      <c r="T162" s="4">
        <v>5</v>
      </c>
      <c r="V162" s="5" t="s">
        <v>1824</v>
      </c>
      <c r="W162" s="5" t="s">
        <v>575</v>
      </c>
      <c r="X162" s="5" t="s">
        <v>575</v>
      </c>
      <c r="Y162" s="4">
        <v>714</v>
      </c>
      <c r="Z162" s="4">
        <v>607</v>
      </c>
      <c r="AA162" s="4">
        <v>628</v>
      </c>
      <c r="AB162" s="4">
        <v>6</v>
      </c>
      <c r="AC162" s="4">
        <v>6</v>
      </c>
      <c r="AD162" s="4">
        <v>22</v>
      </c>
      <c r="AE162" s="4">
        <v>22</v>
      </c>
      <c r="AF162" s="4">
        <v>9</v>
      </c>
      <c r="AG162" s="4">
        <v>9</v>
      </c>
      <c r="AH162" s="4">
        <v>4</v>
      </c>
      <c r="AI162" s="4">
        <v>4</v>
      </c>
      <c r="AJ162" s="4">
        <v>11</v>
      </c>
      <c r="AK162" s="4">
        <v>11</v>
      </c>
      <c r="AL162" s="4">
        <v>5</v>
      </c>
      <c r="AM162" s="4">
        <v>5</v>
      </c>
      <c r="AN162" s="4">
        <v>0</v>
      </c>
      <c r="AO162" s="4">
        <v>0</v>
      </c>
      <c r="AP162" s="3" t="s">
        <v>59</v>
      </c>
      <c r="AQ162" s="3" t="s">
        <v>69</v>
      </c>
      <c r="AR162" s="6" t="str">
        <f>HYPERLINK("http://catalog.hathitrust.org/Record/000113921","HathiTrust Record")</f>
        <v>HathiTrust Record</v>
      </c>
      <c r="AS162" s="6" t="str">
        <f>HYPERLINK("https://creighton-primo.hosted.exlibrisgroup.com/primo-explore/search?tab=default_tab&amp;search_scope=EVERYTHING&amp;vid=01CRU&amp;lang=en_US&amp;offset=0&amp;query=any,contains,991001425759702656","Catalog Record")</f>
        <v>Catalog Record</v>
      </c>
      <c r="AT162" s="6" t="str">
        <f>HYPERLINK("http://www.worldcat.org/oclc/230967","WorldCat Record")</f>
        <v>WorldCat Record</v>
      </c>
      <c r="AU162" s="3" t="s">
        <v>1989</v>
      </c>
      <c r="AV162" s="3" t="s">
        <v>1990</v>
      </c>
      <c r="AW162" s="3" t="s">
        <v>1991</v>
      </c>
      <c r="AX162" s="3" t="s">
        <v>1991</v>
      </c>
      <c r="AY162" s="3" t="s">
        <v>1992</v>
      </c>
      <c r="AZ162" s="3" t="s">
        <v>74</v>
      </c>
      <c r="BB162" s="3" t="s">
        <v>1993</v>
      </c>
      <c r="BC162" s="3" t="s">
        <v>1998</v>
      </c>
      <c r="BD162" s="3" t="s">
        <v>1999</v>
      </c>
    </row>
    <row r="163" spans="1:56" ht="57.75" customHeight="1" x14ac:dyDescent="0.25">
      <c r="A163" s="7" t="s">
        <v>59</v>
      </c>
      <c r="B163" s="2" t="s">
        <v>2000</v>
      </c>
      <c r="C163" s="2" t="s">
        <v>2001</v>
      </c>
      <c r="D163" s="2" t="s">
        <v>2002</v>
      </c>
      <c r="F163" s="3" t="s">
        <v>59</v>
      </c>
      <c r="G163" s="3" t="s">
        <v>60</v>
      </c>
      <c r="H163" s="3" t="s">
        <v>59</v>
      </c>
      <c r="I163" s="3" t="s">
        <v>59</v>
      </c>
      <c r="J163" s="3" t="s">
        <v>61</v>
      </c>
      <c r="K163" s="2" t="s">
        <v>2003</v>
      </c>
      <c r="L163" s="2" t="s">
        <v>2004</v>
      </c>
      <c r="M163" s="3" t="s">
        <v>587</v>
      </c>
      <c r="N163" s="2" t="s">
        <v>2005</v>
      </c>
      <c r="O163" s="3" t="s">
        <v>64</v>
      </c>
      <c r="P163" s="3" t="s">
        <v>467</v>
      </c>
      <c r="R163" s="3" t="s">
        <v>67</v>
      </c>
      <c r="S163" s="4">
        <v>20</v>
      </c>
      <c r="T163" s="4">
        <v>20</v>
      </c>
      <c r="U163" s="5" t="s">
        <v>1036</v>
      </c>
      <c r="V163" s="5" t="s">
        <v>1036</v>
      </c>
      <c r="W163" s="5" t="s">
        <v>2006</v>
      </c>
      <c r="X163" s="5" t="s">
        <v>2006</v>
      </c>
      <c r="Y163" s="4">
        <v>619</v>
      </c>
      <c r="Z163" s="4">
        <v>498</v>
      </c>
      <c r="AA163" s="4">
        <v>928</v>
      </c>
      <c r="AB163" s="4">
        <v>7</v>
      </c>
      <c r="AC163" s="4">
        <v>9</v>
      </c>
      <c r="AD163" s="4">
        <v>21</v>
      </c>
      <c r="AE163" s="4">
        <v>39</v>
      </c>
      <c r="AF163" s="4">
        <v>6</v>
      </c>
      <c r="AG163" s="4">
        <v>17</v>
      </c>
      <c r="AH163" s="4">
        <v>5</v>
      </c>
      <c r="AI163" s="4">
        <v>8</v>
      </c>
      <c r="AJ163" s="4">
        <v>10</v>
      </c>
      <c r="AK163" s="4">
        <v>15</v>
      </c>
      <c r="AL163" s="4">
        <v>5</v>
      </c>
      <c r="AM163" s="4">
        <v>7</v>
      </c>
      <c r="AN163" s="4">
        <v>0</v>
      </c>
      <c r="AO163" s="4">
        <v>0</v>
      </c>
      <c r="AP163" s="3" t="s">
        <v>59</v>
      </c>
      <c r="AQ163" s="3" t="s">
        <v>69</v>
      </c>
      <c r="AR163" s="6" t="str">
        <f>HYPERLINK("http://catalog.hathitrust.org/Record/001499259","HathiTrust Record")</f>
        <v>HathiTrust Record</v>
      </c>
      <c r="AS163" s="6" t="str">
        <f>HYPERLINK("https://creighton-primo.hosted.exlibrisgroup.com/primo-explore/search?tab=default_tab&amp;search_scope=EVERYTHING&amp;vid=01CRU&amp;lang=en_US&amp;offset=0&amp;query=any,contains,991002433019702656","Catalog Record")</f>
        <v>Catalog Record</v>
      </c>
      <c r="AT163" s="6" t="str">
        <f>HYPERLINK("http://www.worldcat.org/oclc/347796","WorldCat Record")</f>
        <v>WorldCat Record</v>
      </c>
      <c r="AU163" s="3" t="s">
        <v>2007</v>
      </c>
      <c r="AV163" s="3" t="s">
        <v>2008</v>
      </c>
      <c r="AW163" s="3" t="s">
        <v>2009</v>
      </c>
      <c r="AX163" s="3" t="s">
        <v>2009</v>
      </c>
      <c r="AY163" s="3" t="s">
        <v>2010</v>
      </c>
      <c r="AZ163" s="3" t="s">
        <v>74</v>
      </c>
      <c r="BB163" s="3" t="s">
        <v>2011</v>
      </c>
      <c r="BC163" s="3" t="s">
        <v>2012</v>
      </c>
      <c r="BD163" s="3" t="s">
        <v>2013</v>
      </c>
    </row>
    <row r="164" spans="1:56" ht="57.75" customHeight="1" x14ac:dyDescent="0.25">
      <c r="A164" s="7" t="s">
        <v>59</v>
      </c>
      <c r="B164" s="2" t="s">
        <v>2014</v>
      </c>
      <c r="C164" s="2" t="s">
        <v>2015</v>
      </c>
      <c r="D164" s="2" t="s">
        <v>2016</v>
      </c>
      <c r="F164" s="3" t="s">
        <v>59</v>
      </c>
      <c r="G164" s="3" t="s">
        <v>60</v>
      </c>
      <c r="H164" s="3" t="s">
        <v>59</v>
      </c>
      <c r="I164" s="3" t="s">
        <v>59</v>
      </c>
      <c r="J164" s="3" t="s">
        <v>61</v>
      </c>
      <c r="K164" s="2" t="s">
        <v>2017</v>
      </c>
      <c r="L164" s="2" t="s">
        <v>2018</v>
      </c>
      <c r="M164" s="3" t="s">
        <v>511</v>
      </c>
      <c r="O164" s="3" t="s">
        <v>64</v>
      </c>
      <c r="P164" s="3" t="s">
        <v>405</v>
      </c>
      <c r="Q164" s="2" t="s">
        <v>2019</v>
      </c>
      <c r="R164" s="3" t="s">
        <v>67</v>
      </c>
      <c r="S164" s="4">
        <v>3</v>
      </c>
      <c r="T164" s="4">
        <v>3</v>
      </c>
      <c r="U164" s="5" t="s">
        <v>777</v>
      </c>
      <c r="V164" s="5" t="s">
        <v>777</v>
      </c>
      <c r="W164" s="5" t="s">
        <v>2020</v>
      </c>
      <c r="X164" s="5" t="s">
        <v>2020</v>
      </c>
      <c r="Y164" s="4">
        <v>412</v>
      </c>
      <c r="Z164" s="4">
        <v>271</v>
      </c>
      <c r="AA164" s="4">
        <v>277</v>
      </c>
      <c r="AB164" s="4">
        <v>1</v>
      </c>
      <c r="AC164" s="4">
        <v>1</v>
      </c>
      <c r="AD164" s="4">
        <v>8</v>
      </c>
      <c r="AE164" s="4">
        <v>8</v>
      </c>
      <c r="AF164" s="4">
        <v>4</v>
      </c>
      <c r="AG164" s="4">
        <v>4</v>
      </c>
      <c r="AH164" s="4">
        <v>3</v>
      </c>
      <c r="AI164" s="4">
        <v>3</v>
      </c>
      <c r="AJ164" s="4">
        <v>3</v>
      </c>
      <c r="AK164" s="4">
        <v>3</v>
      </c>
      <c r="AL164" s="4">
        <v>0</v>
      </c>
      <c r="AM164" s="4">
        <v>0</v>
      </c>
      <c r="AN164" s="4">
        <v>0</v>
      </c>
      <c r="AO164" s="4">
        <v>0</v>
      </c>
      <c r="AP164" s="3" t="s">
        <v>59</v>
      </c>
      <c r="AQ164" s="3" t="s">
        <v>69</v>
      </c>
      <c r="AR164" s="6" t="str">
        <f>HYPERLINK("http://catalog.hathitrust.org/Record/003027471","HathiTrust Record")</f>
        <v>HathiTrust Record</v>
      </c>
      <c r="AS164" s="6" t="str">
        <f>HYPERLINK("https://creighton-primo.hosted.exlibrisgroup.com/primo-explore/search?tab=default_tab&amp;search_scope=EVERYTHING&amp;vid=01CRU&amp;lang=en_US&amp;offset=0&amp;query=any,contains,991002435009702656","Catalog Record")</f>
        <v>Catalog Record</v>
      </c>
      <c r="AT164" s="6" t="str">
        <f>HYPERLINK("http://www.worldcat.org/oclc/31740553","WorldCat Record")</f>
        <v>WorldCat Record</v>
      </c>
      <c r="AU164" s="3" t="s">
        <v>2021</v>
      </c>
      <c r="AV164" s="3" t="s">
        <v>2022</v>
      </c>
      <c r="AW164" s="3" t="s">
        <v>2023</v>
      </c>
      <c r="AX164" s="3" t="s">
        <v>2023</v>
      </c>
      <c r="AY164" s="3" t="s">
        <v>2024</v>
      </c>
      <c r="AZ164" s="3" t="s">
        <v>74</v>
      </c>
      <c r="BB164" s="3" t="s">
        <v>2025</v>
      </c>
      <c r="BC164" s="3" t="s">
        <v>2026</v>
      </c>
      <c r="BD164" s="3" t="s">
        <v>2027</v>
      </c>
    </row>
    <row r="165" spans="1:56" ht="57.75" customHeight="1" x14ac:dyDescent="0.25">
      <c r="A165" s="7" t="s">
        <v>59</v>
      </c>
      <c r="B165" s="2" t="s">
        <v>2028</v>
      </c>
      <c r="C165" s="2" t="s">
        <v>2029</v>
      </c>
      <c r="D165" s="2" t="s">
        <v>2030</v>
      </c>
      <c r="F165" s="3" t="s">
        <v>59</v>
      </c>
      <c r="G165" s="3" t="s">
        <v>60</v>
      </c>
      <c r="H165" s="3" t="s">
        <v>59</v>
      </c>
      <c r="I165" s="3" t="s">
        <v>59</v>
      </c>
      <c r="J165" s="3" t="s">
        <v>61</v>
      </c>
      <c r="K165" s="2" t="s">
        <v>1224</v>
      </c>
      <c r="L165" s="2" t="s">
        <v>2031</v>
      </c>
      <c r="M165" s="3" t="s">
        <v>2032</v>
      </c>
      <c r="N165" s="2" t="s">
        <v>2033</v>
      </c>
      <c r="O165" s="3" t="s">
        <v>64</v>
      </c>
      <c r="P165" s="3" t="s">
        <v>573</v>
      </c>
      <c r="R165" s="3" t="s">
        <v>67</v>
      </c>
      <c r="S165" s="4">
        <v>9</v>
      </c>
      <c r="T165" s="4">
        <v>9</v>
      </c>
      <c r="U165" s="5" t="s">
        <v>777</v>
      </c>
      <c r="V165" s="5" t="s">
        <v>777</v>
      </c>
      <c r="W165" s="5" t="s">
        <v>575</v>
      </c>
      <c r="X165" s="5" t="s">
        <v>575</v>
      </c>
      <c r="Y165" s="4">
        <v>429</v>
      </c>
      <c r="Z165" s="4">
        <v>405</v>
      </c>
      <c r="AA165" s="4">
        <v>661</v>
      </c>
      <c r="AB165" s="4">
        <v>2</v>
      </c>
      <c r="AC165" s="4">
        <v>6</v>
      </c>
      <c r="AD165" s="4">
        <v>17</v>
      </c>
      <c r="AE165" s="4">
        <v>25</v>
      </c>
      <c r="AF165" s="4">
        <v>8</v>
      </c>
      <c r="AG165" s="4">
        <v>10</v>
      </c>
      <c r="AH165" s="4">
        <v>2</v>
      </c>
      <c r="AI165" s="4">
        <v>2</v>
      </c>
      <c r="AJ165" s="4">
        <v>10</v>
      </c>
      <c r="AK165" s="4">
        <v>13</v>
      </c>
      <c r="AL165" s="4">
        <v>1</v>
      </c>
      <c r="AM165" s="4">
        <v>5</v>
      </c>
      <c r="AN165" s="4">
        <v>0</v>
      </c>
      <c r="AO165" s="4">
        <v>0</v>
      </c>
      <c r="AP165" s="3" t="s">
        <v>59</v>
      </c>
      <c r="AQ165" s="3" t="s">
        <v>69</v>
      </c>
      <c r="AR165" s="6" t="str">
        <f>HYPERLINK("http://catalog.hathitrust.org/Record/001499261","HathiTrust Record")</f>
        <v>HathiTrust Record</v>
      </c>
      <c r="AS165" s="6" t="str">
        <f>HYPERLINK("https://creighton-primo.hosted.exlibrisgroup.com/primo-explore/search?tab=default_tab&amp;search_scope=EVERYTHING&amp;vid=01CRU&amp;lang=en_US&amp;offset=0&amp;query=any,contains,991003309029702656","Catalog Record")</f>
        <v>Catalog Record</v>
      </c>
      <c r="AT165" s="6" t="str">
        <f>HYPERLINK("http://www.worldcat.org/oclc/832669","WorldCat Record")</f>
        <v>WorldCat Record</v>
      </c>
      <c r="AU165" s="3" t="s">
        <v>2034</v>
      </c>
      <c r="AV165" s="3" t="s">
        <v>2035</v>
      </c>
      <c r="AW165" s="3" t="s">
        <v>2036</v>
      </c>
      <c r="AX165" s="3" t="s">
        <v>2036</v>
      </c>
      <c r="AY165" s="3" t="s">
        <v>2037</v>
      </c>
      <c r="AZ165" s="3" t="s">
        <v>74</v>
      </c>
      <c r="BC165" s="3" t="s">
        <v>2038</v>
      </c>
      <c r="BD165" s="3" t="s">
        <v>2039</v>
      </c>
    </row>
    <row r="166" spans="1:56" ht="57.75" customHeight="1" x14ac:dyDescent="0.25">
      <c r="A166" s="7" t="s">
        <v>59</v>
      </c>
      <c r="B166" s="2" t="s">
        <v>2040</v>
      </c>
      <c r="C166" s="2" t="s">
        <v>2041</v>
      </c>
      <c r="D166" s="2" t="s">
        <v>1849</v>
      </c>
      <c r="F166" s="3" t="s">
        <v>59</v>
      </c>
      <c r="G166" s="3" t="s">
        <v>60</v>
      </c>
      <c r="H166" s="3" t="s">
        <v>59</v>
      </c>
      <c r="I166" s="3" t="s">
        <v>59</v>
      </c>
      <c r="J166" s="3" t="s">
        <v>61</v>
      </c>
      <c r="K166" s="2" t="s">
        <v>2042</v>
      </c>
      <c r="L166" s="2" t="s">
        <v>2043</v>
      </c>
      <c r="M166" s="3" t="s">
        <v>2044</v>
      </c>
      <c r="O166" s="3" t="s">
        <v>64</v>
      </c>
      <c r="P166" s="3" t="s">
        <v>1268</v>
      </c>
      <c r="Q166" s="2" t="s">
        <v>2045</v>
      </c>
      <c r="R166" s="3" t="s">
        <v>67</v>
      </c>
      <c r="S166" s="4">
        <v>3</v>
      </c>
      <c r="T166" s="4">
        <v>3</v>
      </c>
      <c r="U166" s="5" t="s">
        <v>2046</v>
      </c>
      <c r="V166" s="5" t="s">
        <v>2046</v>
      </c>
      <c r="W166" s="5" t="s">
        <v>575</v>
      </c>
      <c r="X166" s="5" t="s">
        <v>575</v>
      </c>
      <c r="Y166" s="4">
        <v>173</v>
      </c>
      <c r="Z166" s="4">
        <v>142</v>
      </c>
      <c r="AA166" s="4">
        <v>152</v>
      </c>
      <c r="AB166" s="4">
        <v>1</v>
      </c>
      <c r="AC166" s="4">
        <v>1</v>
      </c>
      <c r="AD166" s="4">
        <v>6</v>
      </c>
      <c r="AE166" s="4">
        <v>6</v>
      </c>
      <c r="AF166" s="4">
        <v>3</v>
      </c>
      <c r="AG166" s="4">
        <v>3</v>
      </c>
      <c r="AH166" s="4">
        <v>0</v>
      </c>
      <c r="AI166" s="4">
        <v>0</v>
      </c>
      <c r="AJ166" s="4">
        <v>4</v>
      </c>
      <c r="AK166" s="4">
        <v>4</v>
      </c>
      <c r="AL166" s="4">
        <v>0</v>
      </c>
      <c r="AM166" s="4">
        <v>0</v>
      </c>
      <c r="AN166" s="4">
        <v>0</v>
      </c>
      <c r="AO166" s="4">
        <v>0</v>
      </c>
      <c r="AP166" s="3" t="s">
        <v>69</v>
      </c>
      <c r="AQ166" s="3" t="s">
        <v>59</v>
      </c>
      <c r="AR166" s="6" t="str">
        <f>HYPERLINK("http://catalog.hathitrust.org/Record/001692988","HathiTrust Record")</f>
        <v>HathiTrust Record</v>
      </c>
      <c r="AS166" s="6" t="str">
        <f>HYPERLINK("https://creighton-primo.hosted.exlibrisgroup.com/primo-explore/search?tab=default_tab&amp;search_scope=EVERYTHING&amp;vid=01CRU&amp;lang=en_US&amp;offset=0&amp;query=any,contains,991003739599702656","Catalog Record")</f>
        <v>Catalog Record</v>
      </c>
      <c r="AT166" s="6" t="str">
        <f>HYPERLINK("http://www.worldcat.org/oclc/1401638","WorldCat Record")</f>
        <v>WorldCat Record</v>
      </c>
      <c r="AU166" s="3" t="s">
        <v>2047</v>
      </c>
      <c r="AV166" s="3" t="s">
        <v>2048</v>
      </c>
      <c r="AW166" s="3" t="s">
        <v>2049</v>
      </c>
      <c r="AX166" s="3" t="s">
        <v>2049</v>
      </c>
      <c r="AY166" s="3" t="s">
        <v>2050</v>
      </c>
      <c r="AZ166" s="3" t="s">
        <v>74</v>
      </c>
      <c r="BC166" s="3" t="s">
        <v>2051</v>
      </c>
      <c r="BD166" s="3" t="s">
        <v>2052</v>
      </c>
    </row>
    <row r="167" spans="1:56" ht="57.75" customHeight="1" x14ac:dyDescent="0.25">
      <c r="A167" s="7" t="s">
        <v>59</v>
      </c>
      <c r="B167" s="2" t="s">
        <v>2053</v>
      </c>
      <c r="C167" s="2" t="s">
        <v>2054</v>
      </c>
      <c r="D167" s="2" t="s">
        <v>2055</v>
      </c>
      <c r="F167" s="3" t="s">
        <v>59</v>
      </c>
      <c r="G167" s="3" t="s">
        <v>60</v>
      </c>
      <c r="H167" s="3" t="s">
        <v>59</v>
      </c>
      <c r="I167" s="3" t="s">
        <v>59</v>
      </c>
      <c r="J167" s="3" t="s">
        <v>61</v>
      </c>
      <c r="K167" s="2" t="s">
        <v>2056</v>
      </c>
      <c r="L167" s="2" t="s">
        <v>2057</v>
      </c>
      <c r="M167" s="3" t="s">
        <v>2058</v>
      </c>
      <c r="N167" s="2" t="s">
        <v>556</v>
      </c>
      <c r="O167" s="3" t="s">
        <v>64</v>
      </c>
      <c r="P167" s="3" t="s">
        <v>467</v>
      </c>
      <c r="Q167" s="2" t="s">
        <v>2059</v>
      </c>
      <c r="R167" s="3" t="s">
        <v>67</v>
      </c>
      <c r="S167" s="4">
        <v>2</v>
      </c>
      <c r="T167" s="4">
        <v>2</v>
      </c>
      <c r="U167" s="5" t="s">
        <v>2060</v>
      </c>
      <c r="V167" s="5" t="s">
        <v>2060</v>
      </c>
      <c r="W167" s="5" t="s">
        <v>2061</v>
      </c>
      <c r="X167" s="5" t="s">
        <v>2061</v>
      </c>
      <c r="Y167" s="4">
        <v>100</v>
      </c>
      <c r="Z167" s="4">
        <v>86</v>
      </c>
      <c r="AA167" s="4">
        <v>176</v>
      </c>
      <c r="AB167" s="4">
        <v>3</v>
      </c>
      <c r="AC167" s="4">
        <v>4</v>
      </c>
      <c r="AD167" s="4">
        <v>3</v>
      </c>
      <c r="AE167" s="4">
        <v>7</v>
      </c>
      <c r="AF167" s="4">
        <v>0</v>
      </c>
      <c r="AG167" s="4">
        <v>0</v>
      </c>
      <c r="AH167" s="4">
        <v>0</v>
      </c>
      <c r="AI167" s="4">
        <v>1</v>
      </c>
      <c r="AJ167" s="4">
        <v>1</v>
      </c>
      <c r="AK167" s="4">
        <v>3</v>
      </c>
      <c r="AL167" s="4">
        <v>2</v>
      </c>
      <c r="AM167" s="4">
        <v>3</v>
      </c>
      <c r="AN167" s="4">
        <v>0</v>
      </c>
      <c r="AO167" s="4">
        <v>0</v>
      </c>
      <c r="AP167" s="3" t="s">
        <v>69</v>
      </c>
      <c r="AQ167" s="3" t="s">
        <v>59</v>
      </c>
      <c r="AR167" s="6" t="str">
        <f>HYPERLINK("http://catalog.hathitrust.org/Record/009074339","HathiTrust Record")</f>
        <v>HathiTrust Record</v>
      </c>
      <c r="AS167" s="6" t="str">
        <f>HYPERLINK("https://creighton-primo.hosted.exlibrisgroup.com/primo-explore/search?tab=default_tab&amp;search_scope=EVERYTHING&amp;vid=01CRU&amp;lang=en_US&amp;offset=0&amp;query=any,contains,991004183409702656","Catalog Record")</f>
        <v>Catalog Record</v>
      </c>
      <c r="AT167" s="6" t="str">
        <f>HYPERLINK("http://www.worldcat.org/oclc/2611624","WorldCat Record")</f>
        <v>WorldCat Record</v>
      </c>
      <c r="AU167" s="3" t="s">
        <v>2062</v>
      </c>
      <c r="AV167" s="3" t="s">
        <v>2063</v>
      </c>
      <c r="AW167" s="3" t="s">
        <v>2064</v>
      </c>
      <c r="AX167" s="3" t="s">
        <v>2064</v>
      </c>
      <c r="AY167" s="3" t="s">
        <v>2065</v>
      </c>
      <c r="AZ167" s="3" t="s">
        <v>74</v>
      </c>
      <c r="BC167" s="3" t="s">
        <v>2066</v>
      </c>
      <c r="BD167" s="3" t="s">
        <v>2067</v>
      </c>
    </row>
    <row r="168" spans="1:56" ht="57.75" customHeight="1" x14ac:dyDescent="0.25">
      <c r="A168" s="7" t="s">
        <v>59</v>
      </c>
      <c r="B168" s="2" t="s">
        <v>2068</v>
      </c>
      <c r="C168" s="2" t="s">
        <v>2069</v>
      </c>
      <c r="D168" s="2" t="s">
        <v>2070</v>
      </c>
      <c r="F168" s="3" t="s">
        <v>59</v>
      </c>
      <c r="G168" s="3" t="s">
        <v>60</v>
      </c>
      <c r="H168" s="3" t="s">
        <v>59</v>
      </c>
      <c r="I168" s="3" t="s">
        <v>59</v>
      </c>
      <c r="J168" s="3" t="s">
        <v>61</v>
      </c>
      <c r="K168" s="2" t="s">
        <v>2071</v>
      </c>
      <c r="L168" s="2" t="s">
        <v>2072</v>
      </c>
      <c r="M168" s="3" t="s">
        <v>2073</v>
      </c>
      <c r="O168" s="3" t="s">
        <v>64</v>
      </c>
      <c r="P168" s="3" t="s">
        <v>2074</v>
      </c>
      <c r="R168" s="3" t="s">
        <v>67</v>
      </c>
      <c r="S168" s="4">
        <v>2</v>
      </c>
      <c r="T168" s="4">
        <v>2</v>
      </c>
      <c r="U168" s="5" t="s">
        <v>2075</v>
      </c>
      <c r="V168" s="5" t="s">
        <v>2075</v>
      </c>
      <c r="W168" s="5" t="s">
        <v>2076</v>
      </c>
      <c r="X168" s="5" t="s">
        <v>2076</v>
      </c>
      <c r="Y168" s="4">
        <v>303</v>
      </c>
      <c r="Z168" s="4">
        <v>192</v>
      </c>
      <c r="AA168" s="4">
        <v>196</v>
      </c>
      <c r="AB168" s="4">
        <v>2</v>
      </c>
      <c r="AC168" s="4">
        <v>2</v>
      </c>
      <c r="AD168" s="4">
        <v>5</v>
      </c>
      <c r="AE168" s="4">
        <v>5</v>
      </c>
      <c r="AF168" s="4">
        <v>0</v>
      </c>
      <c r="AG168" s="4">
        <v>0</v>
      </c>
      <c r="AH168" s="4">
        <v>2</v>
      </c>
      <c r="AI168" s="4">
        <v>2</v>
      </c>
      <c r="AJ168" s="4">
        <v>3</v>
      </c>
      <c r="AK168" s="4">
        <v>3</v>
      </c>
      <c r="AL168" s="4">
        <v>1</v>
      </c>
      <c r="AM168" s="4">
        <v>1</v>
      </c>
      <c r="AN168" s="4">
        <v>0</v>
      </c>
      <c r="AO168" s="4">
        <v>0</v>
      </c>
      <c r="AP168" s="3" t="s">
        <v>59</v>
      </c>
      <c r="AQ168" s="3" t="s">
        <v>69</v>
      </c>
      <c r="AR168" s="6" t="str">
        <f>HYPERLINK("http://catalog.hathitrust.org/Record/000196613","HathiTrust Record")</f>
        <v>HathiTrust Record</v>
      </c>
      <c r="AS168" s="6" t="str">
        <f>HYPERLINK("https://creighton-primo.hosted.exlibrisgroup.com/primo-explore/search?tab=default_tab&amp;search_scope=EVERYTHING&amp;vid=01CRU&amp;lang=en_US&amp;offset=0&amp;query=any,contains,991000437829702656","Catalog Record")</f>
        <v>Catalog Record</v>
      </c>
      <c r="AT168" s="6" t="str">
        <f>HYPERLINK("http://www.worldcat.org/oclc/10800061","WorldCat Record")</f>
        <v>WorldCat Record</v>
      </c>
      <c r="AU168" s="3" t="s">
        <v>2077</v>
      </c>
      <c r="AV168" s="3" t="s">
        <v>2078</v>
      </c>
      <c r="AW168" s="3" t="s">
        <v>2079</v>
      </c>
      <c r="AX168" s="3" t="s">
        <v>2079</v>
      </c>
      <c r="AY168" s="3" t="s">
        <v>2080</v>
      </c>
      <c r="AZ168" s="3" t="s">
        <v>74</v>
      </c>
      <c r="BC168" s="3" t="s">
        <v>2081</v>
      </c>
      <c r="BD168" s="3" t="s">
        <v>2082</v>
      </c>
    </row>
    <row r="169" spans="1:56" ht="57.75" customHeight="1" x14ac:dyDescent="0.25">
      <c r="A169" s="7" t="s">
        <v>59</v>
      </c>
      <c r="B169" s="2" t="s">
        <v>2083</v>
      </c>
      <c r="C169" s="2" t="s">
        <v>2084</v>
      </c>
      <c r="D169" s="2" t="s">
        <v>2085</v>
      </c>
      <c r="F169" s="3" t="s">
        <v>59</v>
      </c>
      <c r="G169" s="3" t="s">
        <v>60</v>
      </c>
      <c r="H169" s="3" t="s">
        <v>59</v>
      </c>
      <c r="I169" s="3" t="s">
        <v>59</v>
      </c>
      <c r="J169" s="3" t="s">
        <v>61</v>
      </c>
      <c r="K169" s="2" t="s">
        <v>2086</v>
      </c>
      <c r="L169" s="2" t="s">
        <v>2087</v>
      </c>
      <c r="M169" s="3" t="s">
        <v>481</v>
      </c>
      <c r="O169" s="3" t="s">
        <v>64</v>
      </c>
      <c r="P169" s="3" t="s">
        <v>1268</v>
      </c>
      <c r="Q169" s="2" t="s">
        <v>2088</v>
      </c>
      <c r="R169" s="3" t="s">
        <v>67</v>
      </c>
      <c r="S169" s="4">
        <v>11</v>
      </c>
      <c r="T169" s="4">
        <v>11</v>
      </c>
      <c r="U169" s="5" t="s">
        <v>878</v>
      </c>
      <c r="V169" s="5" t="s">
        <v>878</v>
      </c>
      <c r="W169" s="5" t="s">
        <v>1895</v>
      </c>
      <c r="X169" s="5" t="s">
        <v>1895</v>
      </c>
      <c r="Y169" s="4">
        <v>460</v>
      </c>
      <c r="Z169" s="4">
        <v>366</v>
      </c>
      <c r="AA169" s="4">
        <v>373</v>
      </c>
      <c r="AB169" s="4">
        <v>4</v>
      </c>
      <c r="AC169" s="4">
        <v>4</v>
      </c>
      <c r="AD169" s="4">
        <v>16</v>
      </c>
      <c r="AE169" s="4">
        <v>16</v>
      </c>
      <c r="AF169" s="4">
        <v>6</v>
      </c>
      <c r="AG169" s="4">
        <v>6</v>
      </c>
      <c r="AH169" s="4">
        <v>2</v>
      </c>
      <c r="AI169" s="4">
        <v>2</v>
      </c>
      <c r="AJ169" s="4">
        <v>8</v>
      </c>
      <c r="AK169" s="4">
        <v>8</v>
      </c>
      <c r="AL169" s="4">
        <v>3</v>
      </c>
      <c r="AM169" s="4">
        <v>3</v>
      </c>
      <c r="AN169" s="4">
        <v>0</v>
      </c>
      <c r="AO169" s="4">
        <v>0</v>
      </c>
      <c r="AP169" s="3" t="s">
        <v>59</v>
      </c>
      <c r="AQ169" s="3" t="s">
        <v>69</v>
      </c>
      <c r="AR169" s="6" t="str">
        <f>HYPERLINK("http://catalog.hathitrust.org/Record/001499270","HathiTrust Record")</f>
        <v>HathiTrust Record</v>
      </c>
      <c r="AS169" s="6" t="str">
        <f>HYPERLINK("https://creighton-primo.hosted.exlibrisgroup.com/primo-explore/search?tab=default_tab&amp;search_scope=EVERYTHING&amp;vid=01CRU&amp;lang=en_US&amp;offset=0&amp;query=any,contains,991003103749702656","Catalog Record")</f>
        <v>Catalog Record</v>
      </c>
      <c r="AT169" s="6" t="str">
        <f>HYPERLINK("http://www.worldcat.org/oclc/652733","WorldCat Record")</f>
        <v>WorldCat Record</v>
      </c>
      <c r="AU169" s="3" t="s">
        <v>2089</v>
      </c>
      <c r="AV169" s="3" t="s">
        <v>2090</v>
      </c>
      <c r="AW169" s="3" t="s">
        <v>2091</v>
      </c>
      <c r="AX169" s="3" t="s">
        <v>2091</v>
      </c>
      <c r="AY169" s="3" t="s">
        <v>2092</v>
      </c>
      <c r="AZ169" s="3" t="s">
        <v>74</v>
      </c>
      <c r="BC169" s="3" t="s">
        <v>2093</v>
      </c>
      <c r="BD169" s="3" t="s">
        <v>2094</v>
      </c>
    </row>
    <row r="170" spans="1:56" ht="57.75" customHeight="1" x14ac:dyDescent="0.25">
      <c r="A170" s="7" t="s">
        <v>59</v>
      </c>
      <c r="B170" s="2" t="s">
        <v>2095</v>
      </c>
      <c r="C170" s="2" t="s">
        <v>2096</v>
      </c>
      <c r="D170" s="2" t="s">
        <v>2097</v>
      </c>
      <c r="F170" s="3" t="s">
        <v>59</v>
      </c>
      <c r="G170" s="3" t="s">
        <v>60</v>
      </c>
      <c r="H170" s="3" t="s">
        <v>59</v>
      </c>
      <c r="I170" s="3" t="s">
        <v>59</v>
      </c>
      <c r="J170" s="3" t="s">
        <v>61</v>
      </c>
      <c r="K170" s="2" t="s">
        <v>2098</v>
      </c>
      <c r="L170" s="2" t="s">
        <v>2099</v>
      </c>
      <c r="M170" s="3" t="s">
        <v>776</v>
      </c>
      <c r="O170" s="3" t="s">
        <v>64</v>
      </c>
      <c r="P170" s="3" t="s">
        <v>467</v>
      </c>
      <c r="R170" s="3" t="s">
        <v>67</v>
      </c>
      <c r="S170" s="4">
        <v>7</v>
      </c>
      <c r="T170" s="4">
        <v>7</v>
      </c>
      <c r="U170" s="5" t="s">
        <v>2100</v>
      </c>
      <c r="V170" s="5" t="s">
        <v>2100</v>
      </c>
      <c r="W170" s="5" t="s">
        <v>575</v>
      </c>
      <c r="X170" s="5" t="s">
        <v>575</v>
      </c>
      <c r="Y170" s="4">
        <v>817</v>
      </c>
      <c r="Z170" s="4">
        <v>699</v>
      </c>
      <c r="AA170" s="4">
        <v>705</v>
      </c>
      <c r="AB170" s="4">
        <v>3</v>
      </c>
      <c r="AC170" s="4">
        <v>3</v>
      </c>
      <c r="AD170" s="4">
        <v>19</v>
      </c>
      <c r="AE170" s="4">
        <v>19</v>
      </c>
      <c r="AF170" s="4">
        <v>10</v>
      </c>
      <c r="AG170" s="4">
        <v>10</v>
      </c>
      <c r="AH170" s="4">
        <v>2</v>
      </c>
      <c r="AI170" s="4">
        <v>2</v>
      </c>
      <c r="AJ170" s="4">
        <v>11</v>
      </c>
      <c r="AK170" s="4">
        <v>11</v>
      </c>
      <c r="AL170" s="4">
        <v>2</v>
      </c>
      <c r="AM170" s="4">
        <v>2</v>
      </c>
      <c r="AN170" s="4">
        <v>0</v>
      </c>
      <c r="AO170" s="4">
        <v>0</v>
      </c>
      <c r="AP170" s="3" t="s">
        <v>59</v>
      </c>
      <c r="AQ170" s="3" t="s">
        <v>69</v>
      </c>
      <c r="AR170" s="6" t="str">
        <f>HYPERLINK("http://catalog.hathitrust.org/Record/001499271","HathiTrust Record")</f>
        <v>HathiTrust Record</v>
      </c>
      <c r="AS170" s="6" t="str">
        <f>HYPERLINK("https://creighton-primo.hosted.exlibrisgroup.com/primo-explore/search?tab=default_tab&amp;search_scope=EVERYTHING&amp;vid=01CRU&amp;lang=en_US&amp;offset=0&amp;query=any,contains,991000894559702656","Catalog Record")</f>
        <v>Catalog Record</v>
      </c>
      <c r="AT170" s="6" t="str">
        <f>HYPERLINK("http://www.worldcat.org/oclc/155406","WorldCat Record")</f>
        <v>WorldCat Record</v>
      </c>
      <c r="AU170" s="3" t="s">
        <v>2101</v>
      </c>
      <c r="AV170" s="3" t="s">
        <v>2102</v>
      </c>
      <c r="AW170" s="3" t="s">
        <v>2103</v>
      </c>
      <c r="AX170" s="3" t="s">
        <v>2103</v>
      </c>
      <c r="AY170" s="3" t="s">
        <v>2104</v>
      </c>
      <c r="AZ170" s="3" t="s">
        <v>74</v>
      </c>
      <c r="BB170" s="3" t="s">
        <v>2105</v>
      </c>
      <c r="BC170" s="3" t="s">
        <v>2106</v>
      </c>
      <c r="BD170" s="3" t="s">
        <v>2107</v>
      </c>
    </row>
    <row r="171" spans="1:56" ht="57.75" customHeight="1" x14ac:dyDescent="0.25">
      <c r="A171" s="7" t="s">
        <v>59</v>
      </c>
      <c r="B171" s="2" t="s">
        <v>2108</v>
      </c>
      <c r="C171" s="2" t="s">
        <v>2109</v>
      </c>
      <c r="D171" s="2" t="s">
        <v>2110</v>
      </c>
      <c r="F171" s="3" t="s">
        <v>59</v>
      </c>
      <c r="G171" s="3" t="s">
        <v>60</v>
      </c>
      <c r="H171" s="3" t="s">
        <v>59</v>
      </c>
      <c r="I171" s="3" t="s">
        <v>59</v>
      </c>
      <c r="J171" s="3" t="s">
        <v>61</v>
      </c>
      <c r="K171" s="2" t="s">
        <v>2111</v>
      </c>
      <c r="L171" s="2" t="s">
        <v>2112</v>
      </c>
      <c r="M171" s="3" t="s">
        <v>617</v>
      </c>
      <c r="O171" s="3" t="s">
        <v>64</v>
      </c>
      <c r="P171" s="3" t="s">
        <v>1078</v>
      </c>
      <c r="R171" s="3" t="s">
        <v>67</v>
      </c>
      <c r="S171" s="4">
        <v>5</v>
      </c>
      <c r="T171" s="4">
        <v>5</v>
      </c>
      <c r="U171" s="5" t="s">
        <v>2113</v>
      </c>
      <c r="V171" s="5" t="s">
        <v>2113</v>
      </c>
      <c r="W171" s="5" t="s">
        <v>1199</v>
      </c>
      <c r="X171" s="5" t="s">
        <v>1199</v>
      </c>
      <c r="Y171" s="4">
        <v>426</v>
      </c>
      <c r="Z171" s="4">
        <v>377</v>
      </c>
      <c r="AA171" s="4">
        <v>380</v>
      </c>
      <c r="AB171" s="4">
        <v>3</v>
      </c>
      <c r="AC171" s="4">
        <v>3</v>
      </c>
      <c r="AD171" s="4">
        <v>11</v>
      </c>
      <c r="AE171" s="4">
        <v>11</v>
      </c>
      <c r="AF171" s="4">
        <v>3</v>
      </c>
      <c r="AG171" s="4">
        <v>3</v>
      </c>
      <c r="AH171" s="4">
        <v>3</v>
      </c>
      <c r="AI171" s="4">
        <v>3</v>
      </c>
      <c r="AJ171" s="4">
        <v>6</v>
      </c>
      <c r="AK171" s="4">
        <v>6</v>
      </c>
      <c r="AL171" s="4">
        <v>2</v>
      </c>
      <c r="AM171" s="4">
        <v>2</v>
      </c>
      <c r="AN171" s="4">
        <v>0</v>
      </c>
      <c r="AO171" s="4">
        <v>0</v>
      </c>
      <c r="AP171" s="3" t="s">
        <v>59</v>
      </c>
      <c r="AQ171" s="3" t="s">
        <v>59</v>
      </c>
      <c r="AS171" s="6" t="str">
        <f>HYPERLINK("https://creighton-primo.hosted.exlibrisgroup.com/primo-explore/search?tab=default_tab&amp;search_scope=EVERYTHING&amp;vid=01CRU&amp;lang=en_US&amp;offset=0&amp;query=any,contains,991005072049702656","Catalog Record")</f>
        <v>Catalog Record</v>
      </c>
      <c r="AT171" s="6" t="str">
        <f>HYPERLINK("http://www.worldcat.org/oclc/7043400","WorldCat Record")</f>
        <v>WorldCat Record</v>
      </c>
      <c r="AU171" s="3" t="s">
        <v>2114</v>
      </c>
      <c r="AV171" s="3" t="s">
        <v>2115</v>
      </c>
      <c r="AW171" s="3" t="s">
        <v>2116</v>
      </c>
      <c r="AX171" s="3" t="s">
        <v>2116</v>
      </c>
      <c r="AY171" s="3" t="s">
        <v>2117</v>
      </c>
      <c r="AZ171" s="3" t="s">
        <v>74</v>
      </c>
      <c r="BB171" s="3" t="s">
        <v>2118</v>
      </c>
      <c r="BC171" s="3" t="s">
        <v>2119</v>
      </c>
      <c r="BD171" s="3" t="s">
        <v>2120</v>
      </c>
    </row>
    <row r="172" spans="1:56" ht="57.75" customHeight="1" x14ac:dyDescent="0.25">
      <c r="A172" s="7" t="s">
        <v>59</v>
      </c>
      <c r="B172" s="2" t="s">
        <v>2121</v>
      </c>
      <c r="C172" s="2" t="s">
        <v>2122</v>
      </c>
      <c r="D172" s="2" t="s">
        <v>2123</v>
      </c>
      <c r="F172" s="3" t="s">
        <v>59</v>
      </c>
      <c r="G172" s="3" t="s">
        <v>60</v>
      </c>
      <c r="H172" s="3" t="s">
        <v>59</v>
      </c>
      <c r="I172" s="3" t="s">
        <v>59</v>
      </c>
      <c r="J172" s="3" t="s">
        <v>61</v>
      </c>
      <c r="K172" s="2" t="s">
        <v>2124</v>
      </c>
      <c r="L172" s="2" t="s">
        <v>2125</v>
      </c>
      <c r="M172" s="3" t="s">
        <v>481</v>
      </c>
      <c r="O172" s="3" t="s">
        <v>64</v>
      </c>
      <c r="P172" s="3" t="s">
        <v>467</v>
      </c>
      <c r="Q172" s="2" t="s">
        <v>2126</v>
      </c>
      <c r="R172" s="3" t="s">
        <v>67</v>
      </c>
      <c r="S172" s="4">
        <v>7</v>
      </c>
      <c r="T172" s="4">
        <v>7</v>
      </c>
      <c r="U172" s="5" t="s">
        <v>2127</v>
      </c>
      <c r="V172" s="5" t="s">
        <v>2127</v>
      </c>
      <c r="W172" s="5" t="s">
        <v>575</v>
      </c>
      <c r="X172" s="5" t="s">
        <v>575</v>
      </c>
      <c r="Y172" s="4">
        <v>463</v>
      </c>
      <c r="Z172" s="4">
        <v>403</v>
      </c>
      <c r="AA172" s="4">
        <v>424</v>
      </c>
      <c r="AB172" s="4">
        <v>4</v>
      </c>
      <c r="AC172" s="4">
        <v>4</v>
      </c>
      <c r="AD172" s="4">
        <v>15</v>
      </c>
      <c r="AE172" s="4">
        <v>15</v>
      </c>
      <c r="AF172" s="4">
        <v>7</v>
      </c>
      <c r="AG172" s="4">
        <v>7</v>
      </c>
      <c r="AH172" s="4">
        <v>4</v>
      </c>
      <c r="AI172" s="4">
        <v>4</v>
      </c>
      <c r="AJ172" s="4">
        <v>4</v>
      </c>
      <c r="AK172" s="4">
        <v>4</v>
      </c>
      <c r="AL172" s="4">
        <v>3</v>
      </c>
      <c r="AM172" s="4">
        <v>3</v>
      </c>
      <c r="AN172" s="4">
        <v>0</v>
      </c>
      <c r="AO172" s="4">
        <v>0</v>
      </c>
      <c r="AP172" s="3" t="s">
        <v>59</v>
      </c>
      <c r="AQ172" s="3" t="s">
        <v>59</v>
      </c>
      <c r="AS172" s="6" t="str">
        <f>HYPERLINK("https://creighton-primo.hosted.exlibrisgroup.com/primo-explore/search?tab=default_tab&amp;search_scope=EVERYTHING&amp;vid=01CRU&amp;lang=en_US&amp;offset=0&amp;query=any,contains,991002265679702656","Catalog Record")</f>
        <v>Catalog Record</v>
      </c>
      <c r="AT172" s="6" t="str">
        <f>HYPERLINK("http://www.worldcat.org/oclc/306911","WorldCat Record")</f>
        <v>WorldCat Record</v>
      </c>
      <c r="AU172" s="3" t="s">
        <v>2128</v>
      </c>
      <c r="AV172" s="3" t="s">
        <v>2129</v>
      </c>
      <c r="AW172" s="3" t="s">
        <v>2130</v>
      </c>
      <c r="AX172" s="3" t="s">
        <v>2130</v>
      </c>
      <c r="AY172" s="3" t="s">
        <v>2131</v>
      </c>
      <c r="AZ172" s="3" t="s">
        <v>74</v>
      </c>
      <c r="BC172" s="3" t="s">
        <v>2132</v>
      </c>
      <c r="BD172" s="3" t="s">
        <v>2133</v>
      </c>
    </row>
    <row r="173" spans="1:56" ht="57.75" customHeight="1" x14ac:dyDescent="0.25">
      <c r="A173" s="7" t="s">
        <v>59</v>
      </c>
      <c r="B173" s="2" t="s">
        <v>2134</v>
      </c>
      <c r="C173" s="2" t="s">
        <v>2135</v>
      </c>
      <c r="D173" s="2" t="s">
        <v>2136</v>
      </c>
      <c r="F173" s="3" t="s">
        <v>59</v>
      </c>
      <c r="G173" s="3" t="s">
        <v>60</v>
      </c>
      <c r="H173" s="3" t="s">
        <v>59</v>
      </c>
      <c r="I173" s="3" t="s">
        <v>59</v>
      </c>
      <c r="J173" s="3" t="s">
        <v>61</v>
      </c>
      <c r="K173" s="2" t="s">
        <v>2137</v>
      </c>
      <c r="L173" s="2" t="s">
        <v>2138</v>
      </c>
      <c r="M173" s="3" t="s">
        <v>2139</v>
      </c>
      <c r="O173" s="3" t="s">
        <v>64</v>
      </c>
      <c r="P173" s="3" t="s">
        <v>1485</v>
      </c>
      <c r="Q173" s="2" t="s">
        <v>2140</v>
      </c>
      <c r="R173" s="3" t="s">
        <v>67</v>
      </c>
      <c r="S173" s="4">
        <v>16</v>
      </c>
      <c r="T173" s="4">
        <v>16</v>
      </c>
      <c r="U173" s="5" t="s">
        <v>2141</v>
      </c>
      <c r="V173" s="5" t="s">
        <v>2141</v>
      </c>
      <c r="W173" s="5" t="s">
        <v>575</v>
      </c>
      <c r="X173" s="5" t="s">
        <v>575</v>
      </c>
      <c r="Y173" s="4">
        <v>494</v>
      </c>
      <c r="Z173" s="4">
        <v>386</v>
      </c>
      <c r="AA173" s="4">
        <v>386</v>
      </c>
      <c r="AB173" s="4">
        <v>3</v>
      </c>
      <c r="AC173" s="4">
        <v>3</v>
      </c>
      <c r="AD173" s="4">
        <v>8</v>
      </c>
      <c r="AE173" s="4">
        <v>8</v>
      </c>
      <c r="AF173" s="4">
        <v>2</v>
      </c>
      <c r="AG173" s="4">
        <v>2</v>
      </c>
      <c r="AH173" s="4">
        <v>1</v>
      </c>
      <c r="AI173" s="4">
        <v>1</v>
      </c>
      <c r="AJ173" s="4">
        <v>4</v>
      </c>
      <c r="AK173" s="4">
        <v>4</v>
      </c>
      <c r="AL173" s="4">
        <v>2</v>
      </c>
      <c r="AM173" s="4">
        <v>2</v>
      </c>
      <c r="AN173" s="4">
        <v>0</v>
      </c>
      <c r="AO173" s="4">
        <v>0</v>
      </c>
      <c r="AP173" s="3" t="s">
        <v>59</v>
      </c>
      <c r="AQ173" s="3" t="s">
        <v>59</v>
      </c>
      <c r="AS173" s="6" t="str">
        <f>HYPERLINK("https://creighton-primo.hosted.exlibrisgroup.com/primo-explore/search?tab=default_tab&amp;search_scope=EVERYTHING&amp;vid=01CRU&amp;lang=en_US&amp;offset=0&amp;query=any,contains,991003975859702656","Catalog Record")</f>
        <v>Catalog Record</v>
      </c>
      <c r="AT173" s="6" t="str">
        <f>HYPERLINK("http://www.worldcat.org/oclc/2005321","WorldCat Record")</f>
        <v>WorldCat Record</v>
      </c>
      <c r="AU173" s="3" t="s">
        <v>2142</v>
      </c>
      <c r="AV173" s="3" t="s">
        <v>2143</v>
      </c>
      <c r="AW173" s="3" t="s">
        <v>2144</v>
      </c>
      <c r="AX173" s="3" t="s">
        <v>2144</v>
      </c>
      <c r="AY173" s="3" t="s">
        <v>2145</v>
      </c>
      <c r="AZ173" s="3" t="s">
        <v>74</v>
      </c>
      <c r="BB173" s="3" t="s">
        <v>2146</v>
      </c>
      <c r="BC173" s="3" t="s">
        <v>2147</v>
      </c>
      <c r="BD173" s="3" t="s">
        <v>2148</v>
      </c>
    </row>
    <row r="174" spans="1:56" ht="57.75" customHeight="1" x14ac:dyDescent="0.25">
      <c r="A174" s="7" t="s">
        <v>59</v>
      </c>
      <c r="B174" s="2" t="s">
        <v>2149</v>
      </c>
      <c r="C174" s="2" t="s">
        <v>2150</v>
      </c>
      <c r="D174" s="2" t="s">
        <v>2151</v>
      </c>
      <c r="F174" s="3" t="s">
        <v>59</v>
      </c>
      <c r="G174" s="3" t="s">
        <v>60</v>
      </c>
      <c r="H174" s="3" t="s">
        <v>59</v>
      </c>
      <c r="I174" s="3" t="s">
        <v>59</v>
      </c>
      <c r="J174" s="3" t="s">
        <v>61</v>
      </c>
      <c r="K174" s="2" t="s">
        <v>2152</v>
      </c>
      <c r="L174" s="2" t="s">
        <v>2153</v>
      </c>
      <c r="M174" s="3" t="s">
        <v>1182</v>
      </c>
      <c r="O174" s="3" t="s">
        <v>64</v>
      </c>
      <c r="P174" s="3" t="s">
        <v>405</v>
      </c>
      <c r="R174" s="3" t="s">
        <v>67</v>
      </c>
      <c r="S174" s="4">
        <v>10</v>
      </c>
      <c r="T174" s="4">
        <v>10</v>
      </c>
      <c r="U174" s="5" t="s">
        <v>949</v>
      </c>
      <c r="V174" s="5" t="s">
        <v>949</v>
      </c>
      <c r="W174" s="5" t="s">
        <v>2154</v>
      </c>
      <c r="X174" s="5" t="s">
        <v>2154</v>
      </c>
      <c r="Y174" s="4">
        <v>730</v>
      </c>
      <c r="Z174" s="4">
        <v>539</v>
      </c>
      <c r="AA174" s="4">
        <v>548</v>
      </c>
      <c r="AB174" s="4">
        <v>5</v>
      </c>
      <c r="AC174" s="4">
        <v>5</v>
      </c>
      <c r="AD174" s="4">
        <v>27</v>
      </c>
      <c r="AE174" s="4">
        <v>28</v>
      </c>
      <c r="AF174" s="4">
        <v>10</v>
      </c>
      <c r="AG174" s="4">
        <v>10</v>
      </c>
      <c r="AH174" s="4">
        <v>5</v>
      </c>
      <c r="AI174" s="4">
        <v>6</v>
      </c>
      <c r="AJ174" s="4">
        <v>14</v>
      </c>
      <c r="AK174" s="4">
        <v>15</v>
      </c>
      <c r="AL174" s="4">
        <v>4</v>
      </c>
      <c r="AM174" s="4">
        <v>4</v>
      </c>
      <c r="AN174" s="4">
        <v>0</v>
      </c>
      <c r="AO174" s="4">
        <v>0</v>
      </c>
      <c r="AP174" s="3" t="s">
        <v>59</v>
      </c>
      <c r="AQ174" s="3" t="s">
        <v>59</v>
      </c>
      <c r="AS174" s="6" t="str">
        <f>HYPERLINK("https://creighton-primo.hosted.exlibrisgroup.com/primo-explore/search?tab=default_tab&amp;search_scope=EVERYTHING&amp;vid=01CRU&amp;lang=en_US&amp;offset=0&amp;query=any,contains,991001181099702656","Catalog Record")</f>
        <v>Catalog Record</v>
      </c>
      <c r="AT174" s="6" t="str">
        <f>HYPERLINK("http://www.worldcat.org/oclc/17108338","WorldCat Record")</f>
        <v>WorldCat Record</v>
      </c>
      <c r="AU174" s="3" t="s">
        <v>2155</v>
      </c>
      <c r="AV174" s="3" t="s">
        <v>2156</v>
      </c>
      <c r="AW174" s="3" t="s">
        <v>2157</v>
      </c>
      <c r="AX174" s="3" t="s">
        <v>2157</v>
      </c>
      <c r="AY174" s="3" t="s">
        <v>2158</v>
      </c>
      <c r="AZ174" s="3" t="s">
        <v>74</v>
      </c>
      <c r="BB174" s="3" t="s">
        <v>2159</v>
      </c>
      <c r="BC174" s="3" t="s">
        <v>2160</v>
      </c>
      <c r="BD174" s="3" t="s">
        <v>2161</v>
      </c>
    </row>
    <row r="175" spans="1:56" ht="57.75" customHeight="1" x14ac:dyDescent="0.25">
      <c r="A175" s="7" t="s">
        <v>59</v>
      </c>
      <c r="B175" s="2" t="s">
        <v>2162</v>
      </c>
      <c r="C175" s="2" t="s">
        <v>2163</v>
      </c>
      <c r="D175" s="2" t="s">
        <v>2164</v>
      </c>
      <c r="F175" s="3" t="s">
        <v>59</v>
      </c>
      <c r="G175" s="3" t="s">
        <v>60</v>
      </c>
      <c r="H175" s="3" t="s">
        <v>59</v>
      </c>
      <c r="I175" s="3" t="s">
        <v>59</v>
      </c>
      <c r="J175" s="3" t="s">
        <v>61</v>
      </c>
      <c r="L175" s="2" t="s">
        <v>2165</v>
      </c>
      <c r="M175" s="3" t="s">
        <v>835</v>
      </c>
      <c r="O175" s="3" t="s">
        <v>64</v>
      </c>
      <c r="P175" s="3" t="s">
        <v>405</v>
      </c>
      <c r="R175" s="3" t="s">
        <v>67</v>
      </c>
      <c r="S175" s="4">
        <v>10</v>
      </c>
      <c r="T175" s="4">
        <v>10</v>
      </c>
      <c r="U175" s="5" t="s">
        <v>2127</v>
      </c>
      <c r="V175" s="5" t="s">
        <v>2127</v>
      </c>
      <c r="W175" s="5" t="s">
        <v>1199</v>
      </c>
      <c r="X175" s="5" t="s">
        <v>1199</v>
      </c>
      <c r="Y175" s="4">
        <v>510</v>
      </c>
      <c r="Z175" s="4">
        <v>341</v>
      </c>
      <c r="AA175" s="4">
        <v>353</v>
      </c>
      <c r="AB175" s="4">
        <v>5</v>
      </c>
      <c r="AC175" s="4">
        <v>5</v>
      </c>
      <c r="AD175" s="4">
        <v>13</v>
      </c>
      <c r="AE175" s="4">
        <v>13</v>
      </c>
      <c r="AF175" s="4">
        <v>2</v>
      </c>
      <c r="AG175" s="4">
        <v>2</v>
      </c>
      <c r="AH175" s="4">
        <v>4</v>
      </c>
      <c r="AI175" s="4">
        <v>4</v>
      </c>
      <c r="AJ175" s="4">
        <v>5</v>
      </c>
      <c r="AK175" s="4">
        <v>5</v>
      </c>
      <c r="AL175" s="4">
        <v>4</v>
      </c>
      <c r="AM175" s="4">
        <v>4</v>
      </c>
      <c r="AN175" s="4">
        <v>0</v>
      </c>
      <c r="AO175" s="4">
        <v>0</v>
      </c>
      <c r="AP175" s="3" t="s">
        <v>59</v>
      </c>
      <c r="AQ175" s="3" t="s">
        <v>59</v>
      </c>
      <c r="AS175" s="6" t="str">
        <f>HYPERLINK("https://creighton-primo.hosted.exlibrisgroup.com/primo-explore/search?tab=default_tab&amp;search_scope=EVERYTHING&amp;vid=01CRU&amp;lang=en_US&amp;offset=0&amp;query=any,contains,991004741159702656","Catalog Record")</f>
        <v>Catalog Record</v>
      </c>
      <c r="AT175" s="6" t="str">
        <f>HYPERLINK("http://www.worldcat.org/oclc/4883629","WorldCat Record")</f>
        <v>WorldCat Record</v>
      </c>
      <c r="AU175" s="3" t="s">
        <v>2166</v>
      </c>
      <c r="AV175" s="3" t="s">
        <v>2167</v>
      </c>
      <c r="AW175" s="3" t="s">
        <v>2168</v>
      </c>
      <c r="AX175" s="3" t="s">
        <v>2168</v>
      </c>
      <c r="AY175" s="3" t="s">
        <v>2169</v>
      </c>
      <c r="AZ175" s="3" t="s">
        <v>74</v>
      </c>
      <c r="BB175" s="3" t="s">
        <v>2170</v>
      </c>
      <c r="BC175" s="3" t="s">
        <v>2171</v>
      </c>
      <c r="BD175" s="3" t="s">
        <v>2172</v>
      </c>
    </row>
    <row r="176" spans="1:56" ht="57.75" customHeight="1" x14ac:dyDescent="0.25">
      <c r="A176" s="7" t="s">
        <v>59</v>
      </c>
      <c r="B176" s="2" t="s">
        <v>2173</v>
      </c>
      <c r="C176" s="2" t="s">
        <v>2174</v>
      </c>
      <c r="D176" s="2" t="s">
        <v>2175</v>
      </c>
      <c r="F176" s="3" t="s">
        <v>59</v>
      </c>
      <c r="G176" s="3" t="s">
        <v>60</v>
      </c>
      <c r="H176" s="3" t="s">
        <v>59</v>
      </c>
      <c r="I176" s="3" t="s">
        <v>69</v>
      </c>
      <c r="J176" s="3" t="s">
        <v>61</v>
      </c>
      <c r="K176" s="2" t="s">
        <v>2176</v>
      </c>
      <c r="L176" s="2" t="s">
        <v>2177</v>
      </c>
      <c r="M176" s="3" t="s">
        <v>864</v>
      </c>
      <c r="O176" s="3" t="s">
        <v>64</v>
      </c>
      <c r="P176" s="3" t="s">
        <v>2178</v>
      </c>
      <c r="Q176" s="2" t="s">
        <v>2179</v>
      </c>
      <c r="R176" s="3" t="s">
        <v>67</v>
      </c>
      <c r="S176" s="4">
        <v>7</v>
      </c>
      <c r="T176" s="4">
        <v>7</v>
      </c>
      <c r="U176" s="5" t="s">
        <v>2180</v>
      </c>
      <c r="V176" s="5" t="s">
        <v>2180</v>
      </c>
      <c r="W176" s="5" t="s">
        <v>2181</v>
      </c>
      <c r="X176" s="5" t="s">
        <v>2181</v>
      </c>
      <c r="Y176" s="4">
        <v>472</v>
      </c>
      <c r="Z176" s="4">
        <v>426</v>
      </c>
      <c r="AA176" s="4">
        <v>552</v>
      </c>
      <c r="AB176" s="4">
        <v>4</v>
      </c>
      <c r="AC176" s="4">
        <v>4</v>
      </c>
      <c r="AD176" s="4">
        <v>16</v>
      </c>
      <c r="AE176" s="4">
        <v>21</v>
      </c>
      <c r="AF176" s="4">
        <v>4</v>
      </c>
      <c r="AG176" s="4">
        <v>5</v>
      </c>
      <c r="AH176" s="4">
        <v>2</v>
      </c>
      <c r="AI176" s="4">
        <v>5</v>
      </c>
      <c r="AJ176" s="4">
        <v>9</v>
      </c>
      <c r="AK176" s="4">
        <v>14</v>
      </c>
      <c r="AL176" s="4">
        <v>3</v>
      </c>
      <c r="AM176" s="4">
        <v>3</v>
      </c>
      <c r="AN176" s="4">
        <v>0</v>
      </c>
      <c r="AO176" s="4">
        <v>0</v>
      </c>
      <c r="AP176" s="3" t="s">
        <v>59</v>
      </c>
      <c r="AQ176" s="3" t="s">
        <v>59</v>
      </c>
      <c r="AS176" s="6" t="str">
        <f>HYPERLINK("https://creighton-primo.hosted.exlibrisgroup.com/primo-explore/search?tab=default_tab&amp;search_scope=EVERYTHING&amp;vid=01CRU&amp;lang=en_US&amp;offset=0&amp;query=any,contains,991000216019702656","Catalog Record")</f>
        <v>Catalog Record</v>
      </c>
      <c r="AT176" s="6" t="str">
        <f>HYPERLINK("http://www.worldcat.org/oclc/66802","WorldCat Record")</f>
        <v>WorldCat Record</v>
      </c>
      <c r="AU176" s="3" t="s">
        <v>2182</v>
      </c>
      <c r="AV176" s="3" t="s">
        <v>2183</v>
      </c>
      <c r="AW176" s="3" t="s">
        <v>2184</v>
      </c>
      <c r="AX176" s="3" t="s">
        <v>2184</v>
      </c>
      <c r="AY176" s="3" t="s">
        <v>2185</v>
      </c>
      <c r="AZ176" s="3" t="s">
        <v>74</v>
      </c>
      <c r="BC176" s="3" t="s">
        <v>2186</v>
      </c>
      <c r="BD176" s="3" t="s">
        <v>2187</v>
      </c>
    </row>
    <row r="177" spans="1:56" ht="57.75" customHeight="1" x14ac:dyDescent="0.25">
      <c r="A177" s="7" t="s">
        <v>59</v>
      </c>
      <c r="B177" s="2" t="s">
        <v>2188</v>
      </c>
      <c r="C177" s="2" t="s">
        <v>2189</v>
      </c>
      <c r="D177" s="2" t="s">
        <v>2190</v>
      </c>
      <c r="F177" s="3" t="s">
        <v>59</v>
      </c>
      <c r="G177" s="3" t="s">
        <v>60</v>
      </c>
      <c r="H177" s="3" t="s">
        <v>59</v>
      </c>
      <c r="I177" s="3" t="s">
        <v>69</v>
      </c>
      <c r="J177" s="3" t="s">
        <v>61</v>
      </c>
      <c r="L177" s="2" t="s">
        <v>2191</v>
      </c>
      <c r="M177" s="3" t="s">
        <v>540</v>
      </c>
      <c r="N177" s="2" t="s">
        <v>877</v>
      </c>
      <c r="O177" s="3" t="s">
        <v>64</v>
      </c>
      <c r="P177" s="3" t="s">
        <v>405</v>
      </c>
      <c r="R177" s="3" t="s">
        <v>67</v>
      </c>
      <c r="S177" s="4">
        <v>6</v>
      </c>
      <c r="T177" s="4">
        <v>6</v>
      </c>
      <c r="U177" s="5" t="s">
        <v>2127</v>
      </c>
      <c r="V177" s="5" t="s">
        <v>2127</v>
      </c>
      <c r="W177" s="5" t="s">
        <v>1199</v>
      </c>
      <c r="X177" s="5" t="s">
        <v>1199</v>
      </c>
      <c r="Y177" s="4">
        <v>169</v>
      </c>
      <c r="Z177" s="4">
        <v>157</v>
      </c>
      <c r="AA177" s="4">
        <v>552</v>
      </c>
      <c r="AB177" s="4">
        <v>2</v>
      </c>
      <c r="AC177" s="4">
        <v>4</v>
      </c>
      <c r="AD177" s="4">
        <v>7</v>
      </c>
      <c r="AE177" s="4">
        <v>21</v>
      </c>
      <c r="AF177" s="4">
        <v>1</v>
      </c>
      <c r="AG177" s="4">
        <v>5</v>
      </c>
      <c r="AH177" s="4">
        <v>2</v>
      </c>
      <c r="AI177" s="4">
        <v>5</v>
      </c>
      <c r="AJ177" s="4">
        <v>6</v>
      </c>
      <c r="AK177" s="4">
        <v>14</v>
      </c>
      <c r="AL177" s="4">
        <v>1</v>
      </c>
      <c r="AM177" s="4">
        <v>3</v>
      </c>
      <c r="AN177" s="4">
        <v>0</v>
      </c>
      <c r="AO177" s="4">
        <v>0</v>
      </c>
      <c r="AP177" s="3" t="s">
        <v>59</v>
      </c>
      <c r="AQ177" s="3" t="s">
        <v>59</v>
      </c>
      <c r="AS177" s="6" t="str">
        <f>HYPERLINK("https://creighton-primo.hosted.exlibrisgroup.com/primo-explore/search?tab=default_tab&amp;search_scope=EVERYTHING&amp;vid=01CRU&amp;lang=en_US&amp;offset=0&amp;query=any,contains,991005159069702656","Catalog Record")</f>
        <v>Catalog Record</v>
      </c>
      <c r="AT177" s="6" t="str">
        <f>HYPERLINK("http://www.worldcat.org/oclc/7772892","WorldCat Record")</f>
        <v>WorldCat Record</v>
      </c>
      <c r="AU177" s="3" t="s">
        <v>2182</v>
      </c>
      <c r="AV177" s="3" t="s">
        <v>2192</v>
      </c>
      <c r="AW177" s="3" t="s">
        <v>2193</v>
      </c>
      <c r="AX177" s="3" t="s">
        <v>2193</v>
      </c>
      <c r="AY177" s="3" t="s">
        <v>2194</v>
      </c>
      <c r="AZ177" s="3" t="s">
        <v>74</v>
      </c>
      <c r="BC177" s="3" t="s">
        <v>2195</v>
      </c>
      <c r="BD177" s="3" t="s">
        <v>2196</v>
      </c>
    </row>
    <row r="178" spans="1:56" ht="57.75" customHeight="1" x14ac:dyDescent="0.25">
      <c r="A178" s="7" t="s">
        <v>59</v>
      </c>
      <c r="B178" s="2" t="s">
        <v>2197</v>
      </c>
      <c r="C178" s="2" t="s">
        <v>2198</v>
      </c>
      <c r="D178" s="2" t="s">
        <v>2199</v>
      </c>
      <c r="F178" s="3" t="s">
        <v>69</v>
      </c>
      <c r="G178" s="3" t="s">
        <v>60</v>
      </c>
      <c r="H178" s="3" t="s">
        <v>69</v>
      </c>
      <c r="I178" s="3" t="s">
        <v>59</v>
      </c>
      <c r="J178" s="3" t="s">
        <v>61</v>
      </c>
      <c r="K178" s="2" t="s">
        <v>2200</v>
      </c>
      <c r="L178" s="2" t="s">
        <v>2201</v>
      </c>
      <c r="M178" s="3" t="s">
        <v>2202</v>
      </c>
      <c r="O178" s="3" t="s">
        <v>64</v>
      </c>
      <c r="P178" s="3" t="s">
        <v>2203</v>
      </c>
      <c r="R178" s="3" t="s">
        <v>67</v>
      </c>
      <c r="S178" s="4">
        <v>0</v>
      </c>
      <c r="T178" s="4">
        <v>1</v>
      </c>
      <c r="V178" s="5" t="s">
        <v>2060</v>
      </c>
      <c r="W178" s="5" t="s">
        <v>575</v>
      </c>
      <c r="X178" s="5" t="s">
        <v>575</v>
      </c>
      <c r="Y178" s="4">
        <v>417</v>
      </c>
      <c r="Z178" s="4">
        <v>343</v>
      </c>
      <c r="AA178" s="4">
        <v>611</v>
      </c>
      <c r="AB178" s="4">
        <v>4</v>
      </c>
      <c r="AC178" s="4">
        <v>6</v>
      </c>
      <c r="AD178" s="4">
        <v>15</v>
      </c>
      <c r="AE178" s="4">
        <v>24</v>
      </c>
      <c r="AF178" s="4">
        <v>3</v>
      </c>
      <c r="AG178" s="4">
        <v>9</v>
      </c>
      <c r="AH178" s="4">
        <v>3</v>
      </c>
      <c r="AI178" s="4">
        <v>4</v>
      </c>
      <c r="AJ178" s="4">
        <v>10</v>
      </c>
      <c r="AK178" s="4">
        <v>12</v>
      </c>
      <c r="AL178" s="4">
        <v>3</v>
      </c>
      <c r="AM178" s="4">
        <v>5</v>
      </c>
      <c r="AN178" s="4">
        <v>0</v>
      </c>
      <c r="AO178" s="4">
        <v>0</v>
      </c>
      <c r="AP178" s="3" t="s">
        <v>59</v>
      </c>
      <c r="AQ178" s="3" t="s">
        <v>69</v>
      </c>
      <c r="AR178" s="6" t="str">
        <f>HYPERLINK("http://catalog.hathitrust.org/Record/008335158","HathiTrust Record")</f>
        <v>HathiTrust Record</v>
      </c>
      <c r="AS178" s="6" t="str">
        <f>HYPERLINK("https://creighton-primo.hosted.exlibrisgroup.com/primo-explore/search?tab=default_tab&amp;search_scope=EVERYTHING&amp;vid=01CRU&amp;lang=en_US&amp;offset=0&amp;query=any,contains,991000648669702656","Catalog Record")</f>
        <v>Catalog Record</v>
      </c>
      <c r="AT178" s="6" t="str">
        <f>HYPERLINK("http://www.worldcat.org/oclc/112210","WorldCat Record")</f>
        <v>WorldCat Record</v>
      </c>
      <c r="AU178" s="3" t="s">
        <v>2204</v>
      </c>
      <c r="AV178" s="3" t="s">
        <v>2205</v>
      </c>
      <c r="AW178" s="3" t="s">
        <v>2206</v>
      </c>
      <c r="AX178" s="3" t="s">
        <v>2206</v>
      </c>
      <c r="AY178" s="3" t="s">
        <v>2207</v>
      </c>
      <c r="AZ178" s="3" t="s">
        <v>74</v>
      </c>
      <c r="BB178" s="3" t="s">
        <v>2208</v>
      </c>
      <c r="BC178" s="3" t="s">
        <v>2209</v>
      </c>
      <c r="BD178" s="3" t="s">
        <v>2210</v>
      </c>
    </row>
    <row r="179" spans="1:56" ht="57.75" customHeight="1" x14ac:dyDescent="0.25">
      <c r="A179" s="7" t="s">
        <v>59</v>
      </c>
      <c r="B179" s="2" t="s">
        <v>2211</v>
      </c>
      <c r="C179" s="2" t="s">
        <v>2212</v>
      </c>
      <c r="D179" s="2" t="s">
        <v>2199</v>
      </c>
      <c r="E179" s="3" t="s">
        <v>2213</v>
      </c>
      <c r="F179" s="3" t="s">
        <v>69</v>
      </c>
      <c r="G179" s="3" t="s">
        <v>60</v>
      </c>
      <c r="H179" s="3" t="s">
        <v>59</v>
      </c>
      <c r="I179" s="3" t="s">
        <v>59</v>
      </c>
      <c r="J179" s="3" t="s">
        <v>61</v>
      </c>
      <c r="K179" s="2" t="s">
        <v>2200</v>
      </c>
      <c r="L179" s="2" t="s">
        <v>2201</v>
      </c>
      <c r="M179" s="3" t="s">
        <v>2202</v>
      </c>
      <c r="O179" s="3" t="s">
        <v>64</v>
      </c>
      <c r="P179" s="3" t="s">
        <v>2203</v>
      </c>
      <c r="R179" s="3" t="s">
        <v>67</v>
      </c>
      <c r="S179" s="4">
        <v>1</v>
      </c>
      <c r="T179" s="4">
        <v>1</v>
      </c>
      <c r="U179" s="5" t="s">
        <v>2060</v>
      </c>
      <c r="V179" s="5" t="s">
        <v>2060</v>
      </c>
      <c r="W179" s="5" t="s">
        <v>575</v>
      </c>
      <c r="X179" s="5" t="s">
        <v>575</v>
      </c>
      <c r="Y179" s="4">
        <v>417</v>
      </c>
      <c r="Z179" s="4">
        <v>343</v>
      </c>
      <c r="AA179" s="4">
        <v>611</v>
      </c>
      <c r="AB179" s="4">
        <v>4</v>
      </c>
      <c r="AC179" s="4">
        <v>6</v>
      </c>
      <c r="AD179" s="4">
        <v>15</v>
      </c>
      <c r="AE179" s="4">
        <v>24</v>
      </c>
      <c r="AF179" s="4">
        <v>3</v>
      </c>
      <c r="AG179" s="4">
        <v>9</v>
      </c>
      <c r="AH179" s="4">
        <v>3</v>
      </c>
      <c r="AI179" s="4">
        <v>4</v>
      </c>
      <c r="AJ179" s="4">
        <v>10</v>
      </c>
      <c r="AK179" s="4">
        <v>12</v>
      </c>
      <c r="AL179" s="4">
        <v>3</v>
      </c>
      <c r="AM179" s="4">
        <v>5</v>
      </c>
      <c r="AN179" s="4">
        <v>0</v>
      </c>
      <c r="AO179" s="4">
        <v>0</v>
      </c>
      <c r="AP179" s="3" t="s">
        <v>59</v>
      </c>
      <c r="AQ179" s="3" t="s">
        <v>69</v>
      </c>
      <c r="AR179" s="6" t="str">
        <f>HYPERLINK("http://catalog.hathitrust.org/Record/008335158","HathiTrust Record")</f>
        <v>HathiTrust Record</v>
      </c>
      <c r="AS179" s="6" t="str">
        <f>HYPERLINK("https://creighton-primo.hosted.exlibrisgroup.com/primo-explore/search?tab=default_tab&amp;search_scope=EVERYTHING&amp;vid=01CRU&amp;lang=en_US&amp;offset=0&amp;query=any,contains,991000648669702656","Catalog Record")</f>
        <v>Catalog Record</v>
      </c>
      <c r="AT179" s="6" t="str">
        <f>HYPERLINK("http://www.worldcat.org/oclc/112210","WorldCat Record")</f>
        <v>WorldCat Record</v>
      </c>
      <c r="AU179" s="3" t="s">
        <v>2204</v>
      </c>
      <c r="AV179" s="3" t="s">
        <v>2205</v>
      </c>
      <c r="AW179" s="3" t="s">
        <v>2206</v>
      </c>
      <c r="AX179" s="3" t="s">
        <v>2206</v>
      </c>
      <c r="AY179" s="3" t="s">
        <v>2207</v>
      </c>
      <c r="AZ179" s="3" t="s">
        <v>74</v>
      </c>
      <c r="BB179" s="3" t="s">
        <v>2208</v>
      </c>
      <c r="BC179" s="3" t="s">
        <v>2214</v>
      </c>
      <c r="BD179" s="3" t="s">
        <v>2215</v>
      </c>
    </row>
    <row r="180" spans="1:56" ht="57.75" customHeight="1" x14ac:dyDescent="0.25">
      <c r="A180" s="7" t="s">
        <v>59</v>
      </c>
      <c r="B180" s="2" t="s">
        <v>2216</v>
      </c>
      <c r="C180" s="2" t="s">
        <v>2217</v>
      </c>
      <c r="D180" s="2" t="s">
        <v>2218</v>
      </c>
      <c r="F180" s="3" t="s">
        <v>59</v>
      </c>
      <c r="G180" s="3" t="s">
        <v>60</v>
      </c>
      <c r="H180" s="3" t="s">
        <v>59</v>
      </c>
      <c r="I180" s="3" t="s">
        <v>59</v>
      </c>
      <c r="J180" s="3" t="s">
        <v>61</v>
      </c>
      <c r="K180" s="2" t="s">
        <v>2219</v>
      </c>
      <c r="L180" s="2" t="s">
        <v>2220</v>
      </c>
      <c r="M180" s="3" t="s">
        <v>1893</v>
      </c>
      <c r="O180" s="3" t="s">
        <v>64</v>
      </c>
      <c r="P180" s="3" t="s">
        <v>405</v>
      </c>
      <c r="R180" s="3" t="s">
        <v>67</v>
      </c>
      <c r="S180" s="4">
        <v>3</v>
      </c>
      <c r="T180" s="4">
        <v>3</v>
      </c>
      <c r="U180" s="5" t="s">
        <v>1089</v>
      </c>
      <c r="V180" s="5" t="s">
        <v>1089</v>
      </c>
      <c r="W180" s="5" t="s">
        <v>575</v>
      </c>
      <c r="X180" s="5" t="s">
        <v>575</v>
      </c>
      <c r="Y180" s="4">
        <v>257</v>
      </c>
      <c r="Z180" s="4">
        <v>205</v>
      </c>
      <c r="AA180" s="4">
        <v>556</v>
      </c>
      <c r="AB180" s="4">
        <v>2</v>
      </c>
      <c r="AC180" s="4">
        <v>4</v>
      </c>
      <c r="AD180" s="4">
        <v>5</v>
      </c>
      <c r="AE180" s="4">
        <v>21</v>
      </c>
      <c r="AF180" s="4">
        <v>3</v>
      </c>
      <c r="AG180" s="4">
        <v>11</v>
      </c>
      <c r="AH180" s="4">
        <v>1</v>
      </c>
      <c r="AI180" s="4">
        <v>4</v>
      </c>
      <c r="AJ180" s="4">
        <v>1</v>
      </c>
      <c r="AK180" s="4">
        <v>9</v>
      </c>
      <c r="AL180" s="4">
        <v>1</v>
      </c>
      <c r="AM180" s="4">
        <v>3</v>
      </c>
      <c r="AN180" s="4">
        <v>0</v>
      </c>
      <c r="AO180" s="4">
        <v>0</v>
      </c>
      <c r="AP180" s="3" t="s">
        <v>59</v>
      </c>
      <c r="AQ180" s="3" t="s">
        <v>69</v>
      </c>
      <c r="AR180" s="6" t="str">
        <f>HYPERLINK("http://catalog.hathitrust.org/Record/001499273","HathiTrust Record")</f>
        <v>HathiTrust Record</v>
      </c>
      <c r="AS180" s="6" t="str">
        <f>HYPERLINK("https://creighton-primo.hosted.exlibrisgroup.com/primo-explore/search?tab=default_tab&amp;search_scope=EVERYTHING&amp;vid=01CRU&amp;lang=en_US&amp;offset=0&amp;query=any,contains,991002226839702656","Catalog Record")</f>
        <v>Catalog Record</v>
      </c>
      <c r="AT180" s="6" t="str">
        <f>HYPERLINK("http://www.worldcat.org/oclc/291925","WorldCat Record")</f>
        <v>WorldCat Record</v>
      </c>
      <c r="AU180" s="3" t="s">
        <v>2221</v>
      </c>
      <c r="AV180" s="3" t="s">
        <v>2222</v>
      </c>
      <c r="AW180" s="3" t="s">
        <v>2223</v>
      </c>
      <c r="AX180" s="3" t="s">
        <v>2223</v>
      </c>
      <c r="AY180" s="3" t="s">
        <v>2224</v>
      </c>
      <c r="AZ180" s="3" t="s">
        <v>74</v>
      </c>
      <c r="BC180" s="3" t="s">
        <v>2225</v>
      </c>
      <c r="BD180" s="3" t="s">
        <v>2226</v>
      </c>
    </row>
    <row r="181" spans="1:56" ht="57.75" customHeight="1" x14ac:dyDescent="0.25">
      <c r="A181" s="7" t="s">
        <v>59</v>
      </c>
      <c r="B181" s="2" t="s">
        <v>2227</v>
      </c>
      <c r="C181" s="2" t="s">
        <v>2228</v>
      </c>
      <c r="D181" s="2" t="s">
        <v>2229</v>
      </c>
      <c r="F181" s="3" t="s">
        <v>59</v>
      </c>
      <c r="G181" s="3" t="s">
        <v>60</v>
      </c>
      <c r="H181" s="3" t="s">
        <v>59</v>
      </c>
      <c r="I181" s="3" t="s">
        <v>59</v>
      </c>
      <c r="J181" s="3" t="s">
        <v>61</v>
      </c>
      <c r="L181" s="2" t="s">
        <v>2230</v>
      </c>
      <c r="M181" s="3" t="s">
        <v>297</v>
      </c>
      <c r="O181" s="3" t="s">
        <v>64</v>
      </c>
      <c r="P181" s="3" t="s">
        <v>405</v>
      </c>
      <c r="R181" s="3" t="s">
        <v>67</v>
      </c>
      <c r="S181" s="4">
        <v>3</v>
      </c>
      <c r="T181" s="4">
        <v>3</v>
      </c>
      <c r="U181" s="5" t="s">
        <v>1907</v>
      </c>
      <c r="V181" s="5" t="s">
        <v>1907</v>
      </c>
      <c r="W181" s="5" t="s">
        <v>2231</v>
      </c>
      <c r="X181" s="5" t="s">
        <v>2231</v>
      </c>
      <c r="Y181" s="4">
        <v>189</v>
      </c>
      <c r="Z181" s="4">
        <v>134</v>
      </c>
      <c r="AA181" s="4">
        <v>135</v>
      </c>
      <c r="AB181" s="4">
        <v>1</v>
      </c>
      <c r="AC181" s="4">
        <v>1</v>
      </c>
      <c r="AD181" s="4">
        <v>6</v>
      </c>
      <c r="AE181" s="4">
        <v>6</v>
      </c>
      <c r="AF181" s="4">
        <v>3</v>
      </c>
      <c r="AG181" s="4">
        <v>3</v>
      </c>
      <c r="AH181" s="4">
        <v>1</v>
      </c>
      <c r="AI181" s="4">
        <v>1</v>
      </c>
      <c r="AJ181" s="4">
        <v>4</v>
      </c>
      <c r="AK181" s="4">
        <v>4</v>
      </c>
      <c r="AL181" s="4">
        <v>0</v>
      </c>
      <c r="AM181" s="4">
        <v>0</v>
      </c>
      <c r="AN181" s="4">
        <v>0</v>
      </c>
      <c r="AO181" s="4">
        <v>0</v>
      </c>
      <c r="AP181" s="3" t="s">
        <v>59</v>
      </c>
      <c r="AQ181" s="3" t="s">
        <v>69</v>
      </c>
      <c r="AR181" s="6" t="str">
        <f>HYPERLINK("http://catalog.hathitrust.org/Record/004005767","HathiTrust Record")</f>
        <v>HathiTrust Record</v>
      </c>
      <c r="AS181" s="6" t="str">
        <f>HYPERLINK("https://creighton-primo.hosted.exlibrisgroup.com/primo-explore/search?tab=default_tab&amp;search_scope=EVERYTHING&amp;vid=01CRU&amp;lang=en_US&amp;offset=0&amp;query=any,contains,991003511269702656","Catalog Record")</f>
        <v>Catalog Record</v>
      </c>
      <c r="AT181" s="6" t="str">
        <f>HYPERLINK("http://www.worldcat.org/oclc/39368506","WorldCat Record")</f>
        <v>WorldCat Record</v>
      </c>
      <c r="AU181" s="3" t="s">
        <v>2232</v>
      </c>
      <c r="AV181" s="3" t="s">
        <v>2233</v>
      </c>
      <c r="AW181" s="3" t="s">
        <v>2234</v>
      </c>
      <c r="AX181" s="3" t="s">
        <v>2234</v>
      </c>
      <c r="AY181" s="3" t="s">
        <v>2235</v>
      </c>
      <c r="AZ181" s="3" t="s">
        <v>74</v>
      </c>
      <c r="BB181" s="3" t="s">
        <v>2236</v>
      </c>
      <c r="BC181" s="3" t="s">
        <v>2237</v>
      </c>
      <c r="BD181" s="3" t="s">
        <v>2238</v>
      </c>
    </row>
    <row r="182" spans="1:56" ht="57.75" customHeight="1" x14ac:dyDescent="0.25">
      <c r="A182" s="7" t="s">
        <v>59</v>
      </c>
      <c r="B182" s="2" t="s">
        <v>2239</v>
      </c>
      <c r="C182" s="2" t="s">
        <v>2240</v>
      </c>
      <c r="D182" s="2" t="s">
        <v>2241</v>
      </c>
      <c r="E182" s="3" t="s">
        <v>2242</v>
      </c>
      <c r="F182" s="3" t="s">
        <v>69</v>
      </c>
      <c r="G182" s="3" t="s">
        <v>60</v>
      </c>
      <c r="H182" s="3" t="s">
        <v>59</v>
      </c>
      <c r="I182" s="3" t="s">
        <v>59</v>
      </c>
      <c r="J182" s="3" t="s">
        <v>61</v>
      </c>
      <c r="L182" s="2" t="s">
        <v>2243</v>
      </c>
      <c r="M182" s="3" t="s">
        <v>2244</v>
      </c>
      <c r="O182" s="3" t="s">
        <v>64</v>
      </c>
      <c r="P182" s="3" t="s">
        <v>467</v>
      </c>
      <c r="R182" s="3" t="s">
        <v>67</v>
      </c>
      <c r="S182" s="4">
        <v>0</v>
      </c>
      <c r="T182" s="4">
        <v>18</v>
      </c>
      <c r="V182" s="5" t="s">
        <v>2245</v>
      </c>
      <c r="W182" s="5" t="s">
        <v>851</v>
      </c>
      <c r="X182" s="5" t="s">
        <v>2246</v>
      </c>
      <c r="Y182" s="4">
        <v>470</v>
      </c>
      <c r="Z182" s="4">
        <v>396</v>
      </c>
      <c r="AA182" s="4">
        <v>409</v>
      </c>
      <c r="AB182" s="4">
        <v>2</v>
      </c>
      <c r="AC182" s="4">
        <v>2</v>
      </c>
      <c r="AD182" s="4">
        <v>18</v>
      </c>
      <c r="AE182" s="4">
        <v>18</v>
      </c>
      <c r="AF182" s="4">
        <v>8</v>
      </c>
      <c r="AG182" s="4">
        <v>8</v>
      </c>
      <c r="AH182" s="4">
        <v>5</v>
      </c>
      <c r="AI182" s="4">
        <v>5</v>
      </c>
      <c r="AJ182" s="4">
        <v>8</v>
      </c>
      <c r="AK182" s="4">
        <v>8</v>
      </c>
      <c r="AL182" s="4">
        <v>1</v>
      </c>
      <c r="AM182" s="4">
        <v>1</v>
      </c>
      <c r="AN182" s="4">
        <v>0</v>
      </c>
      <c r="AO182" s="4">
        <v>0</v>
      </c>
      <c r="AP182" s="3" t="s">
        <v>59</v>
      </c>
      <c r="AQ182" s="3" t="s">
        <v>69</v>
      </c>
      <c r="AR182" s="6" t="str">
        <f t="shared" ref="AR182:AR199" si="3">HYPERLINK("http://catalog.hathitrust.org/Record/002234921","HathiTrust Record")</f>
        <v>HathiTrust Record</v>
      </c>
      <c r="AS182" s="6" t="str">
        <f t="shared" ref="AS182:AS199" si="4">HYPERLINK("https://creighton-primo.hosted.exlibrisgroup.com/primo-explore/search?tab=default_tab&amp;search_scope=EVERYTHING&amp;vid=01CRU&amp;lang=en_US&amp;offset=0&amp;query=any,contains,991001496759702656","Catalog Record")</f>
        <v>Catalog Record</v>
      </c>
      <c r="AT182" s="6" t="str">
        <f t="shared" ref="AT182:AT199" si="5">HYPERLINK("http://www.worldcat.org/oclc/19774404","WorldCat Record")</f>
        <v>WorldCat Record</v>
      </c>
      <c r="AU182" s="3" t="s">
        <v>2247</v>
      </c>
      <c r="AV182" s="3" t="s">
        <v>2248</v>
      </c>
      <c r="AW182" s="3" t="s">
        <v>2249</v>
      </c>
      <c r="AX182" s="3" t="s">
        <v>2249</v>
      </c>
      <c r="AY182" s="3" t="s">
        <v>2250</v>
      </c>
      <c r="AZ182" s="3" t="s">
        <v>74</v>
      </c>
      <c r="BB182" s="3" t="s">
        <v>2251</v>
      </c>
      <c r="BC182" s="3" t="s">
        <v>2252</v>
      </c>
      <c r="BD182" s="3" t="s">
        <v>2253</v>
      </c>
    </row>
    <row r="183" spans="1:56" ht="57.75" customHeight="1" x14ac:dyDescent="0.25">
      <c r="A183" s="7" t="s">
        <v>59</v>
      </c>
      <c r="B183" s="2" t="s">
        <v>2239</v>
      </c>
      <c r="C183" s="2" t="s">
        <v>2240</v>
      </c>
      <c r="D183" s="2" t="s">
        <v>2241</v>
      </c>
      <c r="E183" s="3" t="s">
        <v>2254</v>
      </c>
      <c r="F183" s="3" t="s">
        <v>69</v>
      </c>
      <c r="G183" s="3" t="s">
        <v>60</v>
      </c>
      <c r="H183" s="3" t="s">
        <v>59</v>
      </c>
      <c r="I183" s="3" t="s">
        <v>59</v>
      </c>
      <c r="J183" s="3" t="s">
        <v>61</v>
      </c>
      <c r="L183" s="2" t="s">
        <v>2243</v>
      </c>
      <c r="M183" s="3" t="s">
        <v>2244</v>
      </c>
      <c r="O183" s="3" t="s">
        <v>64</v>
      </c>
      <c r="P183" s="3" t="s">
        <v>467</v>
      </c>
      <c r="R183" s="3" t="s">
        <v>67</v>
      </c>
      <c r="S183" s="4">
        <v>2</v>
      </c>
      <c r="T183" s="4">
        <v>18</v>
      </c>
      <c r="U183" s="5" t="s">
        <v>934</v>
      </c>
      <c r="V183" s="5" t="s">
        <v>2245</v>
      </c>
      <c r="W183" s="5" t="s">
        <v>1717</v>
      </c>
      <c r="X183" s="5" t="s">
        <v>2246</v>
      </c>
      <c r="Y183" s="4">
        <v>470</v>
      </c>
      <c r="Z183" s="4">
        <v>396</v>
      </c>
      <c r="AA183" s="4">
        <v>409</v>
      </c>
      <c r="AB183" s="4">
        <v>2</v>
      </c>
      <c r="AC183" s="4">
        <v>2</v>
      </c>
      <c r="AD183" s="4">
        <v>18</v>
      </c>
      <c r="AE183" s="4">
        <v>18</v>
      </c>
      <c r="AF183" s="4">
        <v>8</v>
      </c>
      <c r="AG183" s="4">
        <v>8</v>
      </c>
      <c r="AH183" s="4">
        <v>5</v>
      </c>
      <c r="AI183" s="4">
        <v>5</v>
      </c>
      <c r="AJ183" s="4">
        <v>8</v>
      </c>
      <c r="AK183" s="4">
        <v>8</v>
      </c>
      <c r="AL183" s="4">
        <v>1</v>
      </c>
      <c r="AM183" s="4">
        <v>1</v>
      </c>
      <c r="AN183" s="4">
        <v>0</v>
      </c>
      <c r="AO183" s="4">
        <v>0</v>
      </c>
      <c r="AP183" s="3" t="s">
        <v>59</v>
      </c>
      <c r="AQ183" s="3" t="s">
        <v>69</v>
      </c>
      <c r="AR183" s="6" t="str">
        <f t="shared" si="3"/>
        <v>HathiTrust Record</v>
      </c>
      <c r="AS183" s="6" t="str">
        <f t="shared" si="4"/>
        <v>Catalog Record</v>
      </c>
      <c r="AT183" s="6" t="str">
        <f t="shared" si="5"/>
        <v>WorldCat Record</v>
      </c>
      <c r="AU183" s="3" t="s">
        <v>2247</v>
      </c>
      <c r="AV183" s="3" t="s">
        <v>2248</v>
      </c>
      <c r="AW183" s="3" t="s">
        <v>2249</v>
      </c>
      <c r="AX183" s="3" t="s">
        <v>2249</v>
      </c>
      <c r="AY183" s="3" t="s">
        <v>2250</v>
      </c>
      <c r="AZ183" s="3" t="s">
        <v>74</v>
      </c>
      <c r="BB183" s="3" t="s">
        <v>2251</v>
      </c>
      <c r="BC183" s="3" t="s">
        <v>2255</v>
      </c>
      <c r="BD183" s="3" t="s">
        <v>2256</v>
      </c>
    </row>
    <row r="184" spans="1:56" ht="57.75" customHeight="1" x14ac:dyDescent="0.25">
      <c r="A184" s="7" t="s">
        <v>59</v>
      </c>
      <c r="B184" s="2" t="s">
        <v>2239</v>
      </c>
      <c r="C184" s="2" t="s">
        <v>2240</v>
      </c>
      <c r="D184" s="2" t="s">
        <v>2241</v>
      </c>
      <c r="E184" s="3" t="s">
        <v>2257</v>
      </c>
      <c r="F184" s="3" t="s">
        <v>69</v>
      </c>
      <c r="G184" s="3" t="s">
        <v>60</v>
      </c>
      <c r="H184" s="3" t="s">
        <v>59</v>
      </c>
      <c r="I184" s="3" t="s">
        <v>59</v>
      </c>
      <c r="J184" s="3" t="s">
        <v>61</v>
      </c>
      <c r="L184" s="2" t="s">
        <v>2243</v>
      </c>
      <c r="M184" s="3" t="s">
        <v>2244</v>
      </c>
      <c r="O184" s="3" t="s">
        <v>64</v>
      </c>
      <c r="P184" s="3" t="s">
        <v>467</v>
      </c>
      <c r="R184" s="3" t="s">
        <v>67</v>
      </c>
      <c r="S184" s="4">
        <v>0</v>
      </c>
      <c r="T184" s="4">
        <v>18</v>
      </c>
      <c r="V184" s="5" t="s">
        <v>2245</v>
      </c>
      <c r="W184" s="5" t="s">
        <v>2258</v>
      </c>
      <c r="X184" s="5" t="s">
        <v>2246</v>
      </c>
      <c r="Y184" s="4">
        <v>470</v>
      </c>
      <c r="Z184" s="4">
        <v>396</v>
      </c>
      <c r="AA184" s="4">
        <v>409</v>
      </c>
      <c r="AB184" s="4">
        <v>2</v>
      </c>
      <c r="AC184" s="4">
        <v>2</v>
      </c>
      <c r="AD184" s="4">
        <v>18</v>
      </c>
      <c r="AE184" s="4">
        <v>18</v>
      </c>
      <c r="AF184" s="4">
        <v>8</v>
      </c>
      <c r="AG184" s="4">
        <v>8</v>
      </c>
      <c r="AH184" s="4">
        <v>5</v>
      </c>
      <c r="AI184" s="4">
        <v>5</v>
      </c>
      <c r="AJ184" s="4">
        <v>8</v>
      </c>
      <c r="AK184" s="4">
        <v>8</v>
      </c>
      <c r="AL184" s="4">
        <v>1</v>
      </c>
      <c r="AM184" s="4">
        <v>1</v>
      </c>
      <c r="AN184" s="4">
        <v>0</v>
      </c>
      <c r="AO184" s="4">
        <v>0</v>
      </c>
      <c r="AP184" s="3" t="s">
        <v>59</v>
      </c>
      <c r="AQ184" s="3" t="s">
        <v>69</v>
      </c>
      <c r="AR184" s="6" t="str">
        <f t="shared" si="3"/>
        <v>HathiTrust Record</v>
      </c>
      <c r="AS184" s="6" t="str">
        <f t="shared" si="4"/>
        <v>Catalog Record</v>
      </c>
      <c r="AT184" s="6" t="str">
        <f t="shared" si="5"/>
        <v>WorldCat Record</v>
      </c>
      <c r="AU184" s="3" t="s">
        <v>2247</v>
      </c>
      <c r="AV184" s="3" t="s">
        <v>2248</v>
      </c>
      <c r="AW184" s="3" t="s">
        <v>2249</v>
      </c>
      <c r="AX184" s="3" t="s">
        <v>2249</v>
      </c>
      <c r="AY184" s="3" t="s">
        <v>2250</v>
      </c>
      <c r="AZ184" s="3" t="s">
        <v>74</v>
      </c>
      <c r="BB184" s="3" t="s">
        <v>2251</v>
      </c>
      <c r="BC184" s="3" t="s">
        <v>2259</v>
      </c>
      <c r="BD184" s="3" t="s">
        <v>2260</v>
      </c>
    </row>
    <row r="185" spans="1:56" ht="57.75" customHeight="1" x14ac:dyDescent="0.25">
      <c r="A185" s="7" t="s">
        <v>59</v>
      </c>
      <c r="B185" s="2" t="s">
        <v>2239</v>
      </c>
      <c r="C185" s="2" t="s">
        <v>2240</v>
      </c>
      <c r="D185" s="2" t="s">
        <v>2241</v>
      </c>
      <c r="E185" s="3" t="s">
        <v>2261</v>
      </c>
      <c r="F185" s="3" t="s">
        <v>69</v>
      </c>
      <c r="G185" s="3" t="s">
        <v>60</v>
      </c>
      <c r="H185" s="3" t="s">
        <v>59</v>
      </c>
      <c r="I185" s="3" t="s">
        <v>59</v>
      </c>
      <c r="J185" s="3" t="s">
        <v>61</v>
      </c>
      <c r="L185" s="2" t="s">
        <v>2243</v>
      </c>
      <c r="M185" s="3" t="s">
        <v>2244</v>
      </c>
      <c r="O185" s="3" t="s">
        <v>64</v>
      </c>
      <c r="P185" s="3" t="s">
        <v>467</v>
      </c>
      <c r="R185" s="3" t="s">
        <v>67</v>
      </c>
      <c r="S185" s="4">
        <v>0</v>
      </c>
      <c r="T185" s="4">
        <v>18</v>
      </c>
      <c r="V185" s="5" t="s">
        <v>2245</v>
      </c>
      <c r="W185" s="5" t="s">
        <v>2246</v>
      </c>
      <c r="X185" s="5" t="s">
        <v>2246</v>
      </c>
      <c r="Y185" s="4">
        <v>470</v>
      </c>
      <c r="Z185" s="4">
        <v>396</v>
      </c>
      <c r="AA185" s="4">
        <v>409</v>
      </c>
      <c r="AB185" s="4">
        <v>2</v>
      </c>
      <c r="AC185" s="4">
        <v>2</v>
      </c>
      <c r="AD185" s="4">
        <v>18</v>
      </c>
      <c r="AE185" s="4">
        <v>18</v>
      </c>
      <c r="AF185" s="4">
        <v>8</v>
      </c>
      <c r="AG185" s="4">
        <v>8</v>
      </c>
      <c r="AH185" s="4">
        <v>5</v>
      </c>
      <c r="AI185" s="4">
        <v>5</v>
      </c>
      <c r="AJ185" s="4">
        <v>8</v>
      </c>
      <c r="AK185" s="4">
        <v>8</v>
      </c>
      <c r="AL185" s="4">
        <v>1</v>
      </c>
      <c r="AM185" s="4">
        <v>1</v>
      </c>
      <c r="AN185" s="4">
        <v>0</v>
      </c>
      <c r="AO185" s="4">
        <v>0</v>
      </c>
      <c r="AP185" s="3" t="s">
        <v>59</v>
      </c>
      <c r="AQ185" s="3" t="s">
        <v>69</v>
      </c>
      <c r="AR185" s="6" t="str">
        <f t="shared" si="3"/>
        <v>HathiTrust Record</v>
      </c>
      <c r="AS185" s="6" t="str">
        <f t="shared" si="4"/>
        <v>Catalog Record</v>
      </c>
      <c r="AT185" s="6" t="str">
        <f t="shared" si="5"/>
        <v>WorldCat Record</v>
      </c>
      <c r="AU185" s="3" t="s">
        <v>2247</v>
      </c>
      <c r="AV185" s="3" t="s">
        <v>2248</v>
      </c>
      <c r="AW185" s="3" t="s">
        <v>2249</v>
      </c>
      <c r="AX185" s="3" t="s">
        <v>2249</v>
      </c>
      <c r="AY185" s="3" t="s">
        <v>2250</v>
      </c>
      <c r="AZ185" s="3" t="s">
        <v>74</v>
      </c>
      <c r="BB185" s="3" t="s">
        <v>2251</v>
      </c>
      <c r="BC185" s="3" t="s">
        <v>2262</v>
      </c>
      <c r="BD185" s="3" t="s">
        <v>2263</v>
      </c>
    </row>
    <row r="186" spans="1:56" ht="57.75" customHeight="1" x14ac:dyDescent="0.25">
      <c r="A186" s="7" t="s">
        <v>59</v>
      </c>
      <c r="B186" s="2" t="s">
        <v>2239</v>
      </c>
      <c r="C186" s="2" t="s">
        <v>2240</v>
      </c>
      <c r="D186" s="2" t="s">
        <v>2241</v>
      </c>
      <c r="E186" s="3" t="s">
        <v>2264</v>
      </c>
      <c r="F186" s="3" t="s">
        <v>69</v>
      </c>
      <c r="G186" s="3" t="s">
        <v>60</v>
      </c>
      <c r="H186" s="3" t="s">
        <v>59</v>
      </c>
      <c r="I186" s="3" t="s">
        <v>59</v>
      </c>
      <c r="J186" s="3" t="s">
        <v>61</v>
      </c>
      <c r="L186" s="2" t="s">
        <v>2243</v>
      </c>
      <c r="M186" s="3" t="s">
        <v>2244</v>
      </c>
      <c r="O186" s="3" t="s">
        <v>64</v>
      </c>
      <c r="P186" s="3" t="s">
        <v>467</v>
      </c>
      <c r="R186" s="3" t="s">
        <v>67</v>
      </c>
      <c r="S186" s="4">
        <v>0</v>
      </c>
      <c r="T186" s="4">
        <v>18</v>
      </c>
      <c r="V186" s="5" t="s">
        <v>2245</v>
      </c>
      <c r="W186" s="5" t="s">
        <v>2265</v>
      </c>
      <c r="X186" s="5" t="s">
        <v>2246</v>
      </c>
      <c r="Y186" s="4">
        <v>470</v>
      </c>
      <c r="Z186" s="4">
        <v>396</v>
      </c>
      <c r="AA186" s="4">
        <v>409</v>
      </c>
      <c r="AB186" s="4">
        <v>2</v>
      </c>
      <c r="AC186" s="4">
        <v>2</v>
      </c>
      <c r="AD186" s="4">
        <v>18</v>
      </c>
      <c r="AE186" s="4">
        <v>18</v>
      </c>
      <c r="AF186" s="4">
        <v>8</v>
      </c>
      <c r="AG186" s="4">
        <v>8</v>
      </c>
      <c r="AH186" s="4">
        <v>5</v>
      </c>
      <c r="AI186" s="4">
        <v>5</v>
      </c>
      <c r="AJ186" s="4">
        <v>8</v>
      </c>
      <c r="AK186" s="4">
        <v>8</v>
      </c>
      <c r="AL186" s="4">
        <v>1</v>
      </c>
      <c r="AM186" s="4">
        <v>1</v>
      </c>
      <c r="AN186" s="4">
        <v>0</v>
      </c>
      <c r="AO186" s="4">
        <v>0</v>
      </c>
      <c r="AP186" s="3" t="s">
        <v>59</v>
      </c>
      <c r="AQ186" s="3" t="s">
        <v>69</v>
      </c>
      <c r="AR186" s="6" t="str">
        <f t="shared" si="3"/>
        <v>HathiTrust Record</v>
      </c>
      <c r="AS186" s="6" t="str">
        <f t="shared" si="4"/>
        <v>Catalog Record</v>
      </c>
      <c r="AT186" s="6" t="str">
        <f t="shared" si="5"/>
        <v>WorldCat Record</v>
      </c>
      <c r="AU186" s="3" t="s">
        <v>2247</v>
      </c>
      <c r="AV186" s="3" t="s">
        <v>2248</v>
      </c>
      <c r="AW186" s="3" t="s">
        <v>2249</v>
      </c>
      <c r="AX186" s="3" t="s">
        <v>2249</v>
      </c>
      <c r="AY186" s="3" t="s">
        <v>2250</v>
      </c>
      <c r="AZ186" s="3" t="s">
        <v>74</v>
      </c>
      <c r="BB186" s="3" t="s">
        <v>2251</v>
      </c>
      <c r="BC186" s="3" t="s">
        <v>2266</v>
      </c>
      <c r="BD186" s="3" t="s">
        <v>2267</v>
      </c>
    </row>
    <row r="187" spans="1:56" ht="57.75" customHeight="1" x14ac:dyDescent="0.25">
      <c r="A187" s="7" t="s">
        <v>59</v>
      </c>
      <c r="B187" s="2" t="s">
        <v>2239</v>
      </c>
      <c r="C187" s="2" t="s">
        <v>2240</v>
      </c>
      <c r="D187" s="2" t="s">
        <v>2241</v>
      </c>
      <c r="E187" s="3" t="s">
        <v>2268</v>
      </c>
      <c r="F187" s="3" t="s">
        <v>69</v>
      </c>
      <c r="G187" s="3" t="s">
        <v>60</v>
      </c>
      <c r="H187" s="3" t="s">
        <v>59</v>
      </c>
      <c r="I187" s="3" t="s">
        <v>59</v>
      </c>
      <c r="J187" s="3" t="s">
        <v>61</v>
      </c>
      <c r="L187" s="2" t="s">
        <v>2243</v>
      </c>
      <c r="M187" s="3" t="s">
        <v>2244</v>
      </c>
      <c r="O187" s="3" t="s">
        <v>64</v>
      </c>
      <c r="P187" s="3" t="s">
        <v>467</v>
      </c>
      <c r="R187" s="3" t="s">
        <v>67</v>
      </c>
      <c r="S187" s="4">
        <v>1</v>
      </c>
      <c r="T187" s="4">
        <v>18</v>
      </c>
      <c r="U187" s="5" t="s">
        <v>1866</v>
      </c>
      <c r="V187" s="5" t="s">
        <v>2245</v>
      </c>
      <c r="W187" s="5" t="s">
        <v>2258</v>
      </c>
      <c r="X187" s="5" t="s">
        <v>2246</v>
      </c>
      <c r="Y187" s="4">
        <v>470</v>
      </c>
      <c r="Z187" s="4">
        <v>396</v>
      </c>
      <c r="AA187" s="4">
        <v>409</v>
      </c>
      <c r="AB187" s="4">
        <v>2</v>
      </c>
      <c r="AC187" s="4">
        <v>2</v>
      </c>
      <c r="AD187" s="4">
        <v>18</v>
      </c>
      <c r="AE187" s="4">
        <v>18</v>
      </c>
      <c r="AF187" s="4">
        <v>8</v>
      </c>
      <c r="AG187" s="4">
        <v>8</v>
      </c>
      <c r="AH187" s="4">
        <v>5</v>
      </c>
      <c r="AI187" s="4">
        <v>5</v>
      </c>
      <c r="AJ187" s="4">
        <v>8</v>
      </c>
      <c r="AK187" s="4">
        <v>8</v>
      </c>
      <c r="AL187" s="4">
        <v>1</v>
      </c>
      <c r="AM187" s="4">
        <v>1</v>
      </c>
      <c r="AN187" s="4">
        <v>0</v>
      </c>
      <c r="AO187" s="4">
        <v>0</v>
      </c>
      <c r="AP187" s="3" t="s">
        <v>59</v>
      </c>
      <c r="AQ187" s="3" t="s">
        <v>69</v>
      </c>
      <c r="AR187" s="6" t="str">
        <f t="shared" si="3"/>
        <v>HathiTrust Record</v>
      </c>
      <c r="AS187" s="6" t="str">
        <f t="shared" si="4"/>
        <v>Catalog Record</v>
      </c>
      <c r="AT187" s="6" t="str">
        <f t="shared" si="5"/>
        <v>WorldCat Record</v>
      </c>
      <c r="AU187" s="3" t="s">
        <v>2247</v>
      </c>
      <c r="AV187" s="3" t="s">
        <v>2248</v>
      </c>
      <c r="AW187" s="3" t="s">
        <v>2249</v>
      </c>
      <c r="AX187" s="3" t="s">
        <v>2249</v>
      </c>
      <c r="AY187" s="3" t="s">
        <v>2250</v>
      </c>
      <c r="AZ187" s="3" t="s">
        <v>74</v>
      </c>
      <c r="BB187" s="3" t="s">
        <v>2251</v>
      </c>
      <c r="BC187" s="3" t="s">
        <v>2269</v>
      </c>
      <c r="BD187" s="3" t="s">
        <v>2270</v>
      </c>
    </row>
    <row r="188" spans="1:56" ht="57.75" customHeight="1" x14ac:dyDescent="0.25">
      <c r="A188" s="7" t="s">
        <v>59</v>
      </c>
      <c r="B188" s="2" t="s">
        <v>2239</v>
      </c>
      <c r="C188" s="2" t="s">
        <v>2240</v>
      </c>
      <c r="D188" s="2" t="s">
        <v>2241</v>
      </c>
      <c r="E188" s="3" t="s">
        <v>2271</v>
      </c>
      <c r="F188" s="3" t="s">
        <v>69</v>
      </c>
      <c r="G188" s="3" t="s">
        <v>60</v>
      </c>
      <c r="H188" s="3" t="s">
        <v>59</v>
      </c>
      <c r="I188" s="3" t="s">
        <v>59</v>
      </c>
      <c r="J188" s="3" t="s">
        <v>61</v>
      </c>
      <c r="L188" s="2" t="s">
        <v>2243</v>
      </c>
      <c r="M188" s="3" t="s">
        <v>2244</v>
      </c>
      <c r="O188" s="3" t="s">
        <v>64</v>
      </c>
      <c r="P188" s="3" t="s">
        <v>467</v>
      </c>
      <c r="R188" s="3" t="s">
        <v>67</v>
      </c>
      <c r="S188" s="4">
        <v>0</v>
      </c>
      <c r="T188" s="4">
        <v>18</v>
      </c>
      <c r="V188" s="5" t="s">
        <v>2245</v>
      </c>
      <c r="W188" s="5" t="s">
        <v>2265</v>
      </c>
      <c r="X188" s="5" t="s">
        <v>2246</v>
      </c>
      <c r="Y188" s="4">
        <v>470</v>
      </c>
      <c r="Z188" s="4">
        <v>396</v>
      </c>
      <c r="AA188" s="4">
        <v>409</v>
      </c>
      <c r="AB188" s="4">
        <v>2</v>
      </c>
      <c r="AC188" s="4">
        <v>2</v>
      </c>
      <c r="AD188" s="4">
        <v>18</v>
      </c>
      <c r="AE188" s="4">
        <v>18</v>
      </c>
      <c r="AF188" s="4">
        <v>8</v>
      </c>
      <c r="AG188" s="4">
        <v>8</v>
      </c>
      <c r="AH188" s="4">
        <v>5</v>
      </c>
      <c r="AI188" s="4">
        <v>5</v>
      </c>
      <c r="AJ188" s="4">
        <v>8</v>
      </c>
      <c r="AK188" s="4">
        <v>8</v>
      </c>
      <c r="AL188" s="4">
        <v>1</v>
      </c>
      <c r="AM188" s="4">
        <v>1</v>
      </c>
      <c r="AN188" s="4">
        <v>0</v>
      </c>
      <c r="AO188" s="4">
        <v>0</v>
      </c>
      <c r="AP188" s="3" t="s">
        <v>59</v>
      </c>
      <c r="AQ188" s="3" t="s">
        <v>69</v>
      </c>
      <c r="AR188" s="6" t="str">
        <f t="shared" si="3"/>
        <v>HathiTrust Record</v>
      </c>
      <c r="AS188" s="6" t="str">
        <f t="shared" si="4"/>
        <v>Catalog Record</v>
      </c>
      <c r="AT188" s="6" t="str">
        <f t="shared" si="5"/>
        <v>WorldCat Record</v>
      </c>
      <c r="AU188" s="3" t="s">
        <v>2247</v>
      </c>
      <c r="AV188" s="3" t="s">
        <v>2248</v>
      </c>
      <c r="AW188" s="3" t="s">
        <v>2249</v>
      </c>
      <c r="AX188" s="3" t="s">
        <v>2249</v>
      </c>
      <c r="AY188" s="3" t="s">
        <v>2250</v>
      </c>
      <c r="AZ188" s="3" t="s">
        <v>74</v>
      </c>
      <c r="BB188" s="3" t="s">
        <v>2251</v>
      </c>
      <c r="BC188" s="3" t="s">
        <v>2272</v>
      </c>
      <c r="BD188" s="3" t="s">
        <v>2273</v>
      </c>
    </row>
    <row r="189" spans="1:56" ht="57.75" customHeight="1" x14ac:dyDescent="0.25">
      <c r="A189" s="7" t="s">
        <v>59</v>
      </c>
      <c r="B189" s="2" t="s">
        <v>2239</v>
      </c>
      <c r="C189" s="2" t="s">
        <v>2240</v>
      </c>
      <c r="D189" s="2" t="s">
        <v>2241</v>
      </c>
      <c r="E189" s="3" t="s">
        <v>2274</v>
      </c>
      <c r="F189" s="3" t="s">
        <v>69</v>
      </c>
      <c r="G189" s="3" t="s">
        <v>60</v>
      </c>
      <c r="H189" s="3" t="s">
        <v>59</v>
      </c>
      <c r="I189" s="3" t="s">
        <v>59</v>
      </c>
      <c r="J189" s="3" t="s">
        <v>61</v>
      </c>
      <c r="L189" s="2" t="s">
        <v>2243</v>
      </c>
      <c r="M189" s="3" t="s">
        <v>2244</v>
      </c>
      <c r="O189" s="3" t="s">
        <v>64</v>
      </c>
      <c r="P189" s="3" t="s">
        <v>467</v>
      </c>
      <c r="R189" s="3" t="s">
        <v>67</v>
      </c>
      <c r="S189" s="4">
        <v>4</v>
      </c>
      <c r="T189" s="4">
        <v>18</v>
      </c>
      <c r="U189" s="5" t="s">
        <v>777</v>
      </c>
      <c r="V189" s="5" t="s">
        <v>2245</v>
      </c>
      <c r="W189" s="5" t="s">
        <v>1717</v>
      </c>
      <c r="X189" s="5" t="s">
        <v>2246</v>
      </c>
      <c r="Y189" s="4">
        <v>470</v>
      </c>
      <c r="Z189" s="4">
        <v>396</v>
      </c>
      <c r="AA189" s="4">
        <v>409</v>
      </c>
      <c r="AB189" s="4">
        <v>2</v>
      </c>
      <c r="AC189" s="4">
        <v>2</v>
      </c>
      <c r="AD189" s="4">
        <v>18</v>
      </c>
      <c r="AE189" s="4">
        <v>18</v>
      </c>
      <c r="AF189" s="4">
        <v>8</v>
      </c>
      <c r="AG189" s="4">
        <v>8</v>
      </c>
      <c r="AH189" s="4">
        <v>5</v>
      </c>
      <c r="AI189" s="4">
        <v>5</v>
      </c>
      <c r="AJ189" s="4">
        <v>8</v>
      </c>
      <c r="AK189" s="4">
        <v>8</v>
      </c>
      <c r="AL189" s="4">
        <v>1</v>
      </c>
      <c r="AM189" s="4">
        <v>1</v>
      </c>
      <c r="AN189" s="4">
        <v>0</v>
      </c>
      <c r="AO189" s="4">
        <v>0</v>
      </c>
      <c r="AP189" s="3" t="s">
        <v>59</v>
      </c>
      <c r="AQ189" s="3" t="s">
        <v>69</v>
      </c>
      <c r="AR189" s="6" t="str">
        <f t="shared" si="3"/>
        <v>HathiTrust Record</v>
      </c>
      <c r="AS189" s="6" t="str">
        <f t="shared" si="4"/>
        <v>Catalog Record</v>
      </c>
      <c r="AT189" s="6" t="str">
        <f t="shared" si="5"/>
        <v>WorldCat Record</v>
      </c>
      <c r="AU189" s="3" t="s">
        <v>2247</v>
      </c>
      <c r="AV189" s="3" t="s">
        <v>2248</v>
      </c>
      <c r="AW189" s="3" t="s">
        <v>2249</v>
      </c>
      <c r="AX189" s="3" t="s">
        <v>2249</v>
      </c>
      <c r="AY189" s="3" t="s">
        <v>2250</v>
      </c>
      <c r="AZ189" s="3" t="s">
        <v>74</v>
      </c>
      <c r="BB189" s="3" t="s">
        <v>2251</v>
      </c>
      <c r="BC189" s="3" t="s">
        <v>2275</v>
      </c>
      <c r="BD189" s="3" t="s">
        <v>2276</v>
      </c>
    </row>
    <row r="190" spans="1:56" ht="57.75" customHeight="1" x14ac:dyDescent="0.25">
      <c r="A190" s="7" t="s">
        <v>59</v>
      </c>
      <c r="B190" s="2" t="s">
        <v>2239</v>
      </c>
      <c r="C190" s="2" t="s">
        <v>2240</v>
      </c>
      <c r="D190" s="2" t="s">
        <v>2241</v>
      </c>
      <c r="E190" s="3" t="s">
        <v>2277</v>
      </c>
      <c r="F190" s="3" t="s">
        <v>69</v>
      </c>
      <c r="G190" s="3" t="s">
        <v>60</v>
      </c>
      <c r="H190" s="3" t="s">
        <v>59</v>
      </c>
      <c r="I190" s="3" t="s">
        <v>59</v>
      </c>
      <c r="J190" s="3" t="s">
        <v>61</v>
      </c>
      <c r="L190" s="2" t="s">
        <v>2243</v>
      </c>
      <c r="M190" s="3" t="s">
        <v>2244</v>
      </c>
      <c r="O190" s="3" t="s">
        <v>64</v>
      </c>
      <c r="P190" s="3" t="s">
        <v>467</v>
      </c>
      <c r="R190" s="3" t="s">
        <v>67</v>
      </c>
      <c r="S190" s="4">
        <v>2</v>
      </c>
      <c r="T190" s="4">
        <v>18</v>
      </c>
      <c r="V190" s="5" t="s">
        <v>2245</v>
      </c>
      <c r="W190" s="5" t="s">
        <v>2258</v>
      </c>
      <c r="X190" s="5" t="s">
        <v>2246</v>
      </c>
      <c r="Y190" s="4">
        <v>470</v>
      </c>
      <c r="Z190" s="4">
        <v>396</v>
      </c>
      <c r="AA190" s="4">
        <v>409</v>
      </c>
      <c r="AB190" s="4">
        <v>2</v>
      </c>
      <c r="AC190" s="4">
        <v>2</v>
      </c>
      <c r="AD190" s="4">
        <v>18</v>
      </c>
      <c r="AE190" s="4">
        <v>18</v>
      </c>
      <c r="AF190" s="4">
        <v>8</v>
      </c>
      <c r="AG190" s="4">
        <v>8</v>
      </c>
      <c r="AH190" s="4">
        <v>5</v>
      </c>
      <c r="AI190" s="4">
        <v>5</v>
      </c>
      <c r="AJ190" s="4">
        <v>8</v>
      </c>
      <c r="AK190" s="4">
        <v>8</v>
      </c>
      <c r="AL190" s="4">
        <v>1</v>
      </c>
      <c r="AM190" s="4">
        <v>1</v>
      </c>
      <c r="AN190" s="4">
        <v>0</v>
      </c>
      <c r="AO190" s="4">
        <v>0</v>
      </c>
      <c r="AP190" s="3" t="s">
        <v>59</v>
      </c>
      <c r="AQ190" s="3" t="s">
        <v>69</v>
      </c>
      <c r="AR190" s="6" t="str">
        <f t="shared" si="3"/>
        <v>HathiTrust Record</v>
      </c>
      <c r="AS190" s="6" t="str">
        <f t="shared" si="4"/>
        <v>Catalog Record</v>
      </c>
      <c r="AT190" s="6" t="str">
        <f t="shared" si="5"/>
        <v>WorldCat Record</v>
      </c>
      <c r="AU190" s="3" t="s">
        <v>2247</v>
      </c>
      <c r="AV190" s="3" t="s">
        <v>2248</v>
      </c>
      <c r="AW190" s="3" t="s">
        <v>2249</v>
      </c>
      <c r="AX190" s="3" t="s">
        <v>2249</v>
      </c>
      <c r="AY190" s="3" t="s">
        <v>2250</v>
      </c>
      <c r="AZ190" s="3" t="s">
        <v>74</v>
      </c>
      <c r="BB190" s="3" t="s">
        <v>2251</v>
      </c>
      <c r="BC190" s="3" t="s">
        <v>2278</v>
      </c>
      <c r="BD190" s="3" t="s">
        <v>2279</v>
      </c>
    </row>
    <row r="191" spans="1:56" ht="57.75" customHeight="1" x14ac:dyDescent="0.25">
      <c r="A191" s="7" t="s">
        <v>59</v>
      </c>
      <c r="B191" s="2" t="s">
        <v>2239</v>
      </c>
      <c r="C191" s="2" t="s">
        <v>2240</v>
      </c>
      <c r="D191" s="2" t="s">
        <v>2241</v>
      </c>
      <c r="E191" s="3" t="s">
        <v>2280</v>
      </c>
      <c r="F191" s="3" t="s">
        <v>69</v>
      </c>
      <c r="G191" s="3" t="s">
        <v>60</v>
      </c>
      <c r="H191" s="3" t="s">
        <v>59</v>
      </c>
      <c r="I191" s="3" t="s">
        <v>59</v>
      </c>
      <c r="J191" s="3" t="s">
        <v>61</v>
      </c>
      <c r="L191" s="2" t="s">
        <v>2243</v>
      </c>
      <c r="M191" s="3" t="s">
        <v>2244</v>
      </c>
      <c r="O191" s="3" t="s">
        <v>64</v>
      </c>
      <c r="P191" s="3" t="s">
        <v>467</v>
      </c>
      <c r="R191" s="3" t="s">
        <v>67</v>
      </c>
      <c r="S191" s="4">
        <v>0</v>
      </c>
      <c r="T191" s="4">
        <v>18</v>
      </c>
      <c r="V191" s="5" t="s">
        <v>2245</v>
      </c>
      <c r="W191" s="5" t="s">
        <v>2258</v>
      </c>
      <c r="X191" s="5" t="s">
        <v>2246</v>
      </c>
      <c r="Y191" s="4">
        <v>470</v>
      </c>
      <c r="Z191" s="4">
        <v>396</v>
      </c>
      <c r="AA191" s="4">
        <v>409</v>
      </c>
      <c r="AB191" s="4">
        <v>2</v>
      </c>
      <c r="AC191" s="4">
        <v>2</v>
      </c>
      <c r="AD191" s="4">
        <v>18</v>
      </c>
      <c r="AE191" s="4">
        <v>18</v>
      </c>
      <c r="AF191" s="4">
        <v>8</v>
      </c>
      <c r="AG191" s="4">
        <v>8</v>
      </c>
      <c r="AH191" s="4">
        <v>5</v>
      </c>
      <c r="AI191" s="4">
        <v>5</v>
      </c>
      <c r="AJ191" s="4">
        <v>8</v>
      </c>
      <c r="AK191" s="4">
        <v>8</v>
      </c>
      <c r="AL191" s="4">
        <v>1</v>
      </c>
      <c r="AM191" s="4">
        <v>1</v>
      </c>
      <c r="AN191" s="4">
        <v>0</v>
      </c>
      <c r="AO191" s="4">
        <v>0</v>
      </c>
      <c r="AP191" s="3" t="s">
        <v>59</v>
      </c>
      <c r="AQ191" s="3" t="s">
        <v>69</v>
      </c>
      <c r="AR191" s="6" t="str">
        <f t="shared" si="3"/>
        <v>HathiTrust Record</v>
      </c>
      <c r="AS191" s="6" t="str">
        <f t="shared" si="4"/>
        <v>Catalog Record</v>
      </c>
      <c r="AT191" s="6" t="str">
        <f t="shared" si="5"/>
        <v>WorldCat Record</v>
      </c>
      <c r="AU191" s="3" t="s">
        <v>2247</v>
      </c>
      <c r="AV191" s="3" t="s">
        <v>2248</v>
      </c>
      <c r="AW191" s="3" t="s">
        <v>2249</v>
      </c>
      <c r="AX191" s="3" t="s">
        <v>2249</v>
      </c>
      <c r="AY191" s="3" t="s">
        <v>2250</v>
      </c>
      <c r="AZ191" s="3" t="s">
        <v>74</v>
      </c>
      <c r="BB191" s="3" t="s">
        <v>2251</v>
      </c>
      <c r="BC191" s="3" t="s">
        <v>2281</v>
      </c>
      <c r="BD191" s="3" t="s">
        <v>2282</v>
      </c>
    </row>
    <row r="192" spans="1:56" ht="57.75" customHeight="1" x14ac:dyDescent="0.25">
      <c r="A192" s="7" t="s">
        <v>59</v>
      </c>
      <c r="B192" s="2" t="s">
        <v>2239</v>
      </c>
      <c r="C192" s="2" t="s">
        <v>2240</v>
      </c>
      <c r="D192" s="2" t="s">
        <v>2241</v>
      </c>
      <c r="E192" s="3" t="s">
        <v>2283</v>
      </c>
      <c r="F192" s="3" t="s">
        <v>69</v>
      </c>
      <c r="G192" s="3" t="s">
        <v>60</v>
      </c>
      <c r="H192" s="3" t="s">
        <v>59</v>
      </c>
      <c r="I192" s="3" t="s">
        <v>59</v>
      </c>
      <c r="J192" s="3" t="s">
        <v>61</v>
      </c>
      <c r="L192" s="2" t="s">
        <v>2243</v>
      </c>
      <c r="M192" s="3" t="s">
        <v>2244</v>
      </c>
      <c r="O192" s="3" t="s">
        <v>64</v>
      </c>
      <c r="P192" s="3" t="s">
        <v>467</v>
      </c>
      <c r="R192" s="3" t="s">
        <v>67</v>
      </c>
      <c r="S192" s="4">
        <v>1</v>
      </c>
      <c r="T192" s="4">
        <v>18</v>
      </c>
      <c r="V192" s="5" t="s">
        <v>2245</v>
      </c>
      <c r="W192" s="5" t="s">
        <v>2284</v>
      </c>
      <c r="X192" s="5" t="s">
        <v>2246</v>
      </c>
      <c r="Y192" s="4">
        <v>470</v>
      </c>
      <c r="Z192" s="4">
        <v>396</v>
      </c>
      <c r="AA192" s="4">
        <v>409</v>
      </c>
      <c r="AB192" s="4">
        <v>2</v>
      </c>
      <c r="AC192" s="4">
        <v>2</v>
      </c>
      <c r="AD192" s="4">
        <v>18</v>
      </c>
      <c r="AE192" s="4">
        <v>18</v>
      </c>
      <c r="AF192" s="4">
        <v>8</v>
      </c>
      <c r="AG192" s="4">
        <v>8</v>
      </c>
      <c r="AH192" s="4">
        <v>5</v>
      </c>
      <c r="AI192" s="4">
        <v>5</v>
      </c>
      <c r="AJ192" s="4">
        <v>8</v>
      </c>
      <c r="AK192" s="4">
        <v>8</v>
      </c>
      <c r="AL192" s="4">
        <v>1</v>
      </c>
      <c r="AM192" s="4">
        <v>1</v>
      </c>
      <c r="AN192" s="4">
        <v>0</v>
      </c>
      <c r="AO192" s="4">
        <v>0</v>
      </c>
      <c r="AP192" s="3" t="s">
        <v>59</v>
      </c>
      <c r="AQ192" s="3" t="s">
        <v>69</v>
      </c>
      <c r="AR192" s="6" t="str">
        <f t="shared" si="3"/>
        <v>HathiTrust Record</v>
      </c>
      <c r="AS192" s="6" t="str">
        <f t="shared" si="4"/>
        <v>Catalog Record</v>
      </c>
      <c r="AT192" s="6" t="str">
        <f t="shared" si="5"/>
        <v>WorldCat Record</v>
      </c>
      <c r="AU192" s="3" t="s">
        <v>2247</v>
      </c>
      <c r="AV192" s="3" t="s">
        <v>2248</v>
      </c>
      <c r="AW192" s="3" t="s">
        <v>2249</v>
      </c>
      <c r="AX192" s="3" t="s">
        <v>2249</v>
      </c>
      <c r="AY192" s="3" t="s">
        <v>2250</v>
      </c>
      <c r="AZ192" s="3" t="s">
        <v>74</v>
      </c>
      <c r="BB192" s="3" t="s">
        <v>2251</v>
      </c>
      <c r="BC192" s="3" t="s">
        <v>2285</v>
      </c>
      <c r="BD192" s="3" t="s">
        <v>2286</v>
      </c>
    </row>
    <row r="193" spans="1:56" ht="57.75" customHeight="1" x14ac:dyDescent="0.25">
      <c r="A193" s="7" t="s">
        <v>59</v>
      </c>
      <c r="B193" s="2" t="s">
        <v>2239</v>
      </c>
      <c r="C193" s="2" t="s">
        <v>2240</v>
      </c>
      <c r="D193" s="2" t="s">
        <v>2241</v>
      </c>
      <c r="E193" s="3" t="s">
        <v>2287</v>
      </c>
      <c r="F193" s="3" t="s">
        <v>69</v>
      </c>
      <c r="G193" s="3" t="s">
        <v>60</v>
      </c>
      <c r="H193" s="3" t="s">
        <v>59</v>
      </c>
      <c r="I193" s="3" t="s">
        <v>59</v>
      </c>
      <c r="J193" s="3" t="s">
        <v>61</v>
      </c>
      <c r="L193" s="2" t="s">
        <v>2243</v>
      </c>
      <c r="M193" s="3" t="s">
        <v>2244</v>
      </c>
      <c r="O193" s="3" t="s">
        <v>64</v>
      </c>
      <c r="P193" s="3" t="s">
        <v>467</v>
      </c>
      <c r="R193" s="3" t="s">
        <v>67</v>
      </c>
      <c r="S193" s="4">
        <v>1</v>
      </c>
      <c r="T193" s="4">
        <v>18</v>
      </c>
      <c r="V193" s="5" t="s">
        <v>2245</v>
      </c>
      <c r="W193" s="5" t="s">
        <v>1839</v>
      </c>
      <c r="X193" s="5" t="s">
        <v>2246</v>
      </c>
      <c r="Y193" s="4">
        <v>470</v>
      </c>
      <c r="Z193" s="4">
        <v>396</v>
      </c>
      <c r="AA193" s="4">
        <v>409</v>
      </c>
      <c r="AB193" s="4">
        <v>2</v>
      </c>
      <c r="AC193" s="4">
        <v>2</v>
      </c>
      <c r="AD193" s="4">
        <v>18</v>
      </c>
      <c r="AE193" s="4">
        <v>18</v>
      </c>
      <c r="AF193" s="4">
        <v>8</v>
      </c>
      <c r="AG193" s="4">
        <v>8</v>
      </c>
      <c r="AH193" s="4">
        <v>5</v>
      </c>
      <c r="AI193" s="4">
        <v>5</v>
      </c>
      <c r="AJ193" s="4">
        <v>8</v>
      </c>
      <c r="AK193" s="4">
        <v>8</v>
      </c>
      <c r="AL193" s="4">
        <v>1</v>
      </c>
      <c r="AM193" s="4">
        <v>1</v>
      </c>
      <c r="AN193" s="4">
        <v>0</v>
      </c>
      <c r="AO193" s="4">
        <v>0</v>
      </c>
      <c r="AP193" s="3" t="s">
        <v>59</v>
      </c>
      <c r="AQ193" s="3" t="s">
        <v>69</v>
      </c>
      <c r="AR193" s="6" t="str">
        <f t="shared" si="3"/>
        <v>HathiTrust Record</v>
      </c>
      <c r="AS193" s="6" t="str">
        <f t="shared" si="4"/>
        <v>Catalog Record</v>
      </c>
      <c r="AT193" s="6" t="str">
        <f t="shared" si="5"/>
        <v>WorldCat Record</v>
      </c>
      <c r="AU193" s="3" t="s">
        <v>2247</v>
      </c>
      <c r="AV193" s="3" t="s">
        <v>2248</v>
      </c>
      <c r="AW193" s="3" t="s">
        <v>2249</v>
      </c>
      <c r="AX193" s="3" t="s">
        <v>2249</v>
      </c>
      <c r="AY193" s="3" t="s">
        <v>2250</v>
      </c>
      <c r="AZ193" s="3" t="s">
        <v>74</v>
      </c>
      <c r="BB193" s="3" t="s">
        <v>2251</v>
      </c>
      <c r="BC193" s="3" t="s">
        <v>2288</v>
      </c>
      <c r="BD193" s="3" t="s">
        <v>2289</v>
      </c>
    </row>
    <row r="194" spans="1:56" ht="57.75" customHeight="1" x14ac:dyDescent="0.25">
      <c r="A194" s="7" t="s">
        <v>59</v>
      </c>
      <c r="B194" s="2" t="s">
        <v>2239</v>
      </c>
      <c r="C194" s="2" t="s">
        <v>2240</v>
      </c>
      <c r="D194" s="2" t="s">
        <v>2241</v>
      </c>
      <c r="E194" s="3" t="s">
        <v>2290</v>
      </c>
      <c r="F194" s="3" t="s">
        <v>69</v>
      </c>
      <c r="G194" s="3" t="s">
        <v>60</v>
      </c>
      <c r="H194" s="3" t="s">
        <v>59</v>
      </c>
      <c r="I194" s="3" t="s">
        <v>59</v>
      </c>
      <c r="J194" s="3" t="s">
        <v>61</v>
      </c>
      <c r="L194" s="2" t="s">
        <v>2243</v>
      </c>
      <c r="M194" s="3" t="s">
        <v>2244</v>
      </c>
      <c r="O194" s="3" t="s">
        <v>64</v>
      </c>
      <c r="P194" s="3" t="s">
        <v>467</v>
      </c>
      <c r="R194" s="3" t="s">
        <v>67</v>
      </c>
      <c r="S194" s="4">
        <v>0</v>
      </c>
      <c r="T194" s="4">
        <v>18</v>
      </c>
      <c r="V194" s="5" t="s">
        <v>2245</v>
      </c>
      <c r="W194" s="5" t="s">
        <v>2265</v>
      </c>
      <c r="X194" s="5" t="s">
        <v>2246</v>
      </c>
      <c r="Y194" s="4">
        <v>470</v>
      </c>
      <c r="Z194" s="4">
        <v>396</v>
      </c>
      <c r="AA194" s="4">
        <v>409</v>
      </c>
      <c r="AB194" s="4">
        <v>2</v>
      </c>
      <c r="AC194" s="4">
        <v>2</v>
      </c>
      <c r="AD194" s="4">
        <v>18</v>
      </c>
      <c r="AE194" s="4">
        <v>18</v>
      </c>
      <c r="AF194" s="4">
        <v>8</v>
      </c>
      <c r="AG194" s="4">
        <v>8</v>
      </c>
      <c r="AH194" s="4">
        <v>5</v>
      </c>
      <c r="AI194" s="4">
        <v>5</v>
      </c>
      <c r="AJ194" s="4">
        <v>8</v>
      </c>
      <c r="AK194" s="4">
        <v>8</v>
      </c>
      <c r="AL194" s="4">
        <v>1</v>
      </c>
      <c r="AM194" s="4">
        <v>1</v>
      </c>
      <c r="AN194" s="4">
        <v>0</v>
      </c>
      <c r="AO194" s="4">
        <v>0</v>
      </c>
      <c r="AP194" s="3" t="s">
        <v>59</v>
      </c>
      <c r="AQ194" s="3" t="s">
        <v>69</v>
      </c>
      <c r="AR194" s="6" t="str">
        <f t="shared" si="3"/>
        <v>HathiTrust Record</v>
      </c>
      <c r="AS194" s="6" t="str">
        <f t="shared" si="4"/>
        <v>Catalog Record</v>
      </c>
      <c r="AT194" s="6" t="str">
        <f t="shared" si="5"/>
        <v>WorldCat Record</v>
      </c>
      <c r="AU194" s="3" t="s">
        <v>2247</v>
      </c>
      <c r="AV194" s="3" t="s">
        <v>2248</v>
      </c>
      <c r="AW194" s="3" t="s">
        <v>2249</v>
      </c>
      <c r="AX194" s="3" t="s">
        <v>2249</v>
      </c>
      <c r="AY194" s="3" t="s">
        <v>2250</v>
      </c>
      <c r="AZ194" s="3" t="s">
        <v>74</v>
      </c>
      <c r="BB194" s="3" t="s">
        <v>2251</v>
      </c>
      <c r="BC194" s="3" t="s">
        <v>2291</v>
      </c>
      <c r="BD194" s="3" t="s">
        <v>2292</v>
      </c>
    </row>
    <row r="195" spans="1:56" ht="57.75" customHeight="1" x14ac:dyDescent="0.25">
      <c r="A195" s="7" t="s">
        <v>59</v>
      </c>
      <c r="B195" s="2" t="s">
        <v>2239</v>
      </c>
      <c r="C195" s="2" t="s">
        <v>2240</v>
      </c>
      <c r="D195" s="2" t="s">
        <v>2241</v>
      </c>
      <c r="E195" s="3" t="s">
        <v>2293</v>
      </c>
      <c r="F195" s="3" t="s">
        <v>69</v>
      </c>
      <c r="G195" s="3" t="s">
        <v>60</v>
      </c>
      <c r="H195" s="3" t="s">
        <v>59</v>
      </c>
      <c r="I195" s="3" t="s">
        <v>59</v>
      </c>
      <c r="J195" s="3" t="s">
        <v>61</v>
      </c>
      <c r="L195" s="2" t="s">
        <v>2243</v>
      </c>
      <c r="M195" s="3" t="s">
        <v>2244</v>
      </c>
      <c r="O195" s="3" t="s">
        <v>64</v>
      </c>
      <c r="P195" s="3" t="s">
        <v>467</v>
      </c>
      <c r="R195" s="3" t="s">
        <v>67</v>
      </c>
      <c r="S195" s="4">
        <v>0</v>
      </c>
      <c r="T195" s="4">
        <v>18</v>
      </c>
      <c r="V195" s="5" t="s">
        <v>2245</v>
      </c>
      <c r="W195" s="5" t="s">
        <v>2246</v>
      </c>
      <c r="X195" s="5" t="s">
        <v>2246</v>
      </c>
      <c r="Y195" s="4">
        <v>470</v>
      </c>
      <c r="Z195" s="4">
        <v>396</v>
      </c>
      <c r="AA195" s="4">
        <v>409</v>
      </c>
      <c r="AB195" s="4">
        <v>2</v>
      </c>
      <c r="AC195" s="4">
        <v>2</v>
      </c>
      <c r="AD195" s="4">
        <v>18</v>
      </c>
      <c r="AE195" s="4">
        <v>18</v>
      </c>
      <c r="AF195" s="4">
        <v>8</v>
      </c>
      <c r="AG195" s="4">
        <v>8</v>
      </c>
      <c r="AH195" s="4">
        <v>5</v>
      </c>
      <c r="AI195" s="4">
        <v>5</v>
      </c>
      <c r="AJ195" s="4">
        <v>8</v>
      </c>
      <c r="AK195" s="4">
        <v>8</v>
      </c>
      <c r="AL195" s="4">
        <v>1</v>
      </c>
      <c r="AM195" s="4">
        <v>1</v>
      </c>
      <c r="AN195" s="4">
        <v>0</v>
      </c>
      <c r="AO195" s="4">
        <v>0</v>
      </c>
      <c r="AP195" s="3" t="s">
        <v>59</v>
      </c>
      <c r="AQ195" s="3" t="s">
        <v>69</v>
      </c>
      <c r="AR195" s="6" t="str">
        <f t="shared" si="3"/>
        <v>HathiTrust Record</v>
      </c>
      <c r="AS195" s="6" t="str">
        <f t="shared" si="4"/>
        <v>Catalog Record</v>
      </c>
      <c r="AT195" s="6" t="str">
        <f t="shared" si="5"/>
        <v>WorldCat Record</v>
      </c>
      <c r="AU195" s="3" t="s">
        <v>2247</v>
      </c>
      <c r="AV195" s="3" t="s">
        <v>2248</v>
      </c>
      <c r="AW195" s="3" t="s">
        <v>2249</v>
      </c>
      <c r="AX195" s="3" t="s">
        <v>2249</v>
      </c>
      <c r="AY195" s="3" t="s">
        <v>2250</v>
      </c>
      <c r="AZ195" s="3" t="s">
        <v>74</v>
      </c>
      <c r="BB195" s="3" t="s">
        <v>2251</v>
      </c>
      <c r="BC195" s="3" t="s">
        <v>2294</v>
      </c>
      <c r="BD195" s="3" t="s">
        <v>2295</v>
      </c>
    </row>
    <row r="196" spans="1:56" ht="57.75" customHeight="1" x14ac:dyDescent="0.25">
      <c r="A196" s="7" t="s">
        <v>59</v>
      </c>
      <c r="B196" s="2" t="s">
        <v>2239</v>
      </c>
      <c r="C196" s="2" t="s">
        <v>2240</v>
      </c>
      <c r="D196" s="2" t="s">
        <v>2241</v>
      </c>
      <c r="E196" s="3" t="s">
        <v>2296</v>
      </c>
      <c r="F196" s="3" t="s">
        <v>69</v>
      </c>
      <c r="G196" s="3" t="s">
        <v>60</v>
      </c>
      <c r="H196" s="3" t="s">
        <v>59</v>
      </c>
      <c r="I196" s="3" t="s">
        <v>59</v>
      </c>
      <c r="J196" s="3" t="s">
        <v>61</v>
      </c>
      <c r="L196" s="2" t="s">
        <v>2243</v>
      </c>
      <c r="M196" s="3" t="s">
        <v>2244</v>
      </c>
      <c r="O196" s="3" t="s">
        <v>64</v>
      </c>
      <c r="P196" s="3" t="s">
        <v>467</v>
      </c>
      <c r="R196" s="3" t="s">
        <v>67</v>
      </c>
      <c r="S196" s="4">
        <v>7</v>
      </c>
      <c r="T196" s="4">
        <v>18</v>
      </c>
      <c r="U196" s="5" t="s">
        <v>2245</v>
      </c>
      <c r="V196" s="5" t="s">
        <v>2245</v>
      </c>
      <c r="W196" s="5" t="s">
        <v>2258</v>
      </c>
      <c r="X196" s="5" t="s">
        <v>2246</v>
      </c>
      <c r="Y196" s="4">
        <v>470</v>
      </c>
      <c r="Z196" s="4">
        <v>396</v>
      </c>
      <c r="AA196" s="4">
        <v>409</v>
      </c>
      <c r="AB196" s="4">
        <v>2</v>
      </c>
      <c r="AC196" s="4">
        <v>2</v>
      </c>
      <c r="AD196" s="4">
        <v>18</v>
      </c>
      <c r="AE196" s="4">
        <v>18</v>
      </c>
      <c r="AF196" s="4">
        <v>8</v>
      </c>
      <c r="AG196" s="4">
        <v>8</v>
      </c>
      <c r="AH196" s="4">
        <v>5</v>
      </c>
      <c r="AI196" s="4">
        <v>5</v>
      </c>
      <c r="AJ196" s="4">
        <v>8</v>
      </c>
      <c r="AK196" s="4">
        <v>8</v>
      </c>
      <c r="AL196" s="4">
        <v>1</v>
      </c>
      <c r="AM196" s="4">
        <v>1</v>
      </c>
      <c r="AN196" s="4">
        <v>0</v>
      </c>
      <c r="AO196" s="4">
        <v>0</v>
      </c>
      <c r="AP196" s="3" t="s">
        <v>59</v>
      </c>
      <c r="AQ196" s="3" t="s">
        <v>69</v>
      </c>
      <c r="AR196" s="6" t="str">
        <f t="shared" si="3"/>
        <v>HathiTrust Record</v>
      </c>
      <c r="AS196" s="6" t="str">
        <f t="shared" si="4"/>
        <v>Catalog Record</v>
      </c>
      <c r="AT196" s="6" t="str">
        <f t="shared" si="5"/>
        <v>WorldCat Record</v>
      </c>
      <c r="AU196" s="3" t="s">
        <v>2247</v>
      </c>
      <c r="AV196" s="3" t="s">
        <v>2248</v>
      </c>
      <c r="AW196" s="3" t="s">
        <v>2249</v>
      </c>
      <c r="AX196" s="3" t="s">
        <v>2249</v>
      </c>
      <c r="AY196" s="3" t="s">
        <v>2250</v>
      </c>
      <c r="AZ196" s="3" t="s">
        <v>74</v>
      </c>
      <c r="BB196" s="3" t="s">
        <v>2251</v>
      </c>
      <c r="BC196" s="3" t="s">
        <v>2297</v>
      </c>
      <c r="BD196" s="3" t="s">
        <v>2298</v>
      </c>
    </row>
    <row r="197" spans="1:56" ht="57.75" customHeight="1" x14ac:dyDescent="0.25">
      <c r="A197" s="7" t="s">
        <v>59</v>
      </c>
      <c r="B197" s="2" t="s">
        <v>2239</v>
      </c>
      <c r="C197" s="2" t="s">
        <v>2240</v>
      </c>
      <c r="D197" s="2" t="s">
        <v>2241</v>
      </c>
      <c r="E197" s="3" t="s">
        <v>2299</v>
      </c>
      <c r="F197" s="3" t="s">
        <v>69</v>
      </c>
      <c r="G197" s="3" t="s">
        <v>60</v>
      </c>
      <c r="H197" s="3" t="s">
        <v>59</v>
      </c>
      <c r="I197" s="3" t="s">
        <v>59</v>
      </c>
      <c r="J197" s="3" t="s">
        <v>61</v>
      </c>
      <c r="L197" s="2" t="s">
        <v>2243</v>
      </c>
      <c r="M197" s="3" t="s">
        <v>2244</v>
      </c>
      <c r="O197" s="3" t="s">
        <v>64</v>
      </c>
      <c r="P197" s="3" t="s">
        <v>467</v>
      </c>
      <c r="R197" s="3" t="s">
        <v>67</v>
      </c>
      <c r="S197" s="4">
        <v>0</v>
      </c>
      <c r="T197" s="4">
        <v>18</v>
      </c>
      <c r="V197" s="5" t="s">
        <v>2245</v>
      </c>
      <c r="W197" s="5" t="s">
        <v>2258</v>
      </c>
      <c r="X197" s="5" t="s">
        <v>2246</v>
      </c>
      <c r="Y197" s="4">
        <v>470</v>
      </c>
      <c r="Z197" s="4">
        <v>396</v>
      </c>
      <c r="AA197" s="4">
        <v>409</v>
      </c>
      <c r="AB197" s="4">
        <v>2</v>
      </c>
      <c r="AC197" s="4">
        <v>2</v>
      </c>
      <c r="AD197" s="4">
        <v>18</v>
      </c>
      <c r="AE197" s="4">
        <v>18</v>
      </c>
      <c r="AF197" s="4">
        <v>8</v>
      </c>
      <c r="AG197" s="4">
        <v>8</v>
      </c>
      <c r="AH197" s="4">
        <v>5</v>
      </c>
      <c r="AI197" s="4">
        <v>5</v>
      </c>
      <c r="AJ197" s="4">
        <v>8</v>
      </c>
      <c r="AK197" s="4">
        <v>8</v>
      </c>
      <c r="AL197" s="4">
        <v>1</v>
      </c>
      <c r="AM197" s="4">
        <v>1</v>
      </c>
      <c r="AN197" s="4">
        <v>0</v>
      </c>
      <c r="AO197" s="4">
        <v>0</v>
      </c>
      <c r="AP197" s="3" t="s">
        <v>59</v>
      </c>
      <c r="AQ197" s="3" t="s">
        <v>69</v>
      </c>
      <c r="AR197" s="6" t="str">
        <f t="shared" si="3"/>
        <v>HathiTrust Record</v>
      </c>
      <c r="AS197" s="6" t="str">
        <f t="shared" si="4"/>
        <v>Catalog Record</v>
      </c>
      <c r="AT197" s="6" t="str">
        <f t="shared" si="5"/>
        <v>WorldCat Record</v>
      </c>
      <c r="AU197" s="3" t="s">
        <v>2247</v>
      </c>
      <c r="AV197" s="3" t="s">
        <v>2248</v>
      </c>
      <c r="AW197" s="3" t="s">
        <v>2249</v>
      </c>
      <c r="AX197" s="3" t="s">
        <v>2249</v>
      </c>
      <c r="AY197" s="3" t="s">
        <v>2250</v>
      </c>
      <c r="AZ197" s="3" t="s">
        <v>74</v>
      </c>
      <c r="BB197" s="3" t="s">
        <v>2251</v>
      </c>
      <c r="BC197" s="3" t="s">
        <v>2300</v>
      </c>
      <c r="BD197" s="3" t="s">
        <v>2301</v>
      </c>
    </row>
    <row r="198" spans="1:56" ht="57.75" customHeight="1" x14ac:dyDescent="0.25">
      <c r="A198" s="7" t="s">
        <v>59</v>
      </c>
      <c r="B198" s="2" t="s">
        <v>2239</v>
      </c>
      <c r="C198" s="2" t="s">
        <v>2240</v>
      </c>
      <c r="D198" s="2" t="s">
        <v>2241</v>
      </c>
      <c r="E198" s="3" t="s">
        <v>2302</v>
      </c>
      <c r="F198" s="3" t="s">
        <v>69</v>
      </c>
      <c r="G198" s="3" t="s">
        <v>60</v>
      </c>
      <c r="H198" s="3" t="s">
        <v>59</v>
      </c>
      <c r="I198" s="3" t="s">
        <v>59</v>
      </c>
      <c r="J198" s="3" t="s">
        <v>61</v>
      </c>
      <c r="L198" s="2" t="s">
        <v>2243</v>
      </c>
      <c r="M198" s="3" t="s">
        <v>2244</v>
      </c>
      <c r="O198" s="3" t="s">
        <v>64</v>
      </c>
      <c r="P198" s="3" t="s">
        <v>467</v>
      </c>
      <c r="R198" s="3" t="s">
        <v>67</v>
      </c>
      <c r="S198" s="4">
        <v>0</v>
      </c>
      <c r="T198" s="4">
        <v>18</v>
      </c>
      <c r="V198" s="5" t="s">
        <v>2245</v>
      </c>
      <c r="W198" s="5" t="s">
        <v>2303</v>
      </c>
      <c r="X198" s="5" t="s">
        <v>2246</v>
      </c>
      <c r="Y198" s="4">
        <v>470</v>
      </c>
      <c r="Z198" s="4">
        <v>396</v>
      </c>
      <c r="AA198" s="4">
        <v>409</v>
      </c>
      <c r="AB198" s="4">
        <v>2</v>
      </c>
      <c r="AC198" s="4">
        <v>2</v>
      </c>
      <c r="AD198" s="4">
        <v>18</v>
      </c>
      <c r="AE198" s="4">
        <v>18</v>
      </c>
      <c r="AF198" s="4">
        <v>8</v>
      </c>
      <c r="AG198" s="4">
        <v>8</v>
      </c>
      <c r="AH198" s="4">
        <v>5</v>
      </c>
      <c r="AI198" s="4">
        <v>5</v>
      </c>
      <c r="AJ198" s="4">
        <v>8</v>
      </c>
      <c r="AK198" s="4">
        <v>8</v>
      </c>
      <c r="AL198" s="4">
        <v>1</v>
      </c>
      <c r="AM198" s="4">
        <v>1</v>
      </c>
      <c r="AN198" s="4">
        <v>0</v>
      </c>
      <c r="AO198" s="4">
        <v>0</v>
      </c>
      <c r="AP198" s="3" t="s">
        <v>59</v>
      </c>
      <c r="AQ198" s="3" t="s">
        <v>69</v>
      </c>
      <c r="AR198" s="6" t="str">
        <f t="shared" si="3"/>
        <v>HathiTrust Record</v>
      </c>
      <c r="AS198" s="6" t="str">
        <f t="shared" si="4"/>
        <v>Catalog Record</v>
      </c>
      <c r="AT198" s="6" t="str">
        <f t="shared" si="5"/>
        <v>WorldCat Record</v>
      </c>
      <c r="AU198" s="3" t="s">
        <v>2247</v>
      </c>
      <c r="AV198" s="3" t="s">
        <v>2248</v>
      </c>
      <c r="AW198" s="3" t="s">
        <v>2249</v>
      </c>
      <c r="AX198" s="3" t="s">
        <v>2249</v>
      </c>
      <c r="AY198" s="3" t="s">
        <v>2250</v>
      </c>
      <c r="AZ198" s="3" t="s">
        <v>74</v>
      </c>
      <c r="BB198" s="3" t="s">
        <v>2251</v>
      </c>
      <c r="BC198" s="3" t="s">
        <v>2304</v>
      </c>
      <c r="BD198" s="3" t="s">
        <v>2305</v>
      </c>
    </row>
    <row r="199" spans="1:56" ht="57.75" customHeight="1" x14ac:dyDescent="0.25">
      <c r="A199" s="7" t="s">
        <v>59</v>
      </c>
      <c r="B199" s="2" t="s">
        <v>2239</v>
      </c>
      <c r="C199" s="2" t="s">
        <v>2240</v>
      </c>
      <c r="D199" s="2" t="s">
        <v>2241</v>
      </c>
      <c r="E199" s="3" t="s">
        <v>2306</v>
      </c>
      <c r="F199" s="3" t="s">
        <v>69</v>
      </c>
      <c r="G199" s="3" t="s">
        <v>60</v>
      </c>
      <c r="H199" s="3" t="s">
        <v>59</v>
      </c>
      <c r="I199" s="3" t="s">
        <v>59</v>
      </c>
      <c r="J199" s="3" t="s">
        <v>61</v>
      </c>
      <c r="L199" s="2" t="s">
        <v>2243</v>
      </c>
      <c r="M199" s="3" t="s">
        <v>2244</v>
      </c>
      <c r="O199" s="3" t="s">
        <v>64</v>
      </c>
      <c r="P199" s="3" t="s">
        <v>467</v>
      </c>
      <c r="R199" s="3" t="s">
        <v>67</v>
      </c>
      <c r="S199" s="4">
        <v>0</v>
      </c>
      <c r="T199" s="4">
        <v>18</v>
      </c>
      <c r="V199" s="5" t="s">
        <v>2245</v>
      </c>
      <c r="W199" s="5" t="s">
        <v>2246</v>
      </c>
      <c r="X199" s="5" t="s">
        <v>2246</v>
      </c>
      <c r="Y199" s="4">
        <v>470</v>
      </c>
      <c r="Z199" s="4">
        <v>396</v>
      </c>
      <c r="AA199" s="4">
        <v>409</v>
      </c>
      <c r="AB199" s="4">
        <v>2</v>
      </c>
      <c r="AC199" s="4">
        <v>2</v>
      </c>
      <c r="AD199" s="4">
        <v>18</v>
      </c>
      <c r="AE199" s="4">
        <v>18</v>
      </c>
      <c r="AF199" s="4">
        <v>8</v>
      </c>
      <c r="AG199" s="4">
        <v>8</v>
      </c>
      <c r="AH199" s="4">
        <v>5</v>
      </c>
      <c r="AI199" s="4">
        <v>5</v>
      </c>
      <c r="AJ199" s="4">
        <v>8</v>
      </c>
      <c r="AK199" s="4">
        <v>8</v>
      </c>
      <c r="AL199" s="4">
        <v>1</v>
      </c>
      <c r="AM199" s="4">
        <v>1</v>
      </c>
      <c r="AN199" s="4">
        <v>0</v>
      </c>
      <c r="AO199" s="4">
        <v>0</v>
      </c>
      <c r="AP199" s="3" t="s">
        <v>59</v>
      </c>
      <c r="AQ199" s="3" t="s">
        <v>69</v>
      </c>
      <c r="AR199" s="6" t="str">
        <f t="shared" si="3"/>
        <v>HathiTrust Record</v>
      </c>
      <c r="AS199" s="6" t="str">
        <f t="shared" si="4"/>
        <v>Catalog Record</v>
      </c>
      <c r="AT199" s="6" t="str">
        <f t="shared" si="5"/>
        <v>WorldCat Record</v>
      </c>
      <c r="AU199" s="3" t="s">
        <v>2247</v>
      </c>
      <c r="AV199" s="3" t="s">
        <v>2248</v>
      </c>
      <c r="AW199" s="3" t="s">
        <v>2249</v>
      </c>
      <c r="AX199" s="3" t="s">
        <v>2249</v>
      </c>
      <c r="AY199" s="3" t="s">
        <v>2250</v>
      </c>
      <c r="AZ199" s="3" t="s">
        <v>74</v>
      </c>
      <c r="BB199" s="3" t="s">
        <v>2251</v>
      </c>
      <c r="BC199" s="3" t="s">
        <v>2307</v>
      </c>
      <c r="BD199" s="3" t="s">
        <v>2308</v>
      </c>
    </row>
    <row r="200" spans="1:56" ht="57.75" customHeight="1" x14ac:dyDescent="0.25">
      <c r="A200" s="7" t="s">
        <v>59</v>
      </c>
      <c r="B200" s="2" t="s">
        <v>2309</v>
      </c>
      <c r="C200" s="2" t="s">
        <v>2310</v>
      </c>
      <c r="D200" s="2" t="s">
        <v>2311</v>
      </c>
      <c r="F200" s="3" t="s">
        <v>59</v>
      </c>
      <c r="G200" s="3" t="s">
        <v>60</v>
      </c>
      <c r="H200" s="3" t="s">
        <v>59</v>
      </c>
      <c r="I200" s="3" t="s">
        <v>59</v>
      </c>
      <c r="J200" s="3" t="s">
        <v>61</v>
      </c>
      <c r="K200" s="2" t="s">
        <v>2312</v>
      </c>
      <c r="L200" s="2" t="s">
        <v>2313</v>
      </c>
      <c r="M200" s="3" t="s">
        <v>481</v>
      </c>
      <c r="O200" s="3" t="s">
        <v>64</v>
      </c>
      <c r="P200" s="3" t="s">
        <v>630</v>
      </c>
      <c r="R200" s="3" t="s">
        <v>67</v>
      </c>
      <c r="S200" s="4">
        <v>16</v>
      </c>
      <c r="T200" s="4">
        <v>16</v>
      </c>
      <c r="U200" s="5" t="s">
        <v>878</v>
      </c>
      <c r="V200" s="5" t="s">
        <v>878</v>
      </c>
      <c r="W200" s="5" t="s">
        <v>1416</v>
      </c>
      <c r="X200" s="5" t="s">
        <v>1416</v>
      </c>
      <c r="Y200" s="4">
        <v>512</v>
      </c>
      <c r="Z200" s="4">
        <v>473</v>
      </c>
      <c r="AA200" s="4">
        <v>747</v>
      </c>
      <c r="AB200" s="4">
        <v>3</v>
      </c>
      <c r="AC200" s="4">
        <v>7</v>
      </c>
      <c r="AD200" s="4">
        <v>20</v>
      </c>
      <c r="AE200" s="4">
        <v>33</v>
      </c>
      <c r="AF200" s="4">
        <v>10</v>
      </c>
      <c r="AG200" s="4">
        <v>13</v>
      </c>
      <c r="AH200" s="4">
        <v>2</v>
      </c>
      <c r="AI200" s="4">
        <v>5</v>
      </c>
      <c r="AJ200" s="4">
        <v>12</v>
      </c>
      <c r="AK200" s="4">
        <v>18</v>
      </c>
      <c r="AL200" s="4">
        <v>2</v>
      </c>
      <c r="AM200" s="4">
        <v>6</v>
      </c>
      <c r="AN200" s="4">
        <v>0</v>
      </c>
      <c r="AO200" s="4">
        <v>0</v>
      </c>
      <c r="AP200" s="3" t="s">
        <v>59</v>
      </c>
      <c r="AQ200" s="3" t="s">
        <v>69</v>
      </c>
      <c r="AR200" s="6" t="str">
        <f>HYPERLINK("http://catalog.hathitrust.org/Record/001499281","HathiTrust Record")</f>
        <v>HathiTrust Record</v>
      </c>
      <c r="AS200" s="6" t="str">
        <f>HYPERLINK("https://creighton-primo.hosted.exlibrisgroup.com/primo-explore/search?tab=default_tab&amp;search_scope=EVERYTHING&amp;vid=01CRU&amp;lang=en_US&amp;offset=0&amp;query=any,contains,991001088629702656","Catalog Record")</f>
        <v>Catalog Record</v>
      </c>
      <c r="AT200" s="6" t="str">
        <f>HYPERLINK("http://www.worldcat.org/oclc/181093","WorldCat Record")</f>
        <v>WorldCat Record</v>
      </c>
      <c r="AU200" s="3" t="s">
        <v>2314</v>
      </c>
      <c r="AV200" s="3" t="s">
        <v>2315</v>
      </c>
      <c r="AW200" s="3" t="s">
        <v>2316</v>
      </c>
      <c r="AX200" s="3" t="s">
        <v>2316</v>
      </c>
      <c r="AY200" s="3" t="s">
        <v>2317</v>
      </c>
      <c r="AZ200" s="3" t="s">
        <v>74</v>
      </c>
      <c r="BC200" s="3" t="s">
        <v>2318</v>
      </c>
      <c r="BD200" s="3" t="s">
        <v>2319</v>
      </c>
    </row>
    <row r="201" spans="1:56" ht="57.75" customHeight="1" x14ac:dyDescent="0.25">
      <c r="A201" s="7" t="s">
        <v>59</v>
      </c>
      <c r="B201" s="2" t="s">
        <v>2320</v>
      </c>
      <c r="C201" s="2" t="s">
        <v>2321</v>
      </c>
      <c r="D201" s="2" t="s">
        <v>2322</v>
      </c>
      <c r="F201" s="3" t="s">
        <v>59</v>
      </c>
      <c r="G201" s="3" t="s">
        <v>60</v>
      </c>
      <c r="H201" s="3" t="s">
        <v>59</v>
      </c>
      <c r="I201" s="3" t="s">
        <v>59</v>
      </c>
      <c r="J201" s="3" t="s">
        <v>61</v>
      </c>
      <c r="L201" s="2" t="s">
        <v>2323</v>
      </c>
      <c r="M201" s="3" t="s">
        <v>763</v>
      </c>
      <c r="O201" s="3" t="s">
        <v>64</v>
      </c>
      <c r="P201" s="3" t="s">
        <v>467</v>
      </c>
      <c r="Q201" s="2" t="s">
        <v>2324</v>
      </c>
      <c r="R201" s="3" t="s">
        <v>67</v>
      </c>
      <c r="S201" s="4">
        <v>2</v>
      </c>
      <c r="T201" s="4">
        <v>2</v>
      </c>
      <c r="U201" s="5" t="s">
        <v>1824</v>
      </c>
      <c r="V201" s="5" t="s">
        <v>1824</v>
      </c>
      <c r="W201" s="5" t="s">
        <v>1199</v>
      </c>
      <c r="X201" s="5" t="s">
        <v>1199</v>
      </c>
      <c r="Y201" s="4">
        <v>184</v>
      </c>
      <c r="Z201" s="4">
        <v>155</v>
      </c>
      <c r="AA201" s="4">
        <v>158</v>
      </c>
      <c r="AB201" s="4">
        <v>2</v>
      </c>
      <c r="AC201" s="4">
        <v>2</v>
      </c>
      <c r="AD201" s="4">
        <v>8</v>
      </c>
      <c r="AE201" s="4">
        <v>8</v>
      </c>
      <c r="AF201" s="4">
        <v>0</v>
      </c>
      <c r="AG201" s="4">
        <v>0</v>
      </c>
      <c r="AH201" s="4">
        <v>4</v>
      </c>
      <c r="AI201" s="4">
        <v>4</v>
      </c>
      <c r="AJ201" s="4">
        <v>5</v>
      </c>
      <c r="AK201" s="4">
        <v>5</v>
      </c>
      <c r="AL201" s="4">
        <v>1</v>
      </c>
      <c r="AM201" s="4">
        <v>1</v>
      </c>
      <c r="AN201" s="4">
        <v>0</v>
      </c>
      <c r="AO201" s="4">
        <v>0</v>
      </c>
      <c r="AP201" s="3" t="s">
        <v>59</v>
      </c>
      <c r="AQ201" s="3" t="s">
        <v>69</v>
      </c>
      <c r="AR201" s="6" t="str">
        <f>HYPERLINK("http://catalog.hathitrust.org/Record/000901785","HathiTrust Record")</f>
        <v>HathiTrust Record</v>
      </c>
      <c r="AS201" s="6" t="str">
        <f>HYPERLINK("https://creighton-primo.hosted.exlibrisgroup.com/primo-explore/search?tab=default_tab&amp;search_scope=EVERYTHING&amp;vid=01CRU&amp;lang=en_US&amp;offset=0&amp;query=any,contains,991001110789702656","Catalog Record")</f>
        <v>Catalog Record</v>
      </c>
      <c r="AT201" s="6" t="str">
        <f>HYPERLINK("http://www.worldcat.org/oclc/16467791","WorldCat Record")</f>
        <v>WorldCat Record</v>
      </c>
      <c r="AU201" s="3" t="s">
        <v>2325</v>
      </c>
      <c r="AV201" s="3" t="s">
        <v>2326</v>
      </c>
      <c r="AW201" s="3" t="s">
        <v>2327</v>
      </c>
      <c r="AX201" s="3" t="s">
        <v>2327</v>
      </c>
      <c r="AY201" s="3" t="s">
        <v>2328</v>
      </c>
      <c r="AZ201" s="3" t="s">
        <v>74</v>
      </c>
      <c r="BB201" s="3" t="s">
        <v>2329</v>
      </c>
      <c r="BC201" s="3" t="s">
        <v>2330</v>
      </c>
      <c r="BD201" s="3" t="s">
        <v>2331</v>
      </c>
    </row>
    <row r="202" spans="1:56" ht="57.75" customHeight="1" x14ac:dyDescent="0.25">
      <c r="A202" s="7" t="s">
        <v>59</v>
      </c>
      <c r="B202" s="2" t="s">
        <v>2332</v>
      </c>
      <c r="C202" s="2" t="s">
        <v>2333</v>
      </c>
      <c r="D202" s="2" t="s">
        <v>2334</v>
      </c>
      <c r="F202" s="3" t="s">
        <v>59</v>
      </c>
      <c r="G202" s="3" t="s">
        <v>60</v>
      </c>
      <c r="H202" s="3" t="s">
        <v>59</v>
      </c>
      <c r="I202" s="3" t="s">
        <v>59</v>
      </c>
      <c r="J202" s="3" t="s">
        <v>61</v>
      </c>
      <c r="L202" s="2" t="s">
        <v>2335</v>
      </c>
      <c r="M202" s="3" t="s">
        <v>540</v>
      </c>
      <c r="O202" s="3" t="s">
        <v>64</v>
      </c>
      <c r="P202" s="3" t="s">
        <v>467</v>
      </c>
      <c r="Q202" s="2" t="s">
        <v>2336</v>
      </c>
      <c r="R202" s="3" t="s">
        <v>67</v>
      </c>
      <c r="S202" s="4">
        <v>6</v>
      </c>
      <c r="T202" s="4">
        <v>6</v>
      </c>
      <c r="U202" s="5" t="s">
        <v>2337</v>
      </c>
      <c r="V202" s="5" t="s">
        <v>2337</v>
      </c>
      <c r="W202" s="5" t="s">
        <v>1199</v>
      </c>
      <c r="X202" s="5" t="s">
        <v>1199</v>
      </c>
      <c r="Y202" s="4">
        <v>139</v>
      </c>
      <c r="Z202" s="4">
        <v>101</v>
      </c>
      <c r="AA202" s="4">
        <v>103</v>
      </c>
      <c r="AB202" s="4">
        <v>2</v>
      </c>
      <c r="AC202" s="4">
        <v>2</v>
      </c>
      <c r="AD202" s="4">
        <v>2</v>
      </c>
      <c r="AE202" s="4">
        <v>2</v>
      </c>
      <c r="AF202" s="4">
        <v>0</v>
      </c>
      <c r="AG202" s="4">
        <v>0</v>
      </c>
      <c r="AH202" s="4">
        <v>1</v>
      </c>
      <c r="AI202" s="4">
        <v>1</v>
      </c>
      <c r="AJ202" s="4">
        <v>0</v>
      </c>
      <c r="AK202" s="4">
        <v>0</v>
      </c>
      <c r="AL202" s="4">
        <v>1</v>
      </c>
      <c r="AM202" s="4">
        <v>1</v>
      </c>
      <c r="AN202" s="4">
        <v>0</v>
      </c>
      <c r="AO202" s="4">
        <v>0</v>
      </c>
      <c r="AP202" s="3" t="s">
        <v>59</v>
      </c>
      <c r="AQ202" s="3" t="s">
        <v>69</v>
      </c>
      <c r="AR202" s="6" t="str">
        <f>HYPERLINK("http://catalog.hathitrust.org/Record/000138055","HathiTrust Record")</f>
        <v>HathiTrust Record</v>
      </c>
      <c r="AS202" s="6" t="str">
        <f>HYPERLINK("https://creighton-primo.hosted.exlibrisgroup.com/primo-explore/search?tab=default_tab&amp;search_scope=EVERYTHING&amp;vid=01CRU&amp;lang=en_US&amp;offset=0&amp;query=any,contains,991005070159702656","Catalog Record")</f>
        <v>Catalog Record</v>
      </c>
      <c r="AT202" s="6" t="str">
        <f>HYPERLINK("http://www.worldcat.org/oclc/7006879","WorldCat Record")</f>
        <v>WorldCat Record</v>
      </c>
      <c r="AU202" s="3" t="s">
        <v>2338</v>
      </c>
      <c r="AV202" s="3" t="s">
        <v>2339</v>
      </c>
      <c r="AW202" s="3" t="s">
        <v>2340</v>
      </c>
      <c r="AX202" s="3" t="s">
        <v>2340</v>
      </c>
      <c r="AY202" s="3" t="s">
        <v>2341</v>
      </c>
      <c r="AZ202" s="3" t="s">
        <v>74</v>
      </c>
      <c r="BB202" s="3" t="s">
        <v>2342</v>
      </c>
      <c r="BC202" s="3" t="s">
        <v>2343</v>
      </c>
      <c r="BD202" s="3" t="s">
        <v>2344</v>
      </c>
    </row>
    <row r="203" spans="1:56" ht="57.75" customHeight="1" x14ac:dyDescent="0.25">
      <c r="A203" s="7" t="s">
        <v>59</v>
      </c>
      <c r="B203" s="2" t="s">
        <v>2345</v>
      </c>
      <c r="C203" s="2" t="s">
        <v>2346</v>
      </c>
      <c r="D203" s="2" t="s">
        <v>2347</v>
      </c>
      <c r="F203" s="3" t="s">
        <v>59</v>
      </c>
      <c r="G203" s="3" t="s">
        <v>60</v>
      </c>
      <c r="H203" s="3" t="s">
        <v>59</v>
      </c>
      <c r="I203" s="3" t="s">
        <v>59</v>
      </c>
      <c r="J203" s="3" t="s">
        <v>61</v>
      </c>
      <c r="K203" s="2" t="s">
        <v>2348</v>
      </c>
      <c r="L203" s="2" t="s">
        <v>2349</v>
      </c>
      <c r="M203" s="3" t="s">
        <v>2244</v>
      </c>
      <c r="O203" s="3" t="s">
        <v>64</v>
      </c>
      <c r="P203" s="3" t="s">
        <v>467</v>
      </c>
      <c r="R203" s="3" t="s">
        <v>67</v>
      </c>
      <c r="S203" s="4">
        <v>19</v>
      </c>
      <c r="T203" s="4">
        <v>19</v>
      </c>
      <c r="U203" s="5" t="s">
        <v>1513</v>
      </c>
      <c r="V203" s="5" t="s">
        <v>1513</v>
      </c>
      <c r="W203" s="5" t="s">
        <v>2350</v>
      </c>
      <c r="X203" s="5" t="s">
        <v>2350</v>
      </c>
      <c r="Y203" s="4">
        <v>388</v>
      </c>
      <c r="Z203" s="4">
        <v>295</v>
      </c>
      <c r="AA203" s="4">
        <v>369</v>
      </c>
      <c r="AB203" s="4">
        <v>2</v>
      </c>
      <c r="AC203" s="4">
        <v>2</v>
      </c>
      <c r="AD203" s="4">
        <v>9</v>
      </c>
      <c r="AE203" s="4">
        <v>12</v>
      </c>
      <c r="AF203" s="4">
        <v>3</v>
      </c>
      <c r="AG203" s="4">
        <v>3</v>
      </c>
      <c r="AH203" s="4">
        <v>3</v>
      </c>
      <c r="AI203" s="4">
        <v>6</v>
      </c>
      <c r="AJ203" s="4">
        <v>4</v>
      </c>
      <c r="AK203" s="4">
        <v>5</v>
      </c>
      <c r="AL203" s="4">
        <v>1</v>
      </c>
      <c r="AM203" s="4">
        <v>1</v>
      </c>
      <c r="AN203" s="4">
        <v>0</v>
      </c>
      <c r="AO203" s="4">
        <v>0</v>
      </c>
      <c r="AP203" s="3" t="s">
        <v>59</v>
      </c>
      <c r="AQ203" s="3" t="s">
        <v>59</v>
      </c>
      <c r="AS203" s="6" t="str">
        <f>HYPERLINK("https://creighton-primo.hosted.exlibrisgroup.com/primo-explore/search?tab=default_tab&amp;search_scope=EVERYTHING&amp;vid=01CRU&amp;lang=en_US&amp;offset=0&amp;query=any,contains,991001799609702656","Catalog Record")</f>
        <v>Catalog Record</v>
      </c>
      <c r="AT203" s="6" t="str">
        <f>HYPERLINK("http://www.worldcat.org/oclc/22629120","WorldCat Record")</f>
        <v>WorldCat Record</v>
      </c>
      <c r="AU203" s="3" t="s">
        <v>2351</v>
      </c>
      <c r="AV203" s="3" t="s">
        <v>2352</v>
      </c>
      <c r="AW203" s="3" t="s">
        <v>2353</v>
      </c>
      <c r="AX203" s="3" t="s">
        <v>2353</v>
      </c>
      <c r="AY203" s="3" t="s">
        <v>2354</v>
      </c>
      <c r="AZ203" s="3" t="s">
        <v>74</v>
      </c>
      <c r="BB203" s="3" t="s">
        <v>2355</v>
      </c>
      <c r="BC203" s="3" t="s">
        <v>2356</v>
      </c>
      <c r="BD203" s="3" t="s">
        <v>2357</v>
      </c>
    </row>
    <row r="204" spans="1:56" ht="57.75" customHeight="1" x14ac:dyDescent="0.25">
      <c r="A204" s="7" t="s">
        <v>59</v>
      </c>
      <c r="B204" s="2" t="s">
        <v>2358</v>
      </c>
      <c r="C204" s="2" t="s">
        <v>2359</v>
      </c>
      <c r="D204" s="2" t="s">
        <v>2360</v>
      </c>
      <c r="F204" s="3" t="s">
        <v>59</v>
      </c>
      <c r="G204" s="3" t="s">
        <v>60</v>
      </c>
      <c r="H204" s="3" t="s">
        <v>59</v>
      </c>
      <c r="I204" s="3" t="s">
        <v>59</v>
      </c>
      <c r="J204" s="3" t="s">
        <v>61</v>
      </c>
      <c r="L204" s="2" t="s">
        <v>2361</v>
      </c>
      <c r="M204" s="3" t="s">
        <v>511</v>
      </c>
      <c r="O204" s="3" t="s">
        <v>64</v>
      </c>
      <c r="P204" s="3" t="s">
        <v>2362</v>
      </c>
      <c r="Q204" s="2" t="s">
        <v>2363</v>
      </c>
      <c r="R204" s="3" t="s">
        <v>67</v>
      </c>
      <c r="S204" s="4">
        <v>13</v>
      </c>
      <c r="T204" s="4">
        <v>13</v>
      </c>
      <c r="U204" s="5" t="s">
        <v>2364</v>
      </c>
      <c r="V204" s="5" t="s">
        <v>2364</v>
      </c>
      <c r="W204" s="5" t="s">
        <v>2365</v>
      </c>
      <c r="X204" s="5" t="s">
        <v>2365</v>
      </c>
      <c r="Y204" s="4">
        <v>398</v>
      </c>
      <c r="Z204" s="4">
        <v>270</v>
      </c>
      <c r="AA204" s="4">
        <v>287</v>
      </c>
      <c r="AB204" s="4">
        <v>1</v>
      </c>
      <c r="AC204" s="4">
        <v>1</v>
      </c>
      <c r="AD204" s="4">
        <v>13</v>
      </c>
      <c r="AE204" s="4">
        <v>13</v>
      </c>
      <c r="AF204" s="4">
        <v>6</v>
      </c>
      <c r="AG204" s="4">
        <v>6</v>
      </c>
      <c r="AH204" s="4">
        <v>4</v>
      </c>
      <c r="AI204" s="4">
        <v>4</v>
      </c>
      <c r="AJ204" s="4">
        <v>8</v>
      </c>
      <c r="AK204" s="4">
        <v>8</v>
      </c>
      <c r="AL204" s="4">
        <v>0</v>
      </c>
      <c r="AM204" s="4">
        <v>0</v>
      </c>
      <c r="AN204" s="4">
        <v>0</v>
      </c>
      <c r="AO204" s="4">
        <v>0</v>
      </c>
      <c r="AP204" s="3" t="s">
        <v>59</v>
      </c>
      <c r="AQ204" s="3" t="s">
        <v>59</v>
      </c>
      <c r="AS204" s="6" t="str">
        <f>HYPERLINK("https://creighton-primo.hosted.exlibrisgroup.com/primo-explore/search?tab=default_tab&amp;search_scope=EVERYTHING&amp;vid=01CRU&amp;lang=en_US&amp;offset=0&amp;query=any,contains,991002423829702656","Catalog Record")</f>
        <v>Catalog Record</v>
      </c>
      <c r="AT204" s="6" t="str">
        <f>HYPERLINK("http://www.worldcat.org/oclc/31606184","WorldCat Record")</f>
        <v>WorldCat Record</v>
      </c>
      <c r="AU204" s="3" t="s">
        <v>2366</v>
      </c>
      <c r="AV204" s="3" t="s">
        <v>2367</v>
      </c>
      <c r="AW204" s="3" t="s">
        <v>2368</v>
      </c>
      <c r="AX204" s="3" t="s">
        <v>2368</v>
      </c>
      <c r="AY204" s="3" t="s">
        <v>2369</v>
      </c>
      <c r="AZ204" s="3" t="s">
        <v>74</v>
      </c>
      <c r="BB204" s="3" t="s">
        <v>2370</v>
      </c>
      <c r="BC204" s="3" t="s">
        <v>2371</v>
      </c>
      <c r="BD204" s="3" t="s">
        <v>2372</v>
      </c>
    </row>
    <row r="205" spans="1:56" ht="57.75" customHeight="1" x14ac:dyDescent="0.25">
      <c r="A205" s="7" t="s">
        <v>59</v>
      </c>
      <c r="B205" s="2" t="s">
        <v>2373</v>
      </c>
      <c r="C205" s="2" t="s">
        <v>2374</v>
      </c>
      <c r="D205" s="2" t="s">
        <v>2375</v>
      </c>
      <c r="F205" s="3" t="s">
        <v>59</v>
      </c>
      <c r="G205" s="3" t="s">
        <v>60</v>
      </c>
      <c r="H205" s="3" t="s">
        <v>59</v>
      </c>
      <c r="I205" s="3" t="s">
        <v>59</v>
      </c>
      <c r="J205" s="3" t="s">
        <v>61</v>
      </c>
      <c r="K205" s="2" t="s">
        <v>2376</v>
      </c>
      <c r="L205" s="2" t="s">
        <v>2377</v>
      </c>
      <c r="M205" s="3" t="s">
        <v>1182</v>
      </c>
      <c r="O205" s="3" t="s">
        <v>64</v>
      </c>
      <c r="P205" s="3" t="s">
        <v>145</v>
      </c>
      <c r="R205" s="3" t="s">
        <v>67</v>
      </c>
      <c r="S205" s="4">
        <v>1</v>
      </c>
      <c r="T205" s="4">
        <v>1</v>
      </c>
      <c r="U205" s="5" t="s">
        <v>2378</v>
      </c>
      <c r="V205" s="5" t="s">
        <v>2378</v>
      </c>
      <c r="W205" s="5" t="s">
        <v>2379</v>
      </c>
      <c r="X205" s="5" t="s">
        <v>2379</v>
      </c>
      <c r="Y205" s="4">
        <v>121</v>
      </c>
      <c r="Z205" s="4">
        <v>94</v>
      </c>
      <c r="AA205" s="4">
        <v>184</v>
      </c>
      <c r="AB205" s="4">
        <v>2</v>
      </c>
      <c r="AC205" s="4">
        <v>3</v>
      </c>
      <c r="AD205" s="4">
        <v>4</v>
      </c>
      <c r="AE205" s="4">
        <v>10</v>
      </c>
      <c r="AF205" s="4">
        <v>1</v>
      </c>
      <c r="AG205" s="4">
        <v>3</v>
      </c>
      <c r="AH205" s="4">
        <v>0</v>
      </c>
      <c r="AI205" s="4">
        <v>0</v>
      </c>
      <c r="AJ205" s="4">
        <v>3</v>
      </c>
      <c r="AK205" s="4">
        <v>6</v>
      </c>
      <c r="AL205" s="4">
        <v>1</v>
      </c>
      <c r="AM205" s="4">
        <v>2</v>
      </c>
      <c r="AN205" s="4">
        <v>0</v>
      </c>
      <c r="AO205" s="4">
        <v>0</v>
      </c>
      <c r="AP205" s="3" t="s">
        <v>59</v>
      </c>
      <c r="AQ205" s="3" t="s">
        <v>59</v>
      </c>
      <c r="AS205" s="6" t="str">
        <f>HYPERLINK("https://creighton-primo.hosted.exlibrisgroup.com/primo-explore/search?tab=default_tab&amp;search_scope=EVERYTHING&amp;vid=01CRU&amp;lang=en_US&amp;offset=0&amp;query=any,contains,991001797389702656","Catalog Record")</f>
        <v>Catalog Record</v>
      </c>
      <c r="AT205" s="6" t="str">
        <f>HYPERLINK("http://www.worldcat.org/oclc/22623545","WorldCat Record")</f>
        <v>WorldCat Record</v>
      </c>
      <c r="AU205" s="3" t="s">
        <v>2380</v>
      </c>
      <c r="AV205" s="3" t="s">
        <v>2381</v>
      </c>
      <c r="AW205" s="3" t="s">
        <v>2382</v>
      </c>
      <c r="AX205" s="3" t="s">
        <v>2382</v>
      </c>
      <c r="AY205" s="3" t="s">
        <v>2383</v>
      </c>
      <c r="AZ205" s="3" t="s">
        <v>74</v>
      </c>
      <c r="BB205" s="3" t="s">
        <v>2384</v>
      </c>
      <c r="BC205" s="3" t="s">
        <v>2385</v>
      </c>
      <c r="BD205" s="3" t="s">
        <v>2386</v>
      </c>
    </row>
    <row r="206" spans="1:56" ht="57.75" customHeight="1" x14ac:dyDescent="0.25">
      <c r="A206" s="7" t="s">
        <v>59</v>
      </c>
      <c r="B206" s="2" t="s">
        <v>2387</v>
      </c>
      <c r="C206" s="2" t="s">
        <v>2388</v>
      </c>
      <c r="D206" s="2" t="s">
        <v>2389</v>
      </c>
      <c r="E206" s="3" t="s">
        <v>904</v>
      </c>
      <c r="F206" s="3" t="s">
        <v>69</v>
      </c>
      <c r="G206" s="3" t="s">
        <v>60</v>
      </c>
      <c r="H206" s="3" t="s">
        <v>59</v>
      </c>
      <c r="I206" s="3" t="s">
        <v>59</v>
      </c>
      <c r="J206" s="3" t="s">
        <v>61</v>
      </c>
      <c r="K206" s="2" t="s">
        <v>2390</v>
      </c>
      <c r="L206" s="2" t="s">
        <v>2391</v>
      </c>
      <c r="M206" s="3" t="s">
        <v>931</v>
      </c>
      <c r="O206" s="3" t="s">
        <v>64</v>
      </c>
      <c r="P206" s="3" t="s">
        <v>467</v>
      </c>
      <c r="R206" s="3" t="s">
        <v>67</v>
      </c>
      <c r="S206" s="4">
        <v>12</v>
      </c>
      <c r="T206" s="4">
        <v>18</v>
      </c>
      <c r="U206" s="5" t="s">
        <v>2392</v>
      </c>
      <c r="V206" s="5" t="s">
        <v>2392</v>
      </c>
      <c r="W206" s="5" t="s">
        <v>1416</v>
      </c>
      <c r="X206" s="5" t="s">
        <v>1416</v>
      </c>
      <c r="Y206" s="4">
        <v>526</v>
      </c>
      <c r="Z206" s="4">
        <v>428</v>
      </c>
      <c r="AA206" s="4">
        <v>444</v>
      </c>
      <c r="AB206" s="4">
        <v>3</v>
      </c>
      <c r="AC206" s="4">
        <v>3</v>
      </c>
      <c r="AD206" s="4">
        <v>19</v>
      </c>
      <c r="AE206" s="4">
        <v>19</v>
      </c>
      <c r="AF206" s="4">
        <v>7</v>
      </c>
      <c r="AG206" s="4">
        <v>7</v>
      </c>
      <c r="AH206" s="4">
        <v>5</v>
      </c>
      <c r="AI206" s="4">
        <v>5</v>
      </c>
      <c r="AJ206" s="4">
        <v>10</v>
      </c>
      <c r="AK206" s="4">
        <v>10</v>
      </c>
      <c r="AL206" s="4">
        <v>2</v>
      </c>
      <c r="AM206" s="4">
        <v>2</v>
      </c>
      <c r="AN206" s="4">
        <v>0</v>
      </c>
      <c r="AO206" s="4">
        <v>0</v>
      </c>
      <c r="AP206" s="3" t="s">
        <v>59</v>
      </c>
      <c r="AQ206" s="3" t="s">
        <v>69</v>
      </c>
      <c r="AR206" s="6" t="str">
        <f>HYPERLINK("http://catalog.hathitrust.org/Record/000276194","HathiTrust Record")</f>
        <v>HathiTrust Record</v>
      </c>
      <c r="AS206" s="6" t="str">
        <f>HYPERLINK("https://creighton-primo.hosted.exlibrisgroup.com/primo-explore/search?tab=default_tab&amp;search_scope=EVERYTHING&amp;vid=01CRU&amp;lang=en_US&amp;offset=0&amp;query=any,contains,991003193079702656","Catalog Record")</f>
        <v>Catalog Record</v>
      </c>
      <c r="AT206" s="6" t="str">
        <f>HYPERLINK("http://www.worldcat.org/oclc/718135","WorldCat Record")</f>
        <v>WorldCat Record</v>
      </c>
      <c r="AU206" s="3" t="s">
        <v>2393</v>
      </c>
      <c r="AV206" s="3" t="s">
        <v>2394</v>
      </c>
      <c r="AW206" s="3" t="s">
        <v>2395</v>
      </c>
      <c r="AX206" s="3" t="s">
        <v>2395</v>
      </c>
      <c r="AY206" s="3" t="s">
        <v>2396</v>
      </c>
      <c r="AZ206" s="3" t="s">
        <v>74</v>
      </c>
      <c r="BB206" s="3" t="s">
        <v>2397</v>
      </c>
      <c r="BC206" s="3" t="s">
        <v>2398</v>
      </c>
      <c r="BD206" s="3" t="s">
        <v>2399</v>
      </c>
    </row>
    <row r="207" spans="1:56" ht="57.75" customHeight="1" x14ac:dyDescent="0.25">
      <c r="A207" s="7" t="s">
        <v>59</v>
      </c>
      <c r="B207" s="2" t="s">
        <v>2387</v>
      </c>
      <c r="C207" s="2" t="s">
        <v>2388</v>
      </c>
      <c r="D207" s="2" t="s">
        <v>2389</v>
      </c>
      <c r="E207" s="3" t="s">
        <v>917</v>
      </c>
      <c r="F207" s="3" t="s">
        <v>69</v>
      </c>
      <c r="G207" s="3" t="s">
        <v>60</v>
      </c>
      <c r="H207" s="3" t="s">
        <v>59</v>
      </c>
      <c r="I207" s="3" t="s">
        <v>59</v>
      </c>
      <c r="J207" s="3" t="s">
        <v>61</v>
      </c>
      <c r="K207" s="2" t="s">
        <v>2390</v>
      </c>
      <c r="L207" s="2" t="s">
        <v>2391</v>
      </c>
      <c r="M207" s="3" t="s">
        <v>931</v>
      </c>
      <c r="O207" s="3" t="s">
        <v>64</v>
      </c>
      <c r="P207" s="3" t="s">
        <v>467</v>
      </c>
      <c r="R207" s="3" t="s">
        <v>67</v>
      </c>
      <c r="S207" s="4">
        <v>3</v>
      </c>
      <c r="T207" s="4">
        <v>18</v>
      </c>
      <c r="U207" s="5" t="s">
        <v>725</v>
      </c>
      <c r="V207" s="5" t="s">
        <v>2392</v>
      </c>
      <c r="W207" s="5" t="s">
        <v>1416</v>
      </c>
      <c r="X207" s="5" t="s">
        <v>1416</v>
      </c>
      <c r="Y207" s="4">
        <v>526</v>
      </c>
      <c r="Z207" s="4">
        <v>428</v>
      </c>
      <c r="AA207" s="4">
        <v>444</v>
      </c>
      <c r="AB207" s="4">
        <v>3</v>
      </c>
      <c r="AC207" s="4">
        <v>3</v>
      </c>
      <c r="AD207" s="4">
        <v>19</v>
      </c>
      <c r="AE207" s="4">
        <v>19</v>
      </c>
      <c r="AF207" s="4">
        <v>7</v>
      </c>
      <c r="AG207" s="4">
        <v>7</v>
      </c>
      <c r="AH207" s="4">
        <v>5</v>
      </c>
      <c r="AI207" s="4">
        <v>5</v>
      </c>
      <c r="AJ207" s="4">
        <v>10</v>
      </c>
      <c r="AK207" s="4">
        <v>10</v>
      </c>
      <c r="AL207" s="4">
        <v>2</v>
      </c>
      <c r="AM207" s="4">
        <v>2</v>
      </c>
      <c r="AN207" s="4">
        <v>0</v>
      </c>
      <c r="AO207" s="4">
        <v>0</v>
      </c>
      <c r="AP207" s="3" t="s">
        <v>59</v>
      </c>
      <c r="AQ207" s="3" t="s">
        <v>69</v>
      </c>
      <c r="AR207" s="6" t="str">
        <f>HYPERLINK("http://catalog.hathitrust.org/Record/000276194","HathiTrust Record")</f>
        <v>HathiTrust Record</v>
      </c>
      <c r="AS207" s="6" t="str">
        <f>HYPERLINK("https://creighton-primo.hosted.exlibrisgroup.com/primo-explore/search?tab=default_tab&amp;search_scope=EVERYTHING&amp;vid=01CRU&amp;lang=en_US&amp;offset=0&amp;query=any,contains,991003193079702656","Catalog Record")</f>
        <v>Catalog Record</v>
      </c>
      <c r="AT207" s="6" t="str">
        <f>HYPERLINK("http://www.worldcat.org/oclc/718135","WorldCat Record")</f>
        <v>WorldCat Record</v>
      </c>
      <c r="AU207" s="3" t="s">
        <v>2393</v>
      </c>
      <c r="AV207" s="3" t="s">
        <v>2394</v>
      </c>
      <c r="AW207" s="3" t="s">
        <v>2395</v>
      </c>
      <c r="AX207" s="3" t="s">
        <v>2395</v>
      </c>
      <c r="AY207" s="3" t="s">
        <v>2396</v>
      </c>
      <c r="AZ207" s="3" t="s">
        <v>74</v>
      </c>
      <c r="BB207" s="3" t="s">
        <v>2397</v>
      </c>
      <c r="BC207" s="3" t="s">
        <v>2400</v>
      </c>
      <c r="BD207" s="3" t="s">
        <v>2401</v>
      </c>
    </row>
    <row r="208" spans="1:56" ht="57.75" customHeight="1" x14ac:dyDescent="0.25">
      <c r="A208" s="7" t="s">
        <v>59</v>
      </c>
      <c r="B208" s="2" t="s">
        <v>2387</v>
      </c>
      <c r="C208" s="2" t="s">
        <v>2388</v>
      </c>
      <c r="D208" s="2" t="s">
        <v>2389</v>
      </c>
      <c r="E208" s="3" t="s">
        <v>923</v>
      </c>
      <c r="F208" s="3" t="s">
        <v>69</v>
      </c>
      <c r="G208" s="3" t="s">
        <v>60</v>
      </c>
      <c r="H208" s="3" t="s">
        <v>59</v>
      </c>
      <c r="I208" s="3" t="s">
        <v>59</v>
      </c>
      <c r="J208" s="3" t="s">
        <v>61</v>
      </c>
      <c r="K208" s="2" t="s">
        <v>2390</v>
      </c>
      <c r="L208" s="2" t="s">
        <v>2391</v>
      </c>
      <c r="M208" s="3" t="s">
        <v>931</v>
      </c>
      <c r="O208" s="3" t="s">
        <v>64</v>
      </c>
      <c r="P208" s="3" t="s">
        <v>467</v>
      </c>
      <c r="R208" s="3" t="s">
        <v>67</v>
      </c>
      <c r="S208" s="4">
        <v>3</v>
      </c>
      <c r="T208" s="4">
        <v>18</v>
      </c>
      <c r="U208" s="5" t="s">
        <v>725</v>
      </c>
      <c r="V208" s="5" t="s">
        <v>2392</v>
      </c>
      <c r="W208" s="5" t="s">
        <v>1416</v>
      </c>
      <c r="X208" s="5" t="s">
        <v>1416</v>
      </c>
      <c r="Y208" s="4">
        <v>526</v>
      </c>
      <c r="Z208" s="4">
        <v>428</v>
      </c>
      <c r="AA208" s="4">
        <v>444</v>
      </c>
      <c r="AB208" s="4">
        <v>3</v>
      </c>
      <c r="AC208" s="4">
        <v>3</v>
      </c>
      <c r="AD208" s="4">
        <v>19</v>
      </c>
      <c r="AE208" s="4">
        <v>19</v>
      </c>
      <c r="AF208" s="4">
        <v>7</v>
      </c>
      <c r="AG208" s="4">
        <v>7</v>
      </c>
      <c r="AH208" s="4">
        <v>5</v>
      </c>
      <c r="AI208" s="4">
        <v>5</v>
      </c>
      <c r="AJ208" s="4">
        <v>10</v>
      </c>
      <c r="AK208" s="4">
        <v>10</v>
      </c>
      <c r="AL208" s="4">
        <v>2</v>
      </c>
      <c r="AM208" s="4">
        <v>2</v>
      </c>
      <c r="AN208" s="4">
        <v>0</v>
      </c>
      <c r="AO208" s="4">
        <v>0</v>
      </c>
      <c r="AP208" s="3" t="s">
        <v>59</v>
      </c>
      <c r="AQ208" s="3" t="s">
        <v>69</v>
      </c>
      <c r="AR208" s="6" t="str">
        <f>HYPERLINK("http://catalog.hathitrust.org/Record/000276194","HathiTrust Record")</f>
        <v>HathiTrust Record</v>
      </c>
      <c r="AS208" s="6" t="str">
        <f>HYPERLINK("https://creighton-primo.hosted.exlibrisgroup.com/primo-explore/search?tab=default_tab&amp;search_scope=EVERYTHING&amp;vid=01CRU&amp;lang=en_US&amp;offset=0&amp;query=any,contains,991003193079702656","Catalog Record")</f>
        <v>Catalog Record</v>
      </c>
      <c r="AT208" s="6" t="str">
        <f>HYPERLINK("http://www.worldcat.org/oclc/718135","WorldCat Record")</f>
        <v>WorldCat Record</v>
      </c>
      <c r="AU208" s="3" t="s">
        <v>2393</v>
      </c>
      <c r="AV208" s="3" t="s">
        <v>2394</v>
      </c>
      <c r="AW208" s="3" t="s">
        <v>2395</v>
      </c>
      <c r="AX208" s="3" t="s">
        <v>2395</v>
      </c>
      <c r="AY208" s="3" t="s">
        <v>2396</v>
      </c>
      <c r="AZ208" s="3" t="s">
        <v>74</v>
      </c>
      <c r="BB208" s="3" t="s">
        <v>2397</v>
      </c>
      <c r="BC208" s="3" t="s">
        <v>2402</v>
      </c>
      <c r="BD208" s="3" t="s">
        <v>2403</v>
      </c>
    </row>
    <row r="209" spans="1:56" ht="57.75" customHeight="1" x14ac:dyDescent="0.25">
      <c r="A209" s="7" t="s">
        <v>59</v>
      </c>
      <c r="B209" s="2" t="s">
        <v>2404</v>
      </c>
      <c r="C209" s="2" t="s">
        <v>2405</v>
      </c>
      <c r="D209" s="2" t="s">
        <v>2406</v>
      </c>
      <c r="F209" s="3" t="s">
        <v>59</v>
      </c>
      <c r="G209" s="3" t="s">
        <v>60</v>
      </c>
      <c r="H209" s="3" t="s">
        <v>59</v>
      </c>
      <c r="I209" s="3" t="s">
        <v>59</v>
      </c>
      <c r="J209" s="3" t="s">
        <v>61</v>
      </c>
      <c r="L209" s="2" t="s">
        <v>2407</v>
      </c>
      <c r="M209" s="3" t="s">
        <v>63</v>
      </c>
      <c r="O209" s="3" t="s">
        <v>64</v>
      </c>
      <c r="P209" s="3" t="s">
        <v>1078</v>
      </c>
      <c r="R209" s="3" t="s">
        <v>67</v>
      </c>
      <c r="S209" s="4">
        <v>3</v>
      </c>
      <c r="T209" s="4">
        <v>3</v>
      </c>
      <c r="U209" s="5" t="s">
        <v>1513</v>
      </c>
      <c r="V209" s="5" t="s">
        <v>1513</v>
      </c>
      <c r="W209" s="5" t="s">
        <v>2408</v>
      </c>
      <c r="X209" s="5" t="s">
        <v>2408</v>
      </c>
      <c r="Y209" s="4">
        <v>369</v>
      </c>
      <c r="Z209" s="4">
        <v>267</v>
      </c>
      <c r="AA209" s="4">
        <v>287</v>
      </c>
      <c r="AB209" s="4">
        <v>1</v>
      </c>
      <c r="AC209" s="4">
        <v>1</v>
      </c>
      <c r="AD209" s="4">
        <v>14</v>
      </c>
      <c r="AE209" s="4">
        <v>15</v>
      </c>
      <c r="AF209" s="4">
        <v>8</v>
      </c>
      <c r="AG209" s="4">
        <v>9</v>
      </c>
      <c r="AH209" s="4">
        <v>2</v>
      </c>
      <c r="AI209" s="4">
        <v>2</v>
      </c>
      <c r="AJ209" s="4">
        <v>8</v>
      </c>
      <c r="AK209" s="4">
        <v>8</v>
      </c>
      <c r="AL209" s="4">
        <v>0</v>
      </c>
      <c r="AM209" s="4">
        <v>0</v>
      </c>
      <c r="AN209" s="4">
        <v>0</v>
      </c>
      <c r="AO209" s="4">
        <v>0</v>
      </c>
      <c r="AP209" s="3" t="s">
        <v>59</v>
      </c>
      <c r="AQ209" s="3" t="s">
        <v>59</v>
      </c>
      <c r="AS209" s="6" t="str">
        <f>HYPERLINK("https://creighton-primo.hosted.exlibrisgroup.com/primo-explore/search?tab=default_tab&amp;search_scope=EVERYTHING&amp;vid=01CRU&amp;lang=en_US&amp;offset=0&amp;query=any,contains,991004474459702656","Catalog Record")</f>
        <v>Catalog Record</v>
      </c>
      <c r="AT209" s="6" t="str">
        <f>HYPERLINK("http://www.worldcat.org/oclc/47675816","WorldCat Record")</f>
        <v>WorldCat Record</v>
      </c>
      <c r="AU209" s="3" t="s">
        <v>2409</v>
      </c>
      <c r="AV209" s="3" t="s">
        <v>2410</v>
      </c>
      <c r="AW209" s="3" t="s">
        <v>2411</v>
      </c>
      <c r="AX209" s="3" t="s">
        <v>2411</v>
      </c>
      <c r="AY209" s="3" t="s">
        <v>2412</v>
      </c>
      <c r="AZ209" s="3" t="s">
        <v>74</v>
      </c>
      <c r="BB209" s="3" t="s">
        <v>2413</v>
      </c>
      <c r="BC209" s="3" t="s">
        <v>2414</v>
      </c>
      <c r="BD209" s="3" t="s">
        <v>2415</v>
      </c>
    </row>
    <row r="210" spans="1:56" ht="57.75" customHeight="1" x14ac:dyDescent="0.25">
      <c r="A210" s="7" t="s">
        <v>59</v>
      </c>
      <c r="B210" s="2" t="s">
        <v>2416</v>
      </c>
      <c r="C210" s="2" t="s">
        <v>2417</v>
      </c>
      <c r="D210" s="2" t="s">
        <v>2418</v>
      </c>
      <c r="F210" s="3" t="s">
        <v>59</v>
      </c>
      <c r="G210" s="3" t="s">
        <v>60</v>
      </c>
      <c r="H210" s="3" t="s">
        <v>59</v>
      </c>
      <c r="I210" s="3" t="s">
        <v>59</v>
      </c>
      <c r="J210" s="3" t="s">
        <v>61</v>
      </c>
      <c r="K210" s="2" t="s">
        <v>2419</v>
      </c>
      <c r="L210" s="2" t="s">
        <v>2420</v>
      </c>
      <c r="M210" s="3" t="s">
        <v>2421</v>
      </c>
      <c r="O210" s="3" t="s">
        <v>64</v>
      </c>
      <c r="P210" s="3" t="s">
        <v>541</v>
      </c>
      <c r="R210" s="3" t="s">
        <v>67</v>
      </c>
      <c r="S210" s="4">
        <v>7</v>
      </c>
      <c r="T210" s="4">
        <v>7</v>
      </c>
      <c r="U210" s="5" t="s">
        <v>2422</v>
      </c>
      <c r="V210" s="5" t="s">
        <v>2422</v>
      </c>
      <c r="W210" s="5" t="s">
        <v>2423</v>
      </c>
      <c r="X210" s="5" t="s">
        <v>2423</v>
      </c>
      <c r="Y210" s="4">
        <v>413</v>
      </c>
      <c r="Z210" s="4">
        <v>312</v>
      </c>
      <c r="AA210" s="4">
        <v>335</v>
      </c>
      <c r="AB210" s="4">
        <v>3</v>
      </c>
      <c r="AC210" s="4">
        <v>3</v>
      </c>
      <c r="AD210" s="4">
        <v>13</v>
      </c>
      <c r="AE210" s="4">
        <v>14</v>
      </c>
      <c r="AF210" s="4">
        <v>4</v>
      </c>
      <c r="AG210" s="4">
        <v>5</v>
      </c>
      <c r="AH210" s="4">
        <v>4</v>
      </c>
      <c r="AI210" s="4">
        <v>4</v>
      </c>
      <c r="AJ210" s="4">
        <v>6</v>
      </c>
      <c r="AK210" s="4">
        <v>7</v>
      </c>
      <c r="AL210" s="4">
        <v>2</v>
      </c>
      <c r="AM210" s="4">
        <v>2</v>
      </c>
      <c r="AN210" s="4">
        <v>0</v>
      </c>
      <c r="AO210" s="4">
        <v>0</v>
      </c>
      <c r="AP210" s="3" t="s">
        <v>59</v>
      </c>
      <c r="AQ210" s="3" t="s">
        <v>69</v>
      </c>
      <c r="AR210" s="6" t="str">
        <f>HYPERLINK("http://catalog.hathitrust.org/Record/000907722","HathiTrust Record")</f>
        <v>HathiTrust Record</v>
      </c>
      <c r="AS210" s="6" t="str">
        <f>HYPERLINK("https://creighton-primo.hosted.exlibrisgroup.com/primo-explore/search?tab=default_tab&amp;search_scope=EVERYTHING&amp;vid=01CRU&amp;lang=en_US&amp;offset=0&amp;query=any,contains,991001105249702656","Catalog Record")</f>
        <v>Catalog Record</v>
      </c>
      <c r="AT210" s="6" t="str">
        <f>HYPERLINK("http://www.worldcat.org/oclc/16404481","WorldCat Record")</f>
        <v>WorldCat Record</v>
      </c>
      <c r="AU210" s="3" t="s">
        <v>2424</v>
      </c>
      <c r="AV210" s="3" t="s">
        <v>2425</v>
      </c>
      <c r="AW210" s="3" t="s">
        <v>2426</v>
      </c>
      <c r="AX210" s="3" t="s">
        <v>2426</v>
      </c>
      <c r="AY210" s="3" t="s">
        <v>2427</v>
      </c>
      <c r="AZ210" s="3" t="s">
        <v>74</v>
      </c>
      <c r="BB210" s="3" t="s">
        <v>2428</v>
      </c>
      <c r="BC210" s="3" t="s">
        <v>2429</v>
      </c>
      <c r="BD210" s="3" t="s">
        <v>2430</v>
      </c>
    </row>
    <row r="211" spans="1:56" ht="57.75" customHeight="1" x14ac:dyDescent="0.25">
      <c r="A211" s="7" t="s">
        <v>59</v>
      </c>
      <c r="B211" s="2" t="s">
        <v>2431</v>
      </c>
      <c r="C211" s="2" t="s">
        <v>2432</v>
      </c>
      <c r="D211" s="2" t="s">
        <v>2433</v>
      </c>
      <c r="F211" s="3" t="s">
        <v>59</v>
      </c>
      <c r="G211" s="3" t="s">
        <v>60</v>
      </c>
      <c r="H211" s="3" t="s">
        <v>59</v>
      </c>
      <c r="I211" s="3" t="s">
        <v>59</v>
      </c>
      <c r="J211" s="3" t="s">
        <v>61</v>
      </c>
      <c r="K211" s="2" t="s">
        <v>2434</v>
      </c>
      <c r="L211" s="2" t="s">
        <v>2435</v>
      </c>
      <c r="M211" s="3" t="s">
        <v>2421</v>
      </c>
      <c r="O211" s="3" t="s">
        <v>64</v>
      </c>
      <c r="P211" s="3" t="s">
        <v>405</v>
      </c>
      <c r="R211" s="3" t="s">
        <v>67</v>
      </c>
      <c r="S211" s="4">
        <v>2</v>
      </c>
      <c r="T211" s="4">
        <v>2</v>
      </c>
      <c r="U211" s="5" t="s">
        <v>2436</v>
      </c>
      <c r="V211" s="5" t="s">
        <v>2436</v>
      </c>
      <c r="W211" s="5" t="s">
        <v>2437</v>
      </c>
      <c r="X211" s="5" t="s">
        <v>2437</v>
      </c>
      <c r="Y211" s="4">
        <v>376</v>
      </c>
      <c r="Z211" s="4">
        <v>275</v>
      </c>
      <c r="AA211" s="4">
        <v>290</v>
      </c>
      <c r="AB211" s="4">
        <v>3</v>
      </c>
      <c r="AC211" s="4">
        <v>3</v>
      </c>
      <c r="AD211" s="4">
        <v>11</v>
      </c>
      <c r="AE211" s="4">
        <v>11</v>
      </c>
      <c r="AF211" s="4">
        <v>1</v>
      </c>
      <c r="AG211" s="4">
        <v>1</v>
      </c>
      <c r="AH211" s="4">
        <v>4</v>
      </c>
      <c r="AI211" s="4">
        <v>4</v>
      </c>
      <c r="AJ211" s="4">
        <v>6</v>
      </c>
      <c r="AK211" s="4">
        <v>6</v>
      </c>
      <c r="AL211" s="4">
        <v>2</v>
      </c>
      <c r="AM211" s="4">
        <v>2</v>
      </c>
      <c r="AN211" s="4">
        <v>0</v>
      </c>
      <c r="AO211" s="4">
        <v>0</v>
      </c>
      <c r="AP211" s="3" t="s">
        <v>59</v>
      </c>
      <c r="AQ211" s="3" t="s">
        <v>59</v>
      </c>
      <c r="AS211" s="6" t="str">
        <f>HYPERLINK("https://creighton-primo.hosted.exlibrisgroup.com/primo-explore/search?tab=default_tab&amp;search_scope=EVERYTHING&amp;vid=01CRU&amp;lang=en_US&amp;offset=0&amp;query=any,contains,991001329689702656","Catalog Record")</f>
        <v>Catalog Record</v>
      </c>
      <c r="AT211" s="6" t="str">
        <f>HYPERLINK("http://www.worldcat.org/oclc/18321211","WorldCat Record")</f>
        <v>WorldCat Record</v>
      </c>
      <c r="AU211" s="3" t="s">
        <v>2438</v>
      </c>
      <c r="AV211" s="3" t="s">
        <v>2439</v>
      </c>
      <c r="AW211" s="3" t="s">
        <v>2440</v>
      </c>
      <c r="AX211" s="3" t="s">
        <v>2440</v>
      </c>
      <c r="AY211" s="3" t="s">
        <v>2441</v>
      </c>
      <c r="AZ211" s="3" t="s">
        <v>74</v>
      </c>
      <c r="BB211" s="3" t="s">
        <v>2442</v>
      </c>
      <c r="BC211" s="3" t="s">
        <v>2443</v>
      </c>
      <c r="BD211" s="3" t="s">
        <v>2444</v>
      </c>
    </row>
    <row r="212" spans="1:56" ht="57.75" customHeight="1" x14ac:dyDescent="0.25">
      <c r="A212" s="7" t="s">
        <v>59</v>
      </c>
      <c r="B212" s="2" t="s">
        <v>2445</v>
      </c>
      <c r="C212" s="2" t="s">
        <v>2446</v>
      </c>
      <c r="D212" s="2" t="s">
        <v>2447</v>
      </c>
      <c r="F212" s="3" t="s">
        <v>59</v>
      </c>
      <c r="G212" s="3" t="s">
        <v>60</v>
      </c>
      <c r="H212" s="3" t="s">
        <v>59</v>
      </c>
      <c r="I212" s="3" t="s">
        <v>59</v>
      </c>
      <c r="J212" s="3" t="s">
        <v>61</v>
      </c>
      <c r="K212" s="2" t="s">
        <v>2448</v>
      </c>
      <c r="L212" s="2" t="s">
        <v>2449</v>
      </c>
      <c r="M212" s="3" t="s">
        <v>763</v>
      </c>
      <c r="O212" s="3" t="s">
        <v>64</v>
      </c>
      <c r="P212" s="3" t="s">
        <v>2450</v>
      </c>
      <c r="Q212" s="2" t="s">
        <v>2451</v>
      </c>
      <c r="R212" s="3" t="s">
        <v>67</v>
      </c>
      <c r="S212" s="4">
        <v>8</v>
      </c>
      <c r="T212" s="4">
        <v>8</v>
      </c>
      <c r="U212" s="5" t="s">
        <v>2452</v>
      </c>
      <c r="V212" s="5" t="s">
        <v>2452</v>
      </c>
      <c r="W212" s="5" t="s">
        <v>1199</v>
      </c>
      <c r="X212" s="5" t="s">
        <v>1199</v>
      </c>
      <c r="Y212" s="4">
        <v>530</v>
      </c>
      <c r="Z212" s="4">
        <v>429</v>
      </c>
      <c r="AA212" s="4">
        <v>450</v>
      </c>
      <c r="AB212" s="4">
        <v>2</v>
      </c>
      <c r="AC212" s="4">
        <v>2</v>
      </c>
      <c r="AD212" s="4">
        <v>12</v>
      </c>
      <c r="AE212" s="4">
        <v>13</v>
      </c>
      <c r="AF212" s="4">
        <v>6</v>
      </c>
      <c r="AG212" s="4">
        <v>7</v>
      </c>
      <c r="AH212" s="4">
        <v>2</v>
      </c>
      <c r="AI212" s="4">
        <v>2</v>
      </c>
      <c r="AJ212" s="4">
        <v>7</v>
      </c>
      <c r="AK212" s="4">
        <v>8</v>
      </c>
      <c r="AL212" s="4">
        <v>1</v>
      </c>
      <c r="AM212" s="4">
        <v>1</v>
      </c>
      <c r="AN212" s="4">
        <v>0</v>
      </c>
      <c r="AO212" s="4">
        <v>0</v>
      </c>
      <c r="AP212" s="3" t="s">
        <v>59</v>
      </c>
      <c r="AQ212" s="3" t="s">
        <v>69</v>
      </c>
      <c r="AR212" s="6" t="str">
        <f>HYPERLINK("http://catalog.hathitrust.org/Record/000805861","HathiTrust Record")</f>
        <v>HathiTrust Record</v>
      </c>
      <c r="AS212" s="6" t="str">
        <f>HYPERLINK("https://creighton-primo.hosted.exlibrisgroup.com/primo-explore/search?tab=default_tab&amp;search_scope=EVERYTHING&amp;vid=01CRU&amp;lang=en_US&amp;offset=0&amp;query=any,contains,991000911519702656","Catalog Record")</f>
        <v>Catalog Record</v>
      </c>
      <c r="AT212" s="6" t="str">
        <f>HYPERLINK("http://www.worldcat.org/oclc/14134657","WorldCat Record")</f>
        <v>WorldCat Record</v>
      </c>
      <c r="AU212" s="3" t="s">
        <v>2453</v>
      </c>
      <c r="AV212" s="3" t="s">
        <v>2454</v>
      </c>
      <c r="AW212" s="3" t="s">
        <v>2455</v>
      </c>
      <c r="AX212" s="3" t="s">
        <v>2455</v>
      </c>
      <c r="AY212" s="3" t="s">
        <v>2456</v>
      </c>
      <c r="AZ212" s="3" t="s">
        <v>74</v>
      </c>
      <c r="BB212" s="3" t="s">
        <v>2457</v>
      </c>
      <c r="BC212" s="3" t="s">
        <v>2458</v>
      </c>
      <c r="BD212" s="3" t="s">
        <v>2459</v>
      </c>
    </row>
    <row r="213" spans="1:56" ht="57.75" customHeight="1" x14ac:dyDescent="0.25">
      <c r="A213" s="7" t="s">
        <v>59</v>
      </c>
      <c r="B213" s="2" t="s">
        <v>2460</v>
      </c>
      <c r="C213" s="2" t="s">
        <v>2461</v>
      </c>
      <c r="D213" s="2" t="s">
        <v>2462</v>
      </c>
      <c r="E213" s="3" t="s">
        <v>2287</v>
      </c>
      <c r="F213" s="3" t="s">
        <v>69</v>
      </c>
      <c r="G213" s="3" t="s">
        <v>60</v>
      </c>
      <c r="H213" s="3" t="s">
        <v>59</v>
      </c>
      <c r="I213" s="3" t="s">
        <v>59</v>
      </c>
      <c r="J213" s="3" t="s">
        <v>61</v>
      </c>
      <c r="L213" s="2" t="s">
        <v>2463</v>
      </c>
      <c r="M213" s="3" t="s">
        <v>684</v>
      </c>
      <c r="N213" s="2" t="s">
        <v>877</v>
      </c>
      <c r="O213" s="3" t="s">
        <v>64</v>
      </c>
      <c r="P213" s="3" t="s">
        <v>2464</v>
      </c>
      <c r="R213" s="3" t="s">
        <v>67</v>
      </c>
      <c r="S213" s="4">
        <v>1</v>
      </c>
      <c r="T213" s="4">
        <v>2</v>
      </c>
      <c r="U213" s="5" t="s">
        <v>1362</v>
      </c>
      <c r="V213" s="5" t="s">
        <v>1362</v>
      </c>
      <c r="W213" s="5" t="s">
        <v>2465</v>
      </c>
      <c r="X213" s="5" t="s">
        <v>2465</v>
      </c>
      <c r="Y213" s="4">
        <v>156</v>
      </c>
      <c r="Z213" s="4">
        <v>130</v>
      </c>
      <c r="AA213" s="4">
        <v>133</v>
      </c>
      <c r="AB213" s="4">
        <v>4</v>
      </c>
      <c r="AC213" s="4">
        <v>4</v>
      </c>
      <c r="AD213" s="4">
        <v>10</v>
      </c>
      <c r="AE213" s="4">
        <v>10</v>
      </c>
      <c r="AF213" s="4">
        <v>3</v>
      </c>
      <c r="AG213" s="4">
        <v>3</v>
      </c>
      <c r="AH213" s="4">
        <v>3</v>
      </c>
      <c r="AI213" s="4">
        <v>3</v>
      </c>
      <c r="AJ213" s="4">
        <v>3</v>
      </c>
      <c r="AK213" s="4">
        <v>3</v>
      </c>
      <c r="AL213" s="4">
        <v>3</v>
      </c>
      <c r="AM213" s="4">
        <v>3</v>
      </c>
      <c r="AN213" s="4">
        <v>0</v>
      </c>
      <c r="AO213" s="4">
        <v>0</v>
      </c>
      <c r="AP213" s="3" t="s">
        <v>59</v>
      </c>
      <c r="AQ213" s="3" t="s">
        <v>69</v>
      </c>
      <c r="AR213" s="6" t="str">
        <f>HYPERLINK("http://catalog.hathitrust.org/Record/004292085","HathiTrust Record")</f>
        <v>HathiTrust Record</v>
      </c>
      <c r="AS213" s="6" t="str">
        <f>HYPERLINK("https://creighton-primo.hosted.exlibrisgroup.com/primo-explore/search?tab=default_tab&amp;search_scope=EVERYTHING&amp;vid=01CRU&amp;lang=en_US&amp;offset=0&amp;query=any,contains,991003918969702656","Catalog Record")</f>
        <v>Catalog Record</v>
      </c>
      <c r="AT213" s="6" t="str">
        <f>HYPERLINK("http://www.worldcat.org/oclc/49191284","WorldCat Record")</f>
        <v>WorldCat Record</v>
      </c>
      <c r="AU213" s="3" t="s">
        <v>2466</v>
      </c>
      <c r="AV213" s="3" t="s">
        <v>2467</v>
      </c>
      <c r="AW213" s="3" t="s">
        <v>2468</v>
      </c>
      <c r="AX213" s="3" t="s">
        <v>2468</v>
      </c>
      <c r="AY213" s="3" t="s">
        <v>2469</v>
      </c>
      <c r="AZ213" s="3" t="s">
        <v>74</v>
      </c>
      <c r="BB213" s="3" t="s">
        <v>2470</v>
      </c>
      <c r="BC213" s="3" t="s">
        <v>2471</v>
      </c>
      <c r="BD213" s="3" t="s">
        <v>2472</v>
      </c>
    </row>
    <row r="214" spans="1:56" ht="57.75" customHeight="1" x14ac:dyDescent="0.25">
      <c r="A214" s="7" t="s">
        <v>59</v>
      </c>
      <c r="B214" s="2" t="s">
        <v>2460</v>
      </c>
      <c r="C214" s="2" t="s">
        <v>2461</v>
      </c>
      <c r="D214" s="2" t="s">
        <v>2462</v>
      </c>
      <c r="E214" s="3" t="s">
        <v>2296</v>
      </c>
      <c r="F214" s="3" t="s">
        <v>69</v>
      </c>
      <c r="G214" s="3" t="s">
        <v>60</v>
      </c>
      <c r="H214" s="3" t="s">
        <v>59</v>
      </c>
      <c r="I214" s="3" t="s">
        <v>59</v>
      </c>
      <c r="J214" s="3" t="s">
        <v>61</v>
      </c>
      <c r="L214" s="2" t="s">
        <v>2463</v>
      </c>
      <c r="M214" s="3" t="s">
        <v>684</v>
      </c>
      <c r="N214" s="2" t="s">
        <v>877</v>
      </c>
      <c r="O214" s="3" t="s">
        <v>64</v>
      </c>
      <c r="P214" s="3" t="s">
        <v>2464</v>
      </c>
      <c r="R214" s="3" t="s">
        <v>67</v>
      </c>
      <c r="S214" s="4">
        <v>1</v>
      </c>
      <c r="T214" s="4">
        <v>2</v>
      </c>
      <c r="U214" s="5" t="s">
        <v>1362</v>
      </c>
      <c r="V214" s="5" t="s">
        <v>1362</v>
      </c>
      <c r="W214" s="5" t="s">
        <v>2465</v>
      </c>
      <c r="X214" s="5" t="s">
        <v>2465</v>
      </c>
      <c r="Y214" s="4">
        <v>156</v>
      </c>
      <c r="Z214" s="4">
        <v>130</v>
      </c>
      <c r="AA214" s="4">
        <v>133</v>
      </c>
      <c r="AB214" s="4">
        <v>4</v>
      </c>
      <c r="AC214" s="4">
        <v>4</v>
      </c>
      <c r="AD214" s="4">
        <v>10</v>
      </c>
      <c r="AE214" s="4">
        <v>10</v>
      </c>
      <c r="AF214" s="4">
        <v>3</v>
      </c>
      <c r="AG214" s="4">
        <v>3</v>
      </c>
      <c r="AH214" s="4">
        <v>3</v>
      </c>
      <c r="AI214" s="4">
        <v>3</v>
      </c>
      <c r="AJ214" s="4">
        <v>3</v>
      </c>
      <c r="AK214" s="4">
        <v>3</v>
      </c>
      <c r="AL214" s="4">
        <v>3</v>
      </c>
      <c r="AM214" s="4">
        <v>3</v>
      </c>
      <c r="AN214" s="4">
        <v>0</v>
      </c>
      <c r="AO214" s="4">
        <v>0</v>
      </c>
      <c r="AP214" s="3" t="s">
        <v>59</v>
      </c>
      <c r="AQ214" s="3" t="s">
        <v>69</v>
      </c>
      <c r="AR214" s="6" t="str">
        <f>HYPERLINK("http://catalog.hathitrust.org/Record/004292085","HathiTrust Record")</f>
        <v>HathiTrust Record</v>
      </c>
      <c r="AS214" s="6" t="str">
        <f>HYPERLINK("https://creighton-primo.hosted.exlibrisgroup.com/primo-explore/search?tab=default_tab&amp;search_scope=EVERYTHING&amp;vid=01CRU&amp;lang=en_US&amp;offset=0&amp;query=any,contains,991003918969702656","Catalog Record")</f>
        <v>Catalog Record</v>
      </c>
      <c r="AT214" s="6" t="str">
        <f>HYPERLINK("http://www.worldcat.org/oclc/49191284","WorldCat Record")</f>
        <v>WorldCat Record</v>
      </c>
      <c r="AU214" s="3" t="s">
        <v>2466</v>
      </c>
      <c r="AV214" s="3" t="s">
        <v>2467</v>
      </c>
      <c r="AW214" s="3" t="s">
        <v>2468</v>
      </c>
      <c r="AX214" s="3" t="s">
        <v>2468</v>
      </c>
      <c r="AY214" s="3" t="s">
        <v>2469</v>
      </c>
      <c r="AZ214" s="3" t="s">
        <v>74</v>
      </c>
      <c r="BB214" s="3" t="s">
        <v>2470</v>
      </c>
      <c r="BC214" s="3" t="s">
        <v>2473</v>
      </c>
      <c r="BD214" s="3" t="s">
        <v>2474</v>
      </c>
    </row>
    <row r="215" spans="1:56" ht="57.75" customHeight="1" x14ac:dyDescent="0.25">
      <c r="A215" s="7" t="s">
        <v>59</v>
      </c>
      <c r="B215" s="2" t="s">
        <v>2475</v>
      </c>
      <c r="C215" s="2" t="s">
        <v>2476</v>
      </c>
      <c r="D215" s="2" t="s">
        <v>2477</v>
      </c>
      <c r="F215" s="3" t="s">
        <v>59</v>
      </c>
      <c r="G215" s="3" t="s">
        <v>60</v>
      </c>
      <c r="H215" s="3" t="s">
        <v>59</v>
      </c>
      <c r="I215" s="3" t="s">
        <v>59</v>
      </c>
      <c r="J215" s="3" t="s">
        <v>61</v>
      </c>
      <c r="K215" s="2" t="s">
        <v>2478</v>
      </c>
      <c r="L215" s="2" t="s">
        <v>2479</v>
      </c>
      <c r="M215" s="3" t="s">
        <v>835</v>
      </c>
      <c r="N215" s="2" t="s">
        <v>2005</v>
      </c>
      <c r="O215" s="3" t="s">
        <v>64</v>
      </c>
      <c r="P215" s="3" t="s">
        <v>2480</v>
      </c>
      <c r="Q215" s="2" t="s">
        <v>2481</v>
      </c>
      <c r="R215" s="3" t="s">
        <v>67</v>
      </c>
      <c r="S215" s="4">
        <v>5</v>
      </c>
      <c r="T215" s="4">
        <v>5</v>
      </c>
      <c r="U215" s="5" t="s">
        <v>2482</v>
      </c>
      <c r="V215" s="5" t="s">
        <v>2482</v>
      </c>
      <c r="W215" s="5" t="s">
        <v>2483</v>
      </c>
      <c r="X215" s="5" t="s">
        <v>2483</v>
      </c>
      <c r="Y215" s="4">
        <v>513</v>
      </c>
      <c r="Z215" s="4">
        <v>450</v>
      </c>
      <c r="AA215" s="4">
        <v>455</v>
      </c>
      <c r="AB215" s="4">
        <v>3</v>
      </c>
      <c r="AC215" s="4">
        <v>3</v>
      </c>
      <c r="AD215" s="4">
        <v>11</v>
      </c>
      <c r="AE215" s="4">
        <v>11</v>
      </c>
      <c r="AF215" s="4">
        <v>4</v>
      </c>
      <c r="AG215" s="4">
        <v>4</v>
      </c>
      <c r="AH215" s="4">
        <v>2</v>
      </c>
      <c r="AI215" s="4">
        <v>2</v>
      </c>
      <c r="AJ215" s="4">
        <v>6</v>
      </c>
      <c r="AK215" s="4">
        <v>6</v>
      </c>
      <c r="AL215" s="4">
        <v>2</v>
      </c>
      <c r="AM215" s="4">
        <v>2</v>
      </c>
      <c r="AN215" s="4">
        <v>0</v>
      </c>
      <c r="AO215" s="4">
        <v>0</v>
      </c>
      <c r="AP215" s="3" t="s">
        <v>59</v>
      </c>
      <c r="AQ215" s="3" t="s">
        <v>69</v>
      </c>
      <c r="AR215" s="6" t="str">
        <f>HYPERLINK("http://catalog.hathitrust.org/Record/000266410","HathiTrust Record")</f>
        <v>HathiTrust Record</v>
      </c>
      <c r="AS215" s="6" t="str">
        <f>HYPERLINK("https://creighton-primo.hosted.exlibrisgroup.com/primo-explore/search?tab=default_tab&amp;search_scope=EVERYTHING&amp;vid=01CRU&amp;lang=en_US&amp;offset=0&amp;query=any,contains,991004642449702656","Catalog Record")</f>
        <v>Catalog Record</v>
      </c>
      <c r="AT215" s="6" t="str">
        <f>HYPERLINK("http://www.worldcat.org/oclc/4469922","WorldCat Record")</f>
        <v>WorldCat Record</v>
      </c>
      <c r="AU215" s="3" t="s">
        <v>2484</v>
      </c>
      <c r="AV215" s="3" t="s">
        <v>2485</v>
      </c>
      <c r="AW215" s="3" t="s">
        <v>2486</v>
      </c>
      <c r="AX215" s="3" t="s">
        <v>2486</v>
      </c>
      <c r="AY215" s="3" t="s">
        <v>2487</v>
      </c>
      <c r="AZ215" s="3" t="s">
        <v>74</v>
      </c>
      <c r="BB215" s="3" t="s">
        <v>2488</v>
      </c>
      <c r="BC215" s="3" t="s">
        <v>2489</v>
      </c>
      <c r="BD215" s="3" t="s">
        <v>2490</v>
      </c>
    </row>
    <row r="216" spans="1:56" ht="57.75" customHeight="1" x14ac:dyDescent="0.25">
      <c r="A216" s="7" t="s">
        <v>59</v>
      </c>
      <c r="B216" s="2" t="s">
        <v>2491</v>
      </c>
      <c r="C216" s="2" t="s">
        <v>2492</v>
      </c>
      <c r="D216" s="2" t="s">
        <v>2493</v>
      </c>
      <c r="F216" s="3" t="s">
        <v>59</v>
      </c>
      <c r="G216" s="3" t="s">
        <v>60</v>
      </c>
      <c r="H216" s="3" t="s">
        <v>59</v>
      </c>
      <c r="I216" s="3" t="s">
        <v>59</v>
      </c>
      <c r="J216" s="3" t="s">
        <v>61</v>
      </c>
      <c r="K216" s="2" t="s">
        <v>2494</v>
      </c>
      <c r="L216" s="2" t="s">
        <v>2495</v>
      </c>
      <c r="M216" s="3" t="s">
        <v>452</v>
      </c>
      <c r="N216" s="2" t="s">
        <v>2496</v>
      </c>
      <c r="O216" s="3" t="s">
        <v>64</v>
      </c>
      <c r="P216" s="3" t="s">
        <v>821</v>
      </c>
      <c r="R216" s="3" t="s">
        <v>67</v>
      </c>
      <c r="S216" s="4">
        <v>2</v>
      </c>
      <c r="T216" s="4">
        <v>2</v>
      </c>
      <c r="U216" s="5" t="s">
        <v>2497</v>
      </c>
      <c r="V216" s="5" t="s">
        <v>2497</v>
      </c>
      <c r="W216" s="5" t="s">
        <v>2498</v>
      </c>
      <c r="X216" s="5" t="s">
        <v>2498</v>
      </c>
      <c r="Y216" s="4">
        <v>868</v>
      </c>
      <c r="Z216" s="4">
        <v>747</v>
      </c>
      <c r="AA216" s="4">
        <v>1036</v>
      </c>
      <c r="AB216" s="4">
        <v>8</v>
      </c>
      <c r="AC216" s="4">
        <v>9</v>
      </c>
      <c r="AD216" s="4">
        <v>30</v>
      </c>
      <c r="AE216" s="4">
        <v>37</v>
      </c>
      <c r="AF216" s="4">
        <v>11</v>
      </c>
      <c r="AG216" s="4">
        <v>13</v>
      </c>
      <c r="AH216" s="4">
        <v>5</v>
      </c>
      <c r="AI216" s="4">
        <v>5</v>
      </c>
      <c r="AJ216" s="4">
        <v>13</v>
      </c>
      <c r="AK216" s="4">
        <v>18</v>
      </c>
      <c r="AL216" s="4">
        <v>7</v>
      </c>
      <c r="AM216" s="4">
        <v>8</v>
      </c>
      <c r="AN216" s="4">
        <v>0</v>
      </c>
      <c r="AO216" s="4">
        <v>0</v>
      </c>
      <c r="AP216" s="3" t="s">
        <v>59</v>
      </c>
      <c r="AQ216" s="3" t="s">
        <v>69</v>
      </c>
      <c r="AR216" s="6" t="str">
        <f>HYPERLINK("http://catalog.hathitrust.org/Record/001499310","HathiTrust Record")</f>
        <v>HathiTrust Record</v>
      </c>
      <c r="AS216" s="6" t="str">
        <f>HYPERLINK("https://creighton-primo.hosted.exlibrisgroup.com/primo-explore/search?tab=default_tab&amp;search_scope=EVERYTHING&amp;vid=01CRU&amp;lang=en_US&amp;offset=0&amp;query=any,contains,991002983539702656","Catalog Record")</f>
        <v>Catalog Record</v>
      </c>
      <c r="AT216" s="6" t="str">
        <f>HYPERLINK("http://www.worldcat.org/oclc/556222","WorldCat Record")</f>
        <v>WorldCat Record</v>
      </c>
      <c r="AU216" s="3" t="s">
        <v>2499</v>
      </c>
      <c r="AV216" s="3" t="s">
        <v>2500</v>
      </c>
      <c r="AW216" s="3" t="s">
        <v>2501</v>
      </c>
      <c r="AX216" s="3" t="s">
        <v>2501</v>
      </c>
      <c r="AY216" s="3" t="s">
        <v>2502</v>
      </c>
      <c r="AZ216" s="3" t="s">
        <v>74</v>
      </c>
      <c r="BC216" s="3" t="s">
        <v>2503</v>
      </c>
      <c r="BD216" s="3" t="s">
        <v>2504</v>
      </c>
    </row>
    <row r="217" spans="1:56" ht="57.75" customHeight="1" x14ac:dyDescent="0.25">
      <c r="A217" s="7" t="s">
        <v>59</v>
      </c>
      <c r="B217" s="2" t="s">
        <v>2505</v>
      </c>
      <c r="C217" s="2" t="s">
        <v>2506</v>
      </c>
      <c r="D217" s="2" t="s">
        <v>2507</v>
      </c>
      <c r="F217" s="3" t="s">
        <v>59</v>
      </c>
      <c r="G217" s="3" t="s">
        <v>60</v>
      </c>
      <c r="H217" s="3" t="s">
        <v>59</v>
      </c>
      <c r="I217" s="3" t="s">
        <v>59</v>
      </c>
      <c r="J217" s="3" t="s">
        <v>61</v>
      </c>
      <c r="K217" s="2" t="s">
        <v>2508</v>
      </c>
      <c r="L217" s="2" t="s">
        <v>2509</v>
      </c>
      <c r="M217" s="3" t="s">
        <v>2510</v>
      </c>
      <c r="N217" s="2" t="s">
        <v>556</v>
      </c>
      <c r="O217" s="3" t="s">
        <v>64</v>
      </c>
      <c r="P217" s="3" t="s">
        <v>405</v>
      </c>
      <c r="R217" s="3" t="s">
        <v>67</v>
      </c>
      <c r="S217" s="4">
        <v>11</v>
      </c>
      <c r="T217" s="4">
        <v>11</v>
      </c>
      <c r="U217" s="5" t="s">
        <v>2511</v>
      </c>
      <c r="V217" s="5" t="s">
        <v>2511</v>
      </c>
      <c r="W217" s="5" t="s">
        <v>2512</v>
      </c>
      <c r="X217" s="5" t="s">
        <v>2512</v>
      </c>
      <c r="Y217" s="4">
        <v>279</v>
      </c>
      <c r="Z217" s="4">
        <v>179</v>
      </c>
      <c r="AA217" s="4">
        <v>187</v>
      </c>
      <c r="AB217" s="4">
        <v>1</v>
      </c>
      <c r="AC217" s="4">
        <v>1</v>
      </c>
      <c r="AD217" s="4">
        <v>7</v>
      </c>
      <c r="AE217" s="4">
        <v>7</v>
      </c>
      <c r="AF217" s="4">
        <v>3</v>
      </c>
      <c r="AG217" s="4">
        <v>3</v>
      </c>
      <c r="AH217" s="4">
        <v>3</v>
      </c>
      <c r="AI217" s="4">
        <v>3</v>
      </c>
      <c r="AJ217" s="4">
        <v>4</v>
      </c>
      <c r="AK217" s="4">
        <v>4</v>
      </c>
      <c r="AL217" s="4">
        <v>0</v>
      </c>
      <c r="AM217" s="4">
        <v>0</v>
      </c>
      <c r="AN217" s="4">
        <v>0</v>
      </c>
      <c r="AO217" s="4">
        <v>0</v>
      </c>
      <c r="AP217" s="3" t="s">
        <v>59</v>
      </c>
      <c r="AQ217" s="3" t="s">
        <v>59</v>
      </c>
      <c r="AS217" s="6" t="str">
        <f>HYPERLINK("https://creighton-primo.hosted.exlibrisgroup.com/primo-explore/search?tab=default_tab&amp;search_scope=EVERYTHING&amp;vid=01CRU&amp;lang=en_US&amp;offset=0&amp;query=any,contains,991001908189702656","Catalog Record")</f>
        <v>Catalog Record</v>
      </c>
      <c r="AT217" s="6" t="str">
        <f>HYPERLINK("http://www.worldcat.org/oclc/24106098","WorldCat Record")</f>
        <v>WorldCat Record</v>
      </c>
      <c r="AU217" s="3" t="s">
        <v>2513</v>
      </c>
      <c r="AV217" s="3" t="s">
        <v>2514</v>
      </c>
      <c r="AW217" s="3" t="s">
        <v>2515</v>
      </c>
      <c r="AX217" s="3" t="s">
        <v>2515</v>
      </c>
      <c r="AY217" s="3" t="s">
        <v>2516</v>
      </c>
      <c r="AZ217" s="3" t="s">
        <v>74</v>
      </c>
      <c r="BB217" s="3" t="s">
        <v>2517</v>
      </c>
      <c r="BC217" s="3" t="s">
        <v>2518</v>
      </c>
      <c r="BD217" s="3" t="s">
        <v>2519</v>
      </c>
    </row>
    <row r="218" spans="1:56" ht="57.75" customHeight="1" x14ac:dyDescent="0.25">
      <c r="A218" s="7" t="s">
        <v>59</v>
      </c>
      <c r="B218" s="2" t="s">
        <v>2520</v>
      </c>
      <c r="C218" s="2" t="s">
        <v>2521</v>
      </c>
      <c r="D218" s="2" t="s">
        <v>2522</v>
      </c>
      <c r="F218" s="3" t="s">
        <v>59</v>
      </c>
      <c r="G218" s="3" t="s">
        <v>60</v>
      </c>
      <c r="H218" s="3" t="s">
        <v>59</v>
      </c>
      <c r="I218" s="3" t="s">
        <v>59</v>
      </c>
      <c r="J218" s="3" t="s">
        <v>61</v>
      </c>
      <c r="K218" s="2" t="s">
        <v>2523</v>
      </c>
      <c r="L218" s="2" t="s">
        <v>2524</v>
      </c>
      <c r="M218" s="3" t="s">
        <v>1595</v>
      </c>
      <c r="O218" s="3" t="s">
        <v>64</v>
      </c>
      <c r="P218" s="3" t="s">
        <v>405</v>
      </c>
      <c r="R218" s="3" t="s">
        <v>67</v>
      </c>
      <c r="S218" s="4">
        <v>2</v>
      </c>
      <c r="T218" s="4">
        <v>2</v>
      </c>
      <c r="U218" s="5" t="s">
        <v>2525</v>
      </c>
      <c r="V218" s="5" t="s">
        <v>2525</v>
      </c>
      <c r="W218" s="5" t="s">
        <v>2526</v>
      </c>
      <c r="X218" s="5" t="s">
        <v>2526</v>
      </c>
      <c r="Y218" s="4">
        <v>584</v>
      </c>
      <c r="Z218" s="4">
        <v>435</v>
      </c>
      <c r="AA218" s="4">
        <v>458</v>
      </c>
      <c r="AB218" s="4">
        <v>3</v>
      </c>
      <c r="AC218" s="4">
        <v>3</v>
      </c>
      <c r="AD218" s="4">
        <v>20</v>
      </c>
      <c r="AE218" s="4">
        <v>20</v>
      </c>
      <c r="AF218" s="4">
        <v>9</v>
      </c>
      <c r="AG218" s="4">
        <v>9</v>
      </c>
      <c r="AH218" s="4">
        <v>3</v>
      </c>
      <c r="AI218" s="4">
        <v>3</v>
      </c>
      <c r="AJ218" s="4">
        <v>12</v>
      </c>
      <c r="AK218" s="4">
        <v>12</v>
      </c>
      <c r="AL218" s="4">
        <v>2</v>
      </c>
      <c r="AM218" s="4">
        <v>2</v>
      </c>
      <c r="AN218" s="4">
        <v>0</v>
      </c>
      <c r="AO218" s="4">
        <v>0</v>
      </c>
      <c r="AP218" s="3" t="s">
        <v>59</v>
      </c>
      <c r="AQ218" s="3" t="s">
        <v>69</v>
      </c>
      <c r="AR218" s="6" t="str">
        <f>HYPERLINK("http://catalog.hathitrust.org/Record/001499311","HathiTrust Record")</f>
        <v>HathiTrust Record</v>
      </c>
      <c r="AS218" s="6" t="str">
        <f>HYPERLINK("https://creighton-primo.hosted.exlibrisgroup.com/primo-explore/search?tab=default_tab&amp;search_scope=EVERYTHING&amp;vid=01CRU&amp;lang=en_US&amp;offset=0&amp;query=any,contains,991003309709702656","Catalog Record")</f>
        <v>Catalog Record</v>
      </c>
      <c r="AT218" s="6" t="str">
        <f>HYPERLINK("http://www.worldcat.org/oclc/833576","WorldCat Record")</f>
        <v>WorldCat Record</v>
      </c>
      <c r="AU218" s="3" t="s">
        <v>2527</v>
      </c>
      <c r="AV218" s="3" t="s">
        <v>2528</v>
      </c>
      <c r="AW218" s="3" t="s">
        <v>2529</v>
      </c>
      <c r="AX218" s="3" t="s">
        <v>2529</v>
      </c>
      <c r="AY218" s="3" t="s">
        <v>2530</v>
      </c>
      <c r="AZ218" s="3" t="s">
        <v>74</v>
      </c>
      <c r="BC218" s="3" t="s">
        <v>2531</v>
      </c>
      <c r="BD218" s="3" t="s">
        <v>2532</v>
      </c>
    </row>
    <row r="219" spans="1:56" ht="57.75" customHeight="1" x14ac:dyDescent="0.25">
      <c r="A219" s="7" t="s">
        <v>59</v>
      </c>
      <c r="B219" s="2" t="s">
        <v>2533</v>
      </c>
      <c r="C219" s="2" t="s">
        <v>2534</v>
      </c>
      <c r="D219" s="2" t="s">
        <v>2535</v>
      </c>
      <c r="F219" s="3" t="s">
        <v>59</v>
      </c>
      <c r="G219" s="3" t="s">
        <v>60</v>
      </c>
      <c r="H219" s="3" t="s">
        <v>59</v>
      </c>
      <c r="I219" s="3" t="s">
        <v>59</v>
      </c>
      <c r="J219" s="3" t="s">
        <v>61</v>
      </c>
      <c r="K219" s="2" t="s">
        <v>2536</v>
      </c>
      <c r="L219" s="2" t="s">
        <v>2537</v>
      </c>
      <c r="M219" s="3" t="s">
        <v>2244</v>
      </c>
      <c r="O219" s="3" t="s">
        <v>64</v>
      </c>
      <c r="P219" s="3" t="s">
        <v>541</v>
      </c>
      <c r="Q219" s="2" t="s">
        <v>2538</v>
      </c>
      <c r="R219" s="3" t="s">
        <v>67</v>
      </c>
      <c r="S219" s="4">
        <v>8</v>
      </c>
      <c r="T219" s="4">
        <v>8</v>
      </c>
      <c r="U219" s="5" t="s">
        <v>2539</v>
      </c>
      <c r="V219" s="5" t="s">
        <v>2539</v>
      </c>
      <c r="W219" s="5" t="s">
        <v>2540</v>
      </c>
      <c r="X219" s="5" t="s">
        <v>2540</v>
      </c>
      <c r="Y219" s="4">
        <v>119</v>
      </c>
      <c r="Z219" s="4">
        <v>73</v>
      </c>
      <c r="AA219" s="4">
        <v>93</v>
      </c>
      <c r="AB219" s="4">
        <v>1</v>
      </c>
      <c r="AC219" s="4">
        <v>1</v>
      </c>
      <c r="AD219" s="4">
        <v>0</v>
      </c>
      <c r="AE219" s="4">
        <v>1</v>
      </c>
      <c r="AF219" s="4">
        <v>0</v>
      </c>
      <c r="AG219" s="4">
        <v>1</v>
      </c>
      <c r="AH219" s="4">
        <v>0</v>
      </c>
      <c r="AI219" s="4">
        <v>0</v>
      </c>
      <c r="AJ219" s="4">
        <v>0</v>
      </c>
      <c r="AK219" s="4">
        <v>1</v>
      </c>
      <c r="AL219" s="4">
        <v>0</v>
      </c>
      <c r="AM219" s="4">
        <v>0</v>
      </c>
      <c r="AN219" s="4">
        <v>0</v>
      </c>
      <c r="AO219" s="4">
        <v>0</v>
      </c>
      <c r="AP219" s="3" t="s">
        <v>59</v>
      </c>
      <c r="AQ219" s="3" t="s">
        <v>69</v>
      </c>
      <c r="AR219" s="6" t="str">
        <f>HYPERLINK("http://catalog.hathitrust.org/Record/002463526","HathiTrust Record")</f>
        <v>HathiTrust Record</v>
      </c>
      <c r="AS219" s="6" t="str">
        <f>HYPERLINK("https://creighton-primo.hosted.exlibrisgroup.com/primo-explore/search?tab=default_tab&amp;search_scope=EVERYTHING&amp;vid=01CRU&amp;lang=en_US&amp;offset=0&amp;query=any,contains,991001817939702656","Catalog Record")</f>
        <v>Catalog Record</v>
      </c>
      <c r="AT219" s="6" t="str">
        <f>HYPERLINK("http://www.worldcat.org/oclc/22859897","WorldCat Record")</f>
        <v>WorldCat Record</v>
      </c>
      <c r="AU219" s="3" t="s">
        <v>2541</v>
      </c>
      <c r="AV219" s="3" t="s">
        <v>2542</v>
      </c>
      <c r="AW219" s="3" t="s">
        <v>2543</v>
      </c>
      <c r="AX219" s="3" t="s">
        <v>2543</v>
      </c>
      <c r="AY219" s="3" t="s">
        <v>2544</v>
      </c>
      <c r="AZ219" s="3" t="s">
        <v>74</v>
      </c>
      <c r="BB219" s="3" t="s">
        <v>2545</v>
      </c>
      <c r="BC219" s="3" t="s">
        <v>2546</v>
      </c>
      <c r="BD219" s="3" t="s">
        <v>2547</v>
      </c>
    </row>
    <row r="220" spans="1:56" ht="57.75" customHeight="1" x14ac:dyDescent="0.25">
      <c r="A220" s="7" t="s">
        <v>59</v>
      </c>
      <c r="B220" s="2" t="s">
        <v>2548</v>
      </c>
      <c r="C220" s="2" t="s">
        <v>2549</v>
      </c>
      <c r="D220" s="2" t="s">
        <v>2550</v>
      </c>
      <c r="F220" s="3" t="s">
        <v>59</v>
      </c>
      <c r="G220" s="3" t="s">
        <v>60</v>
      </c>
      <c r="H220" s="3" t="s">
        <v>59</v>
      </c>
      <c r="I220" s="3" t="s">
        <v>59</v>
      </c>
      <c r="J220" s="3" t="s">
        <v>61</v>
      </c>
      <c r="K220" s="2" t="s">
        <v>2551</v>
      </c>
      <c r="L220" s="2" t="s">
        <v>2552</v>
      </c>
      <c r="M220" s="3" t="s">
        <v>1102</v>
      </c>
      <c r="N220" s="2" t="s">
        <v>2553</v>
      </c>
      <c r="O220" s="3" t="s">
        <v>64</v>
      </c>
      <c r="P220" s="3" t="s">
        <v>405</v>
      </c>
      <c r="R220" s="3" t="s">
        <v>67</v>
      </c>
      <c r="S220" s="4">
        <v>11</v>
      </c>
      <c r="T220" s="4">
        <v>11</v>
      </c>
      <c r="U220" s="5" t="s">
        <v>2554</v>
      </c>
      <c r="V220" s="5" t="s">
        <v>2554</v>
      </c>
      <c r="W220" s="5" t="s">
        <v>2555</v>
      </c>
      <c r="X220" s="5" t="s">
        <v>2555</v>
      </c>
      <c r="Y220" s="4">
        <v>350</v>
      </c>
      <c r="Z220" s="4">
        <v>259</v>
      </c>
      <c r="AA220" s="4">
        <v>282</v>
      </c>
      <c r="AB220" s="4">
        <v>4</v>
      </c>
      <c r="AC220" s="4">
        <v>4</v>
      </c>
      <c r="AD220" s="4">
        <v>15</v>
      </c>
      <c r="AE220" s="4">
        <v>15</v>
      </c>
      <c r="AF220" s="4">
        <v>7</v>
      </c>
      <c r="AG220" s="4">
        <v>7</v>
      </c>
      <c r="AH220" s="4">
        <v>4</v>
      </c>
      <c r="AI220" s="4">
        <v>4</v>
      </c>
      <c r="AJ220" s="4">
        <v>6</v>
      </c>
      <c r="AK220" s="4">
        <v>6</v>
      </c>
      <c r="AL220" s="4">
        <v>3</v>
      </c>
      <c r="AM220" s="4">
        <v>3</v>
      </c>
      <c r="AN220" s="4">
        <v>0</v>
      </c>
      <c r="AO220" s="4">
        <v>0</v>
      </c>
      <c r="AP220" s="3" t="s">
        <v>59</v>
      </c>
      <c r="AQ220" s="3" t="s">
        <v>59</v>
      </c>
      <c r="AS220" s="6" t="str">
        <f>HYPERLINK("https://creighton-primo.hosted.exlibrisgroup.com/primo-explore/search?tab=default_tab&amp;search_scope=EVERYTHING&amp;vid=01CRU&amp;lang=en_US&amp;offset=0&amp;query=any,contains,991001376219702656","Catalog Record")</f>
        <v>Catalog Record</v>
      </c>
      <c r="AT220" s="6" t="str">
        <f>HYPERLINK("http://www.worldcat.org/oclc/21446319","WorldCat Record")</f>
        <v>WorldCat Record</v>
      </c>
      <c r="AU220" s="3" t="s">
        <v>2556</v>
      </c>
      <c r="AV220" s="3" t="s">
        <v>2557</v>
      </c>
      <c r="AW220" s="3" t="s">
        <v>2558</v>
      </c>
      <c r="AX220" s="3" t="s">
        <v>2558</v>
      </c>
      <c r="AY220" s="3" t="s">
        <v>2559</v>
      </c>
      <c r="AZ220" s="3" t="s">
        <v>74</v>
      </c>
      <c r="BB220" s="3" t="s">
        <v>2560</v>
      </c>
      <c r="BC220" s="3" t="s">
        <v>2561</v>
      </c>
      <c r="BD220" s="3" t="s">
        <v>2562</v>
      </c>
    </row>
    <row r="221" spans="1:56" ht="57.75" customHeight="1" x14ac:dyDescent="0.25">
      <c r="A221" s="7" t="s">
        <v>59</v>
      </c>
      <c r="B221" s="2" t="s">
        <v>2563</v>
      </c>
      <c r="C221" s="2" t="s">
        <v>2564</v>
      </c>
      <c r="D221" s="2" t="s">
        <v>2565</v>
      </c>
      <c r="F221" s="3" t="s">
        <v>59</v>
      </c>
      <c r="G221" s="3" t="s">
        <v>60</v>
      </c>
      <c r="H221" s="3" t="s">
        <v>59</v>
      </c>
      <c r="I221" s="3" t="s">
        <v>59</v>
      </c>
      <c r="J221" s="3" t="s">
        <v>61</v>
      </c>
      <c r="K221" s="2" t="s">
        <v>2566</v>
      </c>
      <c r="L221" s="2" t="s">
        <v>2567</v>
      </c>
      <c r="M221" s="3" t="s">
        <v>2510</v>
      </c>
      <c r="O221" s="3" t="s">
        <v>64</v>
      </c>
      <c r="P221" s="3" t="s">
        <v>405</v>
      </c>
      <c r="R221" s="3" t="s">
        <v>67</v>
      </c>
      <c r="S221" s="4">
        <v>6</v>
      </c>
      <c r="T221" s="4">
        <v>6</v>
      </c>
      <c r="U221" s="5" t="s">
        <v>2554</v>
      </c>
      <c r="V221" s="5" t="s">
        <v>2554</v>
      </c>
      <c r="W221" s="5" t="s">
        <v>2568</v>
      </c>
      <c r="X221" s="5" t="s">
        <v>2568</v>
      </c>
      <c r="Y221" s="4">
        <v>63</v>
      </c>
      <c r="Z221" s="4">
        <v>17</v>
      </c>
      <c r="AA221" s="4">
        <v>199</v>
      </c>
      <c r="AB221" s="4">
        <v>1</v>
      </c>
      <c r="AC221" s="4">
        <v>2</v>
      </c>
      <c r="AD221" s="4">
        <v>2</v>
      </c>
      <c r="AE221" s="4">
        <v>6</v>
      </c>
      <c r="AF221" s="4">
        <v>0</v>
      </c>
      <c r="AG221" s="4">
        <v>2</v>
      </c>
      <c r="AH221" s="4">
        <v>1</v>
      </c>
      <c r="AI221" s="4">
        <v>1</v>
      </c>
      <c r="AJ221" s="4">
        <v>1</v>
      </c>
      <c r="AK221" s="4">
        <v>3</v>
      </c>
      <c r="AL221" s="4">
        <v>0</v>
      </c>
      <c r="AM221" s="4">
        <v>1</v>
      </c>
      <c r="AN221" s="4">
        <v>0</v>
      </c>
      <c r="AO221" s="4">
        <v>0</v>
      </c>
      <c r="AP221" s="3" t="s">
        <v>59</v>
      </c>
      <c r="AQ221" s="3" t="s">
        <v>59</v>
      </c>
      <c r="AS221" s="6" t="str">
        <f>HYPERLINK("https://creighton-primo.hosted.exlibrisgroup.com/primo-explore/search?tab=default_tab&amp;search_scope=EVERYTHING&amp;vid=01CRU&amp;lang=en_US&amp;offset=0&amp;query=any,contains,991001961019702656","Catalog Record")</f>
        <v>Catalog Record</v>
      </c>
      <c r="AT221" s="6" t="str">
        <f>HYPERLINK("http://www.worldcat.org/oclc/316159636","WorldCat Record")</f>
        <v>WorldCat Record</v>
      </c>
      <c r="AU221" s="3" t="s">
        <v>2569</v>
      </c>
      <c r="AV221" s="3" t="s">
        <v>2570</v>
      </c>
      <c r="AW221" s="3" t="s">
        <v>2571</v>
      </c>
      <c r="AX221" s="3" t="s">
        <v>2571</v>
      </c>
      <c r="AY221" s="3" t="s">
        <v>2572</v>
      </c>
      <c r="AZ221" s="3" t="s">
        <v>74</v>
      </c>
      <c r="BB221" s="3" t="s">
        <v>2573</v>
      </c>
      <c r="BC221" s="3" t="s">
        <v>2574</v>
      </c>
      <c r="BD221" s="3" t="s">
        <v>2575</v>
      </c>
    </row>
    <row r="222" spans="1:56" ht="57.75" customHeight="1" x14ac:dyDescent="0.25">
      <c r="A222" s="7" t="s">
        <v>59</v>
      </c>
      <c r="B222" s="2" t="s">
        <v>2576</v>
      </c>
      <c r="C222" s="2" t="s">
        <v>2577</v>
      </c>
      <c r="D222" s="2" t="s">
        <v>2578</v>
      </c>
      <c r="F222" s="3" t="s">
        <v>59</v>
      </c>
      <c r="G222" s="3" t="s">
        <v>60</v>
      </c>
      <c r="H222" s="3" t="s">
        <v>59</v>
      </c>
      <c r="I222" s="3" t="s">
        <v>59</v>
      </c>
      <c r="J222" s="3" t="s">
        <v>61</v>
      </c>
      <c r="K222" s="2" t="s">
        <v>2579</v>
      </c>
      <c r="L222" s="2" t="s">
        <v>2580</v>
      </c>
      <c r="M222" s="3" t="s">
        <v>617</v>
      </c>
      <c r="O222" s="3" t="s">
        <v>64</v>
      </c>
      <c r="P222" s="3" t="s">
        <v>405</v>
      </c>
      <c r="Q222" s="2" t="s">
        <v>2581</v>
      </c>
      <c r="R222" s="3" t="s">
        <v>67</v>
      </c>
      <c r="S222" s="4">
        <v>1</v>
      </c>
      <c r="T222" s="4">
        <v>1</v>
      </c>
      <c r="U222" s="5" t="s">
        <v>2582</v>
      </c>
      <c r="V222" s="5" t="s">
        <v>2582</v>
      </c>
      <c r="W222" s="5" t="s">
        <v>1199</v>
      </c>
      <c r="X222" s="5" t="s">
        <v>1199</v>
      </c>
      <c r="Y222" s="4">
        <v>200</v>
      </c>
      <c r="Z222" s="4">
        <v>129</v>
      </c>
      <c r="AA222" s="4">
        <v>131</v>
      </c>
      <c r="AB222" s="4">
        <v>2</v>
      </c>
      <c r="AC222" s="4">
        <v>2</v>
      </c>
      <c r="AD222" s="4">
        <v>3</v>
      </c>
      <c r="AE222" s="4">
        <v>3</v>
      </c>
      <c r="AF222" s="4">
        <v>0</v>
      </c>
      <c r="AG222" s="4">
        <v>0</v>
      </c>
      <c r="AH222" s="4">
        <v>2</v>
      </c>
      <c r="AI222" s="4">
        <v>2</v>
      </c>
      <c r="AJ222" s="4">
        <v>1</v>
      </c>
      <c r="AK222" s="4">
        <v>1</v>
      </c>
      <c r="AL222" s="4">
        <v>1</v>
      </c>
      <c r="AM222" s="4">
        <v>1</v>
      </c>
      <c r="AN222" s="4">
        <v>0</v>
      </c>
      <c r="AO222" s="4">
        <v>0</v>
      </c>
      <c r="AP222" s="3" t="s">
        <v>59</v>
      </c>
      <c r="AQ222" s="3" t="s">
        <v>69</v>
      </c>
      <c r="AR222" s="6" t="str">
        <f>HYPERLINK("http://catalog.hathitrust.org/Record/000727786","HathiTrust Record")</f>
        <v>HathiTrust Record</v>
      </c>
      <c r="AS222" s="6" t="str">
        <f>HYPERLINK("https://creighton-primo.hosted.exlibrisgroup.com/primo-explore/search?tab=default_tab&amp;search_scope=EVERYTHING&amp;vid=01CRU&amp;lang=en_US&amp;offset=0&amp;query=any,contains,991004966279702656","Catalog Record")</f>
        <v>Catalog Record</v>
      </c>
      <c r="AT222" s="6" t="str">
        <f>HYPERLINK("http://www.worldcat.org/oclc/6334686","WorldCat Record")</f>
        <v>WorldCat Record</v>
      </c>
      <c r="AU222" s="3" t="s">
        <v>2583</v>
      </c>
      <c r="AV222" s="3" t="s">
        <v>2584</v>
      </c>
      <c r="AW222" s="3" t="s">
        <v>2585</v>
      </c>
      <c r="AX222" s="3" t="s">
        <v>2585</v>
      </c>
      <c r="AY222" s="3" t="s">
        <v>2586</v>
      </c>
      <c r="AZ222" s="3" t="s">
        <v>74</v>
      </c>
      <c r="BB222" s="3" t="s">
        <v>2587</v>
      </c>
      <c r="BC222" s="3" t="s">
        <v>2588</v>
      </c>
      <c r="BD222" s="3" t="s">
        <v>2589</v>
      </c>
    </row>
    <row r="223" spans="1:56" ht="57.75" customHeight="1" x14ac:dyDescent="0.25">
      <c r="A223" s="7" t="s">
        <v>59</v>
      </c>
      <c r="B223" s="2" t="s">
        <v>2590</v>
      </c>
      <c r="C223" s="2" t="s">
        <v>2591</v>
      </c>
      <c r="D223" s="2" t="s">
        <v>2592</v>
      </c>
      <c r="F223" s="3" t="s">
        <v>59</v>
      </c>
      <c r="G223" s="3" t="s">
        <v>60</v>
      </c>
      <c r="H223" s="3" t="s">
        <v>59</v>
      </c>
      <c r="I223" s="3" t="s">
        <v>59</v>
      </c>
      <c r="J223" s="3" t="s">
        <v>61</v>
      </c>
      <c r="K223" s="2" t="s">
        <v>2593</v>
      </c>
      <c r="L223" s="2" t="s">
        <v>2594</v>
      </c>
      <c r="M223" s="3" t="s">
        <v>931</v>
      </c>
      <c r="O223" s="3" t="s">
        <v>64</v>
      </c>
      <c r="P223" s="3" t="s">
        <v>1078</v>
      </c>
      <c r="R223" s="3" t="s">
        <v>67</v>
      </c>
      <c r="S223" s="4">
        <v>1</v>
      </c>
      <c r="T223" s="4">
        <v>1</v>
      </c>
      <c r="U223" s="5" t="s">
        <v>2595</v>
      </c>
      <c r="V223" s="5" t="s">
        <v>2595</v>
      </c>
      <c r="W223" s="5" t="s">
        <v>2596</v>
      </c>
      <c r="X223" s="5" t="s">
        <v>2596</v>
      </c>
      <c r="Y223" s="4">
        <v>357</v>
      </c>
      <c r="Z223" s="4">
        <v>294</v>
      </c>
      <c r="AA223" s="4">
        <v>295</v>
      </c>
      <c r="AB223" s="4">
        <v>5</v>
      </c>
      <c r="AC223" s="4">
        <v>5</v>
      </c>
      <c r="AD223" s="4">
        <v>10</v>
      </c>
      <c r="AE223" s="4">
        <v>10</v>
      </c>
      <c r="AF223" s="4">
        <v>1</v>
      </c>
      <c r="AG223" s="4">
        <v>1</v>
      </c>
      <c r="AH223" s="4">
        <v>2</v>
      </c>
      <c r="AI223" s="4">
        <v>2</v>
      </c>
      <c r="AJ223" s="4">
        <v>4</v>
      </c>
      <c r="AK223" s="4">
        <v>4</v>
      </c>
      <c r="AL223" s="4">
        <v>4</v>
      </c>
      <c r="AM223" s="4">
        <v>4</v>
      </c>
      <c r="AN223" s="4">
        <v>0</v>
      </c>
      <c r="AO223" s="4">
        <v>0</v>
      </c>
      <c r="AP223" s="3" t="s">
        <v>59</v>
      </c>
      <c r="AQ223" s="3" t="s">
        <v>59</v>
      </c>
      <c r="AS223" s="6" t="str">
        <f>HYPERLINK("https://creighton-primo.hosted.exlibrisgroup.com/primo-explore/search?tab=default_tab&amp;search_scope=EVERYTHING&amp;vid=01CRU&amp;lang=en_US&amp;offset=0&amp;query=any,contains,991003045419702656","Catalog Record")</f>
        <v>Catalog Record</v>
      </c>
      <c r="AT223" s="6" t="str">
        <f>HYPERLINK("http://www.worldcat.org/oclc/606108","WorldCat Record")</f>
        <v>WorldCat Record</v>
      </c>
      <c r="AU223" s="3" t="s">
        <v>2597</v>
      </c>
      <c r="AV223" s="3" t="s">
        <v>2598</v>
      </c>
      <c r="AW223" s="3" t="s">
        <v>2599</v>
      </c>
      <c r="AX223" s="3" t="s">
        <v>2599</v>
      </c>
      <c r="AY223" s="3" t="s">
        <v>2600</v>
      </c>
      <c r="AZ223" s="3" t="s">
        <v>74</v>
      </c>
      <c r="BB223" s="3" t="s">
        <v>2601</v>
      </c>
      <c r="BC223" s="3" t="s">
        <v>2602</v>
      </c>
      <c r="BD223" s="3" t="s">
        <v>2603</v>
      </c>
    </row>
    <row r="224" spans="1:56" ht="57.75" customHeight="1" x14ac:dyDescent="0.25">
      <c r="A224" s="7" t="s">
        <v>59</v>
      </c>
      <c r="B224" s="2" t="s">
        <v>2604</v>
      </c>
      <c r="C224" s="2" t="s">
        <v>2605</v>
      </c>
      <c r="D224" s="2" t="s">
        <v>2606</v>
      </c>
      <c r="F224" s="3" t="s">
        <v>59</v>
      </c>
      <c r="G224" s="3" t="s">
        <v>60</v>
      </c>
      <c r="H224" s="3" t="s">
        <v>59</v>
      </c>
      <c r="I224" s="3" t="s">
        <v>59</v>
      </c>
      <c r="J224" s="3" t="s">
        <v>61</v>
      </c>
      <c r="K224" s="2" t="s">
        <v>2607</v>
      </c>
      <c r="L224" s="2" t="s">
        <v>2608</v>
      </c>
      <c r="M224" s="3" t="s">
        <v>2202</v>
      </c>
      <c r="O224" s="3" t="s">
        <v>64</v>
      </c>
      <c r="P224" s="3" t="s">
        <v>405</v>
      </c>
      <c r="R224" s="3" t="s">
        <v>67</v>
      </c>
      <c r="S224" s="4">
        <v>1</v>
      </c>
      <c r="T224" s="4">
        <v>1</v>
      </c>
      <c r="U224" s="5" t="s">
        <v>2609</v>
      </c>
      <c r="V224" s="5" t="s">
        <v>2609</v>
      </c>
      <c r="W224" s="5" t="s">
        <v>575</v>
      </c>
      <c r="X224" s="5" t="s">
        <v>575</v>
      </c>
      <c r="Y224" s="4">
        <v>376</v>
      </c>
      <c r="Z224" s="4">
        <v>298</v>
      </c>
      <c r="AA224" s="4">
        <v>299</v>
      </c>
      <c r="AB224" s="4">
        <v>3</v>
      </c>
      <c r="AC224" s="4">
        <v>3</v>
      </c>
      <c r="AD224" s="4">
        <v>8</v>
      </c>
      <c r="AE224" s="4">
        <v>8</v>
      </c>
      <c r="AF224" s="4">
        <v>2</v>
      </c>
      <c r="AG224" s="4">
        <v>2</v>
      </c>
      <c r="AH224" s="4">
        <v>2</v>
      </c>
      <c r="AI224" s="4">
        <v>2</v>
      </c>
      <c r="AJ224" s="4">
        <v>3</v>
      </c>
      <c r="AK224" s="4">
        <v>3</v>
      </c>
      <c r="AL224" s="4">
        <v>2</v>
      </c>
      <c r="AM224" s="4">
        <v>2</v>
      </c>
      <c r="AN224" s="4">
        <v>0</v>
      </c>
      <c r="AO224" s="4">
        <v>0</v>
      </c>
      <c r="AP224" s="3" t="s">
        <v>59</v>
      </c>
      <c r="AQ224" s="3" t="s">
        <v>69</v>
      </c>
      <c r="AR224" s="6" t="str">
        <f>HYPERLINK("http://catalog.hathitrust.org/Record/002001623","HathiTrust Record")</f>
        <v>HathiTrust Record</v>
      </c>
      <c r="AS224" s="6" t="str">
        <f>HYPERLINK("https://creighton-primo.hosted.exlibrisgroup.com/primo-explore/search?tab=default_tab&amp;search_scope=EVERYTHING&amp;vid=01CRU&amp;lang=en_US&amp;offset=0&amp;query=any,contains,991000077609702656","Catalog Record")</f>
        <v>Catalog Record</v>
      </c>
      <c r="AT224" s="6" t="str">
        <f>HYPERLINK("http://www.worldcat.org/oclc/30368","WorldCat Record")</f>
        <v>WorldCat Record</v>
      </c>
      <c r="AU224" s="3" t="s">
        <v>2610</v>
      </c>
      <c r="AV224" s="3" t="s">
        <v>2611</v>
      </c>
      <c r="AW224" s="3" t="s">
        <v>2612</v>
      </c>
      <c r="AX224" s="3" t="s">
        <v>2612</v>
      </c>
      <c r="AY224" s="3" t="s">
        <v>2613</v>
      </c>
      <c r="AZ224" s="3" t="s">
        <v>74</v>
      </c>
      <c r="BB224" s="3" t="s">
        <v>2614</v>
      </c>
      <c r="BC224" s="3" t="s">
        <v>2615</v>
      </c>
      <c r="BD224" s="3" t="s">
        <v>2616</v>
      </c>
    </row>
    <row r="225" spans="1:56" ht="57.75" customHeight="1" x14ac:dyDescent="0.25">
      <c r="A225" s="7" t="s">
        <v>59</v>
      </c>
      <c r="B225" s="2" t="s">
        <v>2617</v>
      </c>
      <c r="C225" s="2" t="s">
        <v>2618</v>
      </c>
      <c r="D225" s="2" t="s">
        <v>2619</v>
      </c>
      <c r="F225" s="3" t="s">
        <v>59</v>
      </c>
      <c r="G225" s="3" t="s">
        <v>60</v>
      </c>
      <c r="H225" s="3" t="s">
        <v>69</v>
      </c>
      <c r="I225" s="3" t="s">
        <v>59</v>
      </c>
      <c r="J225" s="3" t="s">
        <v>61</v>
      </c>
      <c r="K225" s="2" t="s">
        <v>2620</v>
      </c>
      <c r="L225" s="2" t="s">
        <v>2621</v>
      </c>
      <c r="M225" s="3" t="s">
        <v>587</v>
      </c>
      <c r="O225" s="3" t="s">
        <v>64</v>
      </c>
      <c r="P225" s="3" t="s">
        <v>65</v>
      </c>
      <c r="R225" s="3" t="s">
        <v>67</v>
      </c>
      <c r="S225" s="4">
        <v>1</v>
      </c>
      <c r="T225" s="4">
        <v>2</v>
      </c>
      <c r="U225" s="5" t="s">
        <v>1866</v>
      </c>
      <c r="V225" s="5" t="s">
        <v>1866</v>
      </c>
      <c r="W225" s="5" t="s">
        <v>575</v>
      </c>
      <c r="X225" s="5" t="s">
        <v>575</v>
      </c>
      <c r="Y225" s="4">
        <v>334</v>
      </c>
      <c r="Z225" s="4">
        <v>286</v>
      </c>
      <c r="AA225" s="4">
        <v>319</v>
      </c>
      <c r="AB225" s="4">
        <v>3</v>
      </c>
      <c r="AC225" s="4">
        <v>3</v>
      </c>
      <c r="AD225" s="4">
        <v>9</v>
      </c>
      <c r="AE225" s="4">
        <v>9</v>
      </c>
      <c r="AF225" s="4">
        <v>4</v>
      </c>
      <c r="AG225" s="4">
        <v>4</v>
      </c>
      <c r="AH225" s="4">
        <v>2</v>
      </c>
      <c r="AI225" s="4">
        <v>2</v>
      </c>
      <c r="AJ225" s="4">
        <v>4</v>
      </c>
      <c r="AK225" s="4">
        <v>4</v>
      </c>
      <c r="AL225" s="4">
        <v>1</v>
      </c>
      <c r="AM225" s="4">
        <v>1</v>
      </c>
      <c r="AN225" s="4">
        <v>0</v>
      </c>
      <c r="AO225" s="4">
        <v>0</v>
      </c>
      <c r="AP225" s="3" t="s">
        <v>59</v>
      </c>
      <c r="AQ225" s="3" t="s">
        <v>69</v>
      </c>
      <c r="AR225" s="6" t="str">
        <f>HYPERLINK("http://catalog.hathitrust.org/Record/008001276","HathiTrust Record")</f>
        <v>HathiTrust Record</v>
      </c>
      <c r="AS225" s="6" t="str">
        <f>HYPERLINK("https://creighton-primo.hosted.exlibrisgroup.com/primo-explore/search?tab=default_tab&amp;search_scope=EVERYTHING&amp;vid=01CRU&amp;lang=en_US&amp;offset=0&amp;query=any,contains,991001778709702656","Catalog Record")</f>
        <v>Catalog Record</v>
      </c>
      <c r="AT225" s="6" t="str">
        <f>HYPERLINK("http://www.worldcat.org/oclc/194760","WorldCat Record")</f>
        <v>WorldCat Record</v>
      </c>
      <c r="AU225" s="3" t="s">
        <v>2622</v>
      </c>
      <c r="AV225" s="3" t="s">
        <v>2623</v>
      </c>
      <c r="AW225" s="3" t="s">
        <v>2624</v>
      </c>
      <c r="AX225" s="3" t="s">
        <v>2624</v>
      </c>
      <c r="AY225" s="3" t="s">
        <v>2625</v>
      </c>
      <c r="AZ225" s="3" t="s">
        <v>74</v>
      </c>
      <c r="BB225" s="3" t="s">
        <v>2626</v>
      </c>
      <c r="BC225" s="3" t="s">
        <v>2627</v>
      </c>
      <c r="BD225" s="3" t="s">
        <v>2628</v>
      </c>
    </row>
    <row r="226" spans="1:56" ht="57.75" customHeight="1" x14ac:dyDescent="0.25">
      <c r="A226" s="7" t="s">
        <v>59</v>
      </c>
      <c r="B226" s="2" t="s">
        <v>2629</v>
      </c>
      <c r="C226" s="2" t="s">
        <v>2630</v>
      </c>
      <c r="D226" s="2" t="s">
        <v>2631</v>
      </c>
      <c r="F226" s="3" t="s">
        <v>59</v>
      </c>
      <c r="G226" s="3" t="s">
        <v>60</v>
      </c>
      <c r="H226" s="3" t="s">
        <v>59</v>
      </c>
      <c r="I226" s="3" t="s">
        <v>59</v>
      </c>
      <c r="J226" s="3" t="s">
        <v>61</v>
      </c>
      <c r="K226" s="2" t="s">
        <v>2632</v>
      </c>
      <c r="L226" s="2" t="s">
        <v>2633</v>
      </c>
      <c r="M226" s="3" t="s">
        <v>571</v>
      </c>
      <c r="O226" s="3" t="s">
        <v>64</v>
      </c>
      <c r="P226" s="3" t="s">
        <v>821</v>
      </c>
      <c r="Q226" s="2" t="s">
        <v>2634</v>
      </c>
      <c r="R226" s="3" t="s">
        <v>67</v>
      </c>
      <c r="S226" s="4">
        <v>1</v>
      </c>
      <c r="T226" s="4">
        <v>1</v>
      </c>
      <c r="U226" s="5" t="s">
        <v>1866</v>
      </c>
      <c r="V226" s="5" t="s">
        <v>1866</v>
      </c>
      <c r="W226" s="5" t="s">
        <v>575</v>
      </c>
      <c r="X226" s="5" t="s">
        <v>575</v>
      </c>
      <c r="Y226" s="4">
        <v>219</v>
      </c>
      <c r="Z226" s="4">
        <v>194</v>
      </c>
      <c r="AA226" s="4">
        <v>215</v>
      </c>
      <c r="AB226" s="4">
        <v>3</v>
      </c>
      <c r="AC226" s="4">
        <v>3</v>
      </c>
      <c r="AD226" s="4">
        <v>4</v>
      </c>
      <c r="AE226" s="4">
        <v>4</v>
      </c>
      <c r="AF226" s="4">
        <v>0</v>
      </c>
      <c r="AG226" s="4">
        <v>0</v>
      </c>
      <c r="AH226" s="4">
        <v>0</v>
      </c>
      <c r="AI226" s="4">
        <v>0</v>
      </c>
      <c r="AJ226" s="4">
        <v>2</v>
      </c>
      <c r="AK226" s="4">
        <v>2</v>
      </c>
      <c r="AL226" s="4">
        <v>2</v>
      </c>
      <c r="AM226" s="4">
        <v>2</v>
      </c>
      <c r="AN226" s="4">
        <v>0</v>
      </c>
      <c r="AO226" s="4">
        <v>0</v>
      </c>
      <c r="AP226" s="3" t="s">
        <v>59</v>
      </c>
      <c r="AQ226" s="3" t="s">
        <v>69</v>
      </c>
      <c r="AR226" s="6" t="str">
        <f>HYPERLINK("http://catalog.hathitrust.org/Record/006215022","HathiTrust Record")</f>
        <v>HathiTrust Record</v>
      </c>
      <c r="AS226" s="6" t="str">
        <f>HYPERLINK("https://creighton-primo.hosted.exlibrisgroup.com/primo-explore/search?tab=default_tab&amp;search_scope=EVERYTHING&amp;vid=01CRU&amp;lang=en_US&amp;offset=0&amp;query=any,contains,991003765369702656","Catalog Record")</f>
        <v>Catalog Record</v>
      </c>
      <c r="AT226" s="6" t="str">
        <f>HYPERLINK("http://www.worldcat.org/oclc/1457685","WorldCat Record")</f>
        <v>WorldCat Record</v>
      </c>
      <c r="AU226" s="3" t="s">
        <v>2635</v>
      </c>
      <c r="AV226" s="3" t="s">
        <v>2636</v>
      </c>
      <c r="AW226" s="3" t="s">
        <v>2637</v>
      </c>
      <c r="AX226" s="3" t="s">
        <v>2637</v>
      </c>
      <c r="AY226" s="3" t="s">
        <v>2638</v>
      </c>
      <c r="AZ226" s="3" t="s">
        <v>74</v>
      </c>
      <c r="BC226" s="3" t="s">
        <v>2639</v>
      </c>
      <c r="BD226" s="3" t="s">
        <v>2640</v>
      </c>
    </row>
    <row r="227" spans="1:56" ht="57.75" customHeight="1" x14ac:dyDescent="0.25">
      <c r="A227" s="7" t="s">
        <v>59</v>
      </c>
      <c r="B227" s="2" t="s">
        <v>2641</v>
      </c>
      <c r="C227" s="2" t="s">
        <v>2642</v>
      </c>
      <c r="D227" s="2" t="s">
        <v>2643</v>
      </c>
      <c r="F227" s="3" t="s">
        <v>59</v>
      </c>
      <c r="G227" s="3" t="s">
        <v>60</v>
      </c>
      <c r="H227" s="3" t="s">
        <v>59</v>
      </c>
      <c r="I227" s="3" t="s">
        <v>59</v>
      </c>
      <c r="J227" s="3" t="s">
        <v>61</v>
      </c>
      <c r="L227" s="2" t="s">
        <v>2644</v>
      </c>
      <c r="M227" s="3" t="s">
        <v>763</v>
      </c>
      <c r="O227" s="3" t="s">
        <v>64</v>
      </c>
      <c r="P227" s="3" t="s">
        <v>405</v>
      </c>
      <c r="Q227" s="2" t="s">
        <v>2645</v>
      </c>
      <c r="R227" s="3" t="s">
        <v>67</v>
      </c>
      <c r="S227" s="4">
        <v>6</v>
      </c>
      <c r="T227" s="4">
        <v>6</v>
      </c>
      <c r="U227" s="5" t="s">
        <v>2646</v>
      </c>
      <c r="V227" s="5" t="s">
        <v>2646</v>
      </c>
      <c r="W227" s="5" t="s">
        <v>1199</v>
      </c>
      <c r="X227" s="5" t="s">
        <v>1199</v>
      </c>
      <c r="Y227" s="4">
        <v>298</v>
      </c>
      <c r="Z227" s="4">
        <v>181</v>
      </c>
      <c r="AA227" s="4">
        <v>186</v>
      </c>
      <c r="AB227" s="4">
        <v>1</v>
      </c>
      <c r="AC227" s="4">
        <v>1</v>
      </c>
      <c r="AD227" s="4">
        <v>4</v>
      </c>
      <c r="AE227" s="4">
        <v>4</v>
      </c>
      <c r="AF227" s="4">
        <v>1</v>
      </c>
      <c r="AG227" s="4">
        <v>1</v>
      </c>
      <c r="AH227" s="4">
        <v>1</v>
      </c>
      <c r="AI227" s="4">
        <v>1</v>
      </c>
      <c r="AJ227" s="4">
        <v>3</v>
      </c>
      <c r="AK227" s="4">
        <v>3</v>
      </c>
      <c r="AL227" s="4">
        <v>0</v>
      </c>
      <c r="AM227" s="4">
        <v>0</v>
      </c>
      <c r="AN227" s="4">
        <v>0</v>
      </c>
      <c r="AO227" s="4">
        <v>0</v>
      </c>
      <c r="AP227" s="3" t="s">
        <v>59</v>
      </c>
      <c r="AQ227" s="3" t="s">
        <v>59</v>
      </c>
      <c r="AS227" s="6" t="str">
        <f>HYPERLINK("https://creighton-primo.hosted.exlibrisgroup.com/primo-explore/search?tab=default_tab&amp;search_scope=EVERYTHING&amp;vid=01CRU&amp;lang=en_US&amp;offset=0&amp;query=any,contains,991000710119702656","Catalog Record")</f>
        <v>Catalog Record</v>
      </c>
      <c r="AT227" s="6" t="str">
        <f>HYPERLINK("http://www.worldcat.org/oclc/23256101","WorldCat Record")</f>
        <v>WorldCat Record</v>
      </c>
      <c r="AU227" s="3" t="s">
        <v>2647</v>
      </c>
      <c r="AV227" s="3" t="s">
        <v>2648</v>
      </c>
      <c r="AW227" s="3" t="s">
        <v>2649</v>
      </c>
      <c r="AX227" s="3" t="s">
        <v>2649</v>
      </c>
      <c r="AY227" s="3" t="s">
        <v>2650</v>
      </c>
      <c r="AZ227" s="3" t="s">
        <v>74</v>
      </c>
      <c r="BB227" s="3" t="s">
        <v>2651</v>
      </c>
      <c r="BC227" s="3" t="s">
        <v>2652</v>
      </c>
      <c r="BD227" s="3" t="s">
        <v>2653</v>
      </c>
    </row>
    <row r="228" spans="1:56" ht="57.75" customHeight="1" x14ac:dyDescent="0.25">
      <c r="A228" s="7" t="s">
        <v>59</v>
      </c>
      <c r="B228" s="2" t="s">
        <v>2654</v>
      </c>
      <c r="C228" s="2" t="s">
        <v>2655</v>
      </c>
      <c r="D228" s="2" t="s">
        <v>2656</v>
      </c>
      <c r="F228" s="3" t="s">
        <v>59</v>
      </c>
      <c r="G228" s="3" t="s">
        <v>60</v>
      </c>
      <c r="H228" s="3" t="s">
        <v>59</v>
      </c>
      <c r="I228" s="3" t="s">
        <v>59</v>
      </c>
      <c r="J228" s="3" t="s">
        <v>61</v>
      </c>
      <c r="L228" s="2" t="s">
        <v>2657</v>
      </c>
      <c r="M228" s="3" t="s">
        <v>2244</v>
      </c>
      <c r="O228" s="3" t="s">
        <v>64</v>
      </c>
      <c r="P228" s="3" t="s">
        <v>405</v>
      </c>
      <c r="Q228" s="2" t="s">
        <v>2658</v>
      </c>
      <c r="R228" s="3" t="s">
        <v>67</v>
      </c>
      <c r="S228" s="4">
        <v>5</v>
      </c>
      <c r="T228" s="4">
        <v>5</v>
      </c>
      <c r="U228" s="5" t="s">
        <v>2659</v>
      </c>
      <c r="V228" s="5" t="s">
        <v>2659</v>
      </c>
      <c r="W228" s="5" t="s">
        <v>2660</v>
      </c>
      <c r="X228" s="5" t="s">
        <v>2660</v>
      </c>
      <c r="Y228" s="4">
        <v>163</v>
      </c>
      <c r="Z228" s="4">
        <v>93</v>
      </c>
      <c r="AA228" s="4">
        <v>94</v>
      </c>
      <c r="AB228" s="4">
        <v>1</v>
      </c>
      <c r="AC228" s="4">
        <v>1</v>
      </c>
      <c r="AD228" s="4">
        <v>1</v>
      </c>
      <c r="AE228" s="4">
        <v>1</v>
      </c>
      <c r="AF228" s="4">
        <v>0</v>
      </c>
      <c r="AG228" s="4">
        <v>0</v>
      </c>
      <c r="AH228" s="4">
        <v>1</v>
      </c>
      <c r="AI228" s="4">
        <v>1</v>
      </c>
      <c r="AJ228" s="4">
        <v>1</v>
      </c>
      <c r="AK228" s="4">
        <v>1</v>
      </c>
      <c r="AL228" s="4">
        <v>0</v>
      </c>
      <c r="AM228" s="4">
        <v>0</v>
      </c>
      <c r="AN228" s="4">
        <v>0</v>
      </c>
      <c r="AO228" s="4">
        <v>0</v>
      </c>
      <c r="AP228" s="3" t="s">
        <v>59</v>
      </c>
      <c r="AQ228" s="3" t="s">
        <v>69</v>
      </c>
      <c r="AR228" s="6" t="str">
        <f>HYPERLINK("http://catalog.hathitrust.org/Record/002546648","HathiTrust Record")</f>
        <v>HathiTrust Record</v>
      </c>
      <c r="AS228" s="6" t="str">
        <f>HYPERLINK("https://creighton-primo.hosted.exlibrisgroup.com/primo-explore/search?tab=default_tab&amp;search_scope=EVERYTHING&amp;vid=01CRU&amp;lang=en_US&amp;offset=0&amp;query=any,contains,991001891159702656","Catalog Record")</f>
        <v>Catalog Record</v>
      </c>
      <c r="AT228" s="6" t="str">
        <f>HYPERLINK("http://www.worldcat.org/oclc/23869305","WorldCat Record")</f>
        <v>WorldCat Record</v>
      </c>
      <c r="AU228" s="3" t="s">
        <v>2661</v>
      </c>
      <c r="AV228" s="3" t="s">
        <v>2662</v>
      </c>
      <c r="AW228" s="3" t="s">
        <v>2663</v>
      </c>
      <c r="AX228" s="3" t="s">
        <v>2663</v>
      </c>
      <c r="AY228" s="3" t="s">
        <v>2664</v>
      </c>
      <c r="AZ228" s="3" t="s">
        <v>74</v>
      </c>
      <c r="BB228" s="3" t="s">
        <v>2665</v>
      </c>
      <c r="BC228" s="3" t="s">
        <v>2666</v>
      </c>
      <c r="BD228" s="3" t="s">
        <v>2667</v>
      </c>
    </row>
    <row r="229" spans="1:56" ht="57.75" customHeight="1" x14ac:dyDescent="0.25">
      <c r="A229" s="7" t="s">
        <v>59</v>
      </c>
      <c r="B229" s="2" t="s">
        <v>2668</v>
      </c>
      <c r="C229" s="2" t="s">
        <v>2669</v>
      </c>
      <c r="D229" s="2" t="s">
        <v>2670</v>
      </c>
      <c r="F229" s="3" t="s">
        <v>59</v>
      </c>
      <c r="G229" s="3" t="s">
        <v>60</v>
      </c>
      <c r="H229" s="3" t="s">
        <v>59</v>
      </c>
      <c r="I229" s="3" t="s">
        <v>59</v>
      </c>
      <c r="J229" s="3" t="s">
        <v>61</v>
      </c>
      <c r="K229" s="2" t="s">
        <v>2671</v>
      </c>
      <c r="L229" s="2" t="s">
        <v>2672</v>
      </c>
      <c r="M229" s="3" t="s">
        <v>404</v>
      </c>
      <c r="O229" s="3" t="s">
        <v>64</v>
      </c>
      <c r="P229" s="3" t="s">
        <v>467</v>
      </c>
      <c r="R229" s="3" t="s">
        <v>67</v>
      </c>
      <c r="S229" s="4">
        <v>1</v>
      </c>
      <c r="T229" s="4">
        <v>1</v>
      </c>
      <c r="U229" s="5" t="s">
        <v>1388</v>
      </c>
      <c r="V229" s="5" t="s">
        <v>1388</v>
      </c>
      <c r="W229" s="5" t="s">
        <v>2673</v>
      </c>
      <c r="X229" s="5" t="s">
        <v>2673</v>
      </c>
      <c r="Y229" s="4">
        <v>484</v>
      </c>
      <c r="Z229" s="4">
        <v>401</v>
      </c>
      <c r="AA229" s="4">
        <v>417</v>
      </c>
      <c r="AB229" s="4">
        <v>5</v>
      </c>
      <c r="AC229" s="4">
        <v>5</v>
      </c>
      <c r="AD229" s="4">
        <v>18</v>
      </c>
      <c r="AE229" s="4">
        <v>19</v>
      </c>
      <c r="AF229" s="4">
        <v>6</v>
      </c>
      <c r="AG229" s="4">
        <v>7</v>
      </c>
      <c r="AH229" s="4">
        <v>4</v>
      </c>
      <c r="AI229" s="4">
        <v>4</v>
      </c>
      <c r="AJ229" s="4">
        <v>8</v>
      </c>
      <c r="AK229" s="4">
        <v>8</v>
      </c>
      <c r="AL229" s="4">
        <v>4</v>
      </c>
      <c r="AM229" s="4">
        <v>4</v>
      </c>
      <c r="AN229" s="4">
        <v>0</v>
      </c>
      <c r="AO229" s="4">
        <v>0</v>
      </c>
      <c r="AP229" s="3" t="s">
        <v>59</v>
      </c>
      <c r="AQ229" s="3" t="s">
        <v>69</v>
      </c>
      <c r="AR229" s="6" t="str">
        <f>HYPERLINK("http://catalog.hathitrust.org/Record/000236748","HathiTrust Record")</f>
        <v>HathiTrust Record</v>
      </c>
      <c r="AS229" s="6" t="str">
        <f>HYPERLINK("https://creighton-primo.hosted.exlibrisgroup.com/primo-explore/search?tab=default_tab&amp;search_scope=EVERYTHING&amp;vid=01CRU&amp;lang=en_US&amp;offset=0&amp;query=any,contains,991002734609702656","Catalog Record")</f>
        <v>Catalog Record</v>
      </c>
      <c r="AT229" s="6" t="str">
        <f>HYPERLINK("http://www.worldcat.org/oclc/418718","WorldCat Record")</f>
        <v>WorldCat Record</v>
      </c>
      <c r="AU229" s="3" t="s">
        <v>2674</v>
      </c>
      <c r="AV229" s="3" t="s">
        <v>2675</v>
      </c>
      <c r="AW229" s="3" t="s">
        <v>2676</v>
      </c>
      <c r="AX229" s="3" t="s">
        <v>2676</v>
      </c>
      <c r="AY229" s="3" t="s">
        <v>2677</v>
      </c>
      <c r="AZ229" s="3" t="s">
        <v>74</v>
      </c>
      <c r="BB229" s="3" t="s">
        <v>2678</v>
      </c>
      <c r="BC229" s="3" t="s">
        <v>2679</v>
      </c>
      <c r="BD229" s="3" t="s">
        <v>2680</v>
      </c>
    </row>
    <row r="230" spans="1:56" ht="57.75" customHeight="1" x14ac:dyDescent="0.25">
      <c r="A230" s="7" t="s">
        <v>59</v>
      </c>
      <c r="B230" s="2" t="s">
        <v>2681</v>
      </c>
      <c r="C230" s="2" t="s">
        <v>2682</v>
      </c>
      <c r="D230" s="2" t="s">
        <v>2683</v>
      </c>
      <c r="F230" s="3" t="s">
        <v>59</v>
      </c>
      <c r="G230" s="3" t="s">
        <v>60</v>
      </c>
      <c r="H230" s="3" t="s">
        <v>59</v>
      </c>
      <c r="I230" s="3" t="s">
        <v>59</v>
      </c>
      <c r="J230" s="3" t="s">
        <v>61</v>
      </c>
      <c r="K230" s="2" t="s">
        <v>2684</v>
      </c>
      <c r="L230" s="2" t="s">
        <v>2685</v>
      </c>
      <c r="M230" s="3" t="s">
        <v>931</v>
      </c>
      <c r="O230" s="3" t="s">
        <v>64</v>
      </c>
      <c r="P230" s="3" t="s">
        <v>573</v>
      </c>
      <c r="R230" s="3" t="s">
        <v>67</v>
      </c>
      <c r="S230" s="4">
        <v>4</v>
      </c>
      <c r="T230" s="4">
        <v>4</v>
      </c>
      <c r="U230" s="5" t="s">
        <v>2686</v>
      </c>
      <c r="V230" s="5" t="s">
        <v>2686</v>
      </c>
      <c r="W230" s="5" t="s">
        <v>2687</v>
      </c>
      <c r="X230" s="5" t="s">
        <v>2687</v>
      </c>
      <c r="Y230" s="4">
        <v>327</v>
      </c>
      <c r="Z230" s="4">
        <v>265</v>
      </c>
      <c r="AA230" s="4">
        <v>267</v>
      </c>
      <c r="AB230" s="4">
        <v>2</v>
      </c>
      <c r="AC230" s="4">
        <v>2</v>
      </c>
      <c r="AD230" s="4">
        <v>10</v>
      </c>
      <c r="AE230" s="4">
        <v>10</v>
      </c>
      <c r="AF230" s="4">
        <v>3</v>
      </c>
      <c r="AG230" s="4">
        <v>3</v>
      </c>
      <c r="AH230" s="4">
        <v>2</v>
      </c>
      <c r="AI230" s="4">
        <v>2</v>
      </c>
      <c r="AJ230" s="4">
        <v>6</v>
      </c>
      <c r="AK230" s="4">
        <v>6</v>
      </c>
      <c r="AL230" s="4">
        <v>1</v>
      </c>
      <c r="AM230" s="4">
        <v>1</v>
      </c>
      <c r="AN230" s="4">
        <v>0</v>
      </c>
      <c r="AO230" s="4">
        <v>0</v>
      </c>
      <c r="AP230" s="3" t="s">
        <v>59</v>
      </c>
      <c r="AQ230" s="3" t="s">
        <v>69</v>
      </c>
      <c r="AR230" s="6" t="str">
        <f>HYPERLINK("http://catalog.hathitrust.org/Record/001499343","HathiTrust Record")</f>
        <v>HathiTrust Record</v>
      </c>
      <c r="AS230" s="6" t="str">
        <f>HYPERLINK("https://creighton-primo.hosted.exlibrisgroup.com/primo-explore/search?tab=default_tab&amp;search_scope=EVERYTHING&amp;vid=01CRU&amp;lang=en_US&amp;offset=0&amp;query=any,contains,991003156449702656","Catalog Record")</f>
        <v>Catalog Record</v>
      </c>
      <c r="AT230" s="6" t="str">
        <f>HYPERLINK("http://www.worldcat.org/oclc/695618","WorldCat Record")</f>
        <v>WorldCat Record</v>
      </c>
      <c r="AU230" s="3" t="s">
        <v>2688</v>
      </c>
      <c r="AV230" s="3" t="s">
        <v>2689</v>
      </c>
      <c r="AW230" s="3" t="s">
        <v>2690</v>
      </c>
      <c r="AX230" s="3" t="s">
        <v>2690</v>
      </c>
      <c r="AY230" s="3" t="s">
        <v>2691</v>
      </c>
      <c r="AZ230" s="3" t="s">
        <v>74</v>
      </c>
      <c r="BB230" s="3" t="s">
        <v>2692</v>
      </c>
      <c r="BC230" s="3" t="s">
        <v>2693</v>
      </c>
      <c r="BD230" s="3" t="s">
        <v>2694</v>
      </c>
    </row>
    <row r="231" spans="1:56" ht="57.75" customHeight="1" x14ac:dyDescent="0.25">
      <c r="A231" s="7" t="s">
        <v>59</v>
      </c>
      <c r="B231" s="2" t="s">
        <v>2695</v>
      </c>
      <c r="C231" s="2" t="s">
        <v>2696</v>
      </c>
      <c r="D231" s="2" t="s">
        <v>2697</v>
      </c>
      <c r="F231" s="3" t="s">
        <v>59</v>
      </c>
      <c r="G231" s="3" t="s">
        <v>60</v>
      </c>
      <c r="H231" s="3" t="s">
        <v>59</v>
      </c>
      <c r="I231" s="3" t="s">
        <v>59</v>
      </c>
      <c r="J231" s="3" t="s">
        <v>61</v>
      </c>
      <c r="K231" s="2" t="s">
        <v>2698</v>
      </c>
      <c r="L231" s="2" t="s">
        <v>2699</v>
      </c>
      <c r="M231" s="3" t="s">
        <v>2700</v>
      </c>
      <c r="O231" s="3" t="s">
        <v>64</v>
      </c>
      <c r="P231" s="3" t="s">
        <v>405</v>
      </c>
      <c r="Q231" s="2" t="s">
        <v>2701</v>
      </c>
      <c r="R231" s="3" t="s">
        <v>67</v>
      </c>
      <c r="S231" s="4">
        <v>1</v>
      </c>
      <c r="T231" s="4">
        <v>1</v>
      </c>
      <c r="U231" s="5" t="s">
        <v>2609</v>
      </c>
      <c r="V231" s="5" t="s">
        <v>2609</v>
      </c>
      <c r="W231" s="5" t="s">
        <v>575</v>
      </c>
      <c r="X231" s="5" t="s">
        <v>575</v>
      </c>
      <c r="Y231" s="4">
        <v>414</v>
      </c>
      <c r="Z231" s="4">
        <v>336</v>
      </c>
      <c r="AA231" s="4">
        <v>346</v>
      </c>
      <c r="AB231" s="4">
        <v>4</v>
      </c>
      <c r="AC231" s="4">
        <v>4</v>
      </c>
      <c r="AD231" s="4">
        <v>17</v>
      </c>
      <c r="AE231" s="4">
        <v>17</v>
      </c>
      <c r="AF231" s="4">
        <v>5</v>
      </c>
      <c r="AG231" s="4">
        <v>5</v>
      </c>
      <c r="AH231" s="4">
        <v>3</v>
      </c>
      <c r="AI231" s="4">
        <v>3</v>
      </c>
      <c r="AJ231" s="4">
        <v>10</v>
      </c>
      <c r="AK231" s="4">
        <v>10</v>
      </c>
      <c r="AL231" s="4">
        <v>3</v>
      </c>
      <c r="AM231" s="4">
        <v>3</v>
      </c>
      <c r="AN231" s="4">
        <v>0</v>
      </c>
      <c r="AO231" s="4">
        <v>0</v>
      </c>
      <c r="AP231" s="3" t="s">
        <v>59</v>
      </c>
      <c r="AQ231" s="3" t="s">
        <v>69</v>
      </c>
      <c r="AR231" s="6" t="str">
        <f>HYPERLINK("http://catalog.hathitrust.org/Record/001638596","HathiTrust Record")</f>
        <v>HathiTrust Record</v>
      </c>
      <c r="AS231" s="6" t="str">
        <f>HYPERLINK("https://creighton-primo.hosted.exlibrisgroup.com/primo-explore/search?tab=default_tab&amp;search_scope=EVERYTHING&amp;vid=01CRU&amp;lang=en_US&amp;offset=0&amp;query=any,contains,991002987599702656","Catalog Record")</f>
        <v>Catalog Record</v>
      </c>
      <c r="AT231" s="6" t="str">
        <f>HYPERLINK("http://www.worldcat.org/oclc/14671283","WorldCat Record")</f>
        <v>WorldCat Record</v>
      </c>
      <c r="AU231" s="3" t="s">
        <v>2702</v>
      </c>
      <c r="AV231" s="3" t="s">
        <v>2703</v>
      </c>
      <c r="AW231" s="3" t="s">
        <v>2704</v>
      </c>
      <c r="AX231" s="3" t="s">
        <v>2704</v>
      </c>
      <c r="AY231" s="3" t="s">
        <v>2705</v>
      </c>
      <c r="AZ231" s="3" t="s">
        <v>74</v>
      </c>
      <c r="BC231" s="3" t="s">
        <v>2706</v>
      </c>
      <c r="BD231" s="3" t="s">
        <v>2707</v>
      </c>
    </row>
    <row r="232" spans="1:56" ht="57.75" customHeight="1" x14ac:dyDescent="0.25">
      <c r="A232" s="7" t="s">
        <v>59</v>
      </c>
      <c r="B232" s="2" t="s">
        <v>2708</v>
      </c>
      <c r="C232" s="2" t="s">
        <v>2709</v>
      </c>
      <c r="D232" s="2" t="s">
        <v>2710</v>
      </c>
      <c r="F232" s="3" t="s">
        <v>59</v>
      </c>
      <c r="G232" s="3" t="s">
        <v>60</v>
      </c>
      <c r="H232" s="3" t="s">
        <v>59</v>
      </c>
      <c r="I232" s="3" t="s">
        <v>59</v>
      </c>
      <c r="J232" s="3" t="s">
        <v>61</v>
      </c>
      <c r="K232" s="2" t="s">
        <v>2711</v>
      </c>
      <c r="L232" s="2" t="s">
        <v>2712</v>
      </c>
      <c r="M232" s="3" t="s">
        <v>1852</v>
      </c>
      <c r="O232" s="3" t="s">
        <v>64</v>
      </c>
      <c r="P232" s="3" t="s">
        <v>405</v>
      </c>
      <c r="Q232" s="2" t="s">
        <v>2713</v>
      </c>
      <c r="R232" s="3" t="s">
        <v>67</v>
      </c>
      <c r="S232" s="4">
        <v>2</v>
      </c>
      <c r="T232" s="4">
        <v>2</v>
      </c>
      <c r="U232" s="5" t="s">
        <v>2714</v>
      </c>
      <c r="V232" s="5" t="s">
        <v>2714</v>
      </c>
      <c r="W232" s="5" t="s">
        <v>2526</v>
      </c>
      <c r="X232" s="5" t="s">
        <v>2526</v>
      </c>
      <c r="Y232" s="4">
        <v>562</v>
      </c>
      <c r="Z232" s="4">
        <v>443</v>
      </c>
      <c r="AA232" s="4">
        <v>524</v>
      </c>
      <c r="AB232" s="4">
        <v>5</v>
      </c>
      <c r="AC232" s="4">
        <v>5</v>
      </c>
      <c r="AD232" s="4">
        <v>24</v>
      </c>
      <c r="AE232" s="4">
        <v>26</v>
      </c>
      <c r="AF232" s="4">
        <v>8</v>
      </c>
      <c r="AG232" s="4">
        <v>9</v>
      </c>
      <c r="AH232" s="4">
        <v>5</v>
      </c>
      <c r="AI232" s="4">
        <v>7</v>
      </c>
      <c r="AJ232" s="4">
        <v>13</v>
      </c>
      <c r="AK232" s="4">
        <v>13</v>
      </c>
      <c r="AL232" s="4">
        <v>4</v>
      </c>
      <c r="AM232" s="4">
        <v>4</v>
      </c>
      <c r="AN232" s="4">
        <v>0</v>
      </c>
      <c r="AO232" s="4">
        <v>0</v>
      </c>
      <c r="AP232" s="3" t="s">
        <v>69</v>
      </c>
      <c r="AQ232" s="3" t="s">
        <v>59</v>
      </c>
      <c r="AR232" s="6" t="str">
        <f>HYPERLINK("http://catalog.hathitrust.org/Record/001496641","HathiTrust Record")</f>
        <v>HathiTrust Record</v>
      </c>
      <c r="AS232" s="6" t="str">
        <f>HYPERLINK("https://creighton-primo.hosted.exlibrisgroup.com/primo-explore/search?tab=default_tab&amp;search_scope=EVERYTHING&amp;vid=01CRU&amp;lang=en_US&amp;offset=0&amp;query=any,contains,991003063639702656","Catalog Record")</f>
        <v>Catalog Record</v>
      </c>
      <c r="AT232" s="6" t="str">
        <f>HYPERLINK("http://www.worldcat.org/oclc/620210","WorldCat Record")</f>
        <v>WorldCat Record</v>
      </c>
      <c r="AU232" s="3" t="s">
        <v>2715</v>
      </c>
      <c r="AV232" s="3" t="s">
        <v>2716</v>
      </c>
      <c r="AW232" s="3" t="s">
        <v>2717</v>
      </c>
      <c r="AX232" s="3" t="s">
        <v>2717</v>
      </c>
      <c r="AY232" s="3" t="s">
        <v>2718</v>
      </c>
      <c r="AZ232" s="3" t="s">
        <v>74</v>
      </c>
      <c r="BC232" s="3" t="s">
        <v>2719</v>
      </c>
      <c r="BD232" s="3" t="s">
        <v>2720</v>
      </c>
    </row>
    <row r="233" spans="1:56" ht="57.75" customHeight="1" x14ac:dyDescent="0.25">
      <c r="A233" s="7" t="s">
        <v>59</v>
      </c>
      <c r="B233" s="2" t="s">
        <v>2721</v>
      </c>
      <c r="C233" s="2" t="s">
        <v>2722</v>
      </c>
      <c r="D233" s="2" t="s">
        <v>2723</v>
      </c>
      <c r="F233" s="3" t="s">
        <v>59</v>
      </c>
      <c r="G233" s="3" t="s">
        <v>60</v>
      </c>
      <c r="H233" s="3" t="s">
        <v>59</v>
      </c>
      <c r="I233" s="3" t="s">
        <v>59</v>
      </c>
      <c r="J233" s="3" t="s">
        <v>61</v>
      </c>
      <c r="K233" s="2" t="s">
        <v>2724</v>
      </c>
      <c r="L233" s="2" t="s">
        <v>2725</v>
      </c>
      <c r="M233" s="3" t="s">
        <v>617</v>
      </c>
      <c r="O233" s="3" t="s">
        <v>64</v>
      </c>
      <c r="P233" s="3" t="s">
        <v>2726</v>
      </c>
      <c r="R233" s="3" t="s">
        <v>67</v>
      </c>
      <c r="S233" s="4">
        <v>4</v>
      </c>
      <c r="T233" s="4">
        <v>4</v>
      </c>
      <c r="U233" s="5" t="s">
        <v>2714</v>
      </c>
      <c r="V233" s="5" t="s">
        <v>2714</v>
      </c>
      <c r="W233" s="5" t="s">
        <v>1199</v>
      </c>
      <c r="X233" s="5" t="s">
        <v>1199</v>
      </c>
      <c r="Y233" s="4">
        <v>134</v>
      </c>
      <c r="Z233" s="4">
        <v>89</v>
      </c>
      <c r="AA233" s="4">
        <v>90</v>
      </c>
      <c r="AB233" s="4">
        <v>2</v>
      </c>
      <c r="AC233" s="4">
        <v>2</v>
      </c>
      <c r="AD233" s="4">
        <v>3</v>
      </c>
      <c r="AE233" s="4">
        <v>3</v>
      </c>
      <c r="AF233" s="4">
        <v>0</v>
      </c>
      <c r="AG233" s="4">
        <v>0</v>
      </c>
      <c r="AH233" s="4">
        <v>1</v>
      </c>
      <c r="AI233" s="4">
        <v>1</v>
      </c>
      <c r="AJ233" s="4">
        <v>2</v>
      </c>
      <c r="AK233" s="4">
        <v>2</v>
      </c>
      <c r="AL233" s="4">
        <v>1</v>
      </c>
      <c r="AM233" s="4">
        <v>1</v>
      </c>
      <c r="AN233" s="4">
        <v>0</v>
      </c>
      <c r="AO233" s="4">
        <v>0</v>
      </c>
      <c r="AP233" s="3" t="s">
        <v>59</v>
      </c>
      <c r="AQ233" s="3" t="s">
        <v>69</v>
      </c>
      <c r="AR233" s="6" t="str">
        <f>HYPERLINK("http://catalog.hathitrust.org/Record/000716374","HathiTrust Record")</f>
        <v>HathiTrust Record</v>
      </c>
      <c r="AS233" s="6" t="str">
        <f>HYPERLINK("https://creighton-primo.hosted.exlibrisgroup.com/primo-explore/search?tab=default_tab&amp;search_scope=EVERYTHING&amp;vid=01CRU&amp;lang=en_US&amp;offset=0&amp;query=any,contains,991004943769702656","Catalog Record")</f>
        <v>Catalog Record</v>
      </c>
      <c r="AT233" s="6" t="str">
        <f>HYPERLINK("http://www.worldcat.org/oclc/6196678","WorldCat Record")</f>
        <v>WorldCat Record</v>
      </c>
      <c r="AU233" s="3" t="s">
        <v>2727</v>
      </c>
      <c r="AV233" s="3" t="s">
        <v>2728</v>
      </c>
      <c r="AW233" s="3" t="s">
        <v>2729</v>
      </c>
      <c r="AX233" s="3" t="s">
        <v>2729</v>
      </c>
      <c r="AY233" s="3" t="s">
        <v>2730</v>
      </c>
      <c r="AZ233" s="3" t="s">
        <v>74</v>
      </c>
      <c r="BB233" s="3" t="s">
        <v>2731</v>
      </c>
      <c r="BC233" s="3" t="s">
        <v>2732</v>
      </c>
      <c r="BD233" s="3" t="s">
        <v>2733</v>
      </c>
    </row>
    <row r="234" spans="1:56" ht="57.75" customHeight="1" x14ac:dyDescent="0.25">
      <c r="A234" s="7" t="s">
        <v>59</v>
      </c>
      <c r="B234" s="2" t="s">
        <v>2734</v>
      </c>
      <c r="C234" s="2" t="s">
        <v>2735</v>
      </c>
      <c r="D234" s="2" t="s">
        <v>2736</v>
      </c>
      <c r="F234" s="3" t="s">
        <v>59</v>
      </c>
      <c r="G234" s="3" t="s">
        <v>60</v>
      </c>
      <c r="H234" s="3" t="s">
        <v>59</v>
      </c>
      <c r="I234" s="3" t="s">
        <v>59</v>
      </c>
      <c r="J234" s="3" t="s">
        <v>61</v>
      </c>
      <c r="K234" s="2" t="s">
        <v>2737</v>
      </c>
      <c r="L234" s="2" t="s">
        <v>2738</v>
      </c>
      <c r="M234" s="3" t="s">
        <v>511</v>
      </c>
      <c r="O234" s="3" t="s">
        <v>64</v>
      </c>
      <c r="P234" s="3" t="s">
        <v>467</v>
      </c>
      <c r="R234" s="3" t="s">
        <v>67</v>
      </c>
      <c r="S234" s="4">
        <v>14</v>
      </c>
      <c r="T234" s="4">
        <v>14</v>
      </c>
      <c r="U234" s="5" t="s">
        <v>2739</v>
      </c>
      <c r="V234" s="5" t="s">
        <v>2739</v>
      </c>
      <c r="W234" s="5" t="s">
        <v>2740</v>
      </c>
      <c r="X234" s="5" t="s">
        <v>2740</v>
      </c>
      <c r="Y234" s="4">
        <v>345</v>
      </c>
      <c r="Z234" s="4">
        <v>295</v>
      </c>
      <c r="AA234" s="4">
        <v>309</v>
      </c>
      <c r="AB234" s="4">
        <v>2</v>
      </c>
      <c r="AC234" s="4">
        <v>2</v>
      </c>
      <c r="AD234" s="4">
        <v>15</v>
      </c>
      <c r="AE234" s="4">
        <v>15</v>
      </c>
      <c r="AF234" s="4">
        <v>7</v>
      </c>
      <c r="AG234" s="4">
        <v>7</v>
      </c>
      <c r="AH234" s="4">
        <v>3</v>
      </c>
      <c r="AI234" s="4">
        <v>3</v>
      </c>
      <c r="AJ234" s="4">
        <v>8</v>
      </c>
      <c r="AK234" s="4">
        <v>8</v>
      </c>
      <c r="AL234" s="4">
        <v>1</v>
      </c>
      <c r="AM234" s="4">
        <v>1</v>
      </c>
      <c r="AN234" s="4">
        <v>0</v>
      </c>
      <c r="AO234" s="4">
        <v>0</v>
      </c>
      <c r="AP234" s="3" t="s">
        <v>59</v>
      </c>
      <c r="AQ234" s="3" t="s">
        <v>69</v>
      </c>
      <c r="AR234" s="6" t="str">
        <f>HYPERLINK("http://catalog.hathitrust.org/Record/002994041","HathiTrust Record")</f>
        <v>HathiTrust Record</v>
      </c>
      <c r="AS234" s="6" t="str">
        <f>HYPERLINK("https://creighton-primo.hosted.exlibrisgroup.com/primo-explore/search?tab=default_tab&amp;search_scope=EVERYTHING&amp;vid=01CRU&amp;lang=en_US&amp;offset=0&amp;query=any,contains,991002396709702656","Catalog Record")</f>
        <v>Catalog Record</v>
      </c>
      <c r="AT234" s="6" t="str">
        <f>HYPERLINK("http://www.worldcat.org/oclc/31133377","WorldCat Record")</f>
        <v>WorldCat Record</v>
      </c>
      <c r="AU234" s="3" t="s">
        <v>2741</v>
      </c>
      <c r="AV234" s="3" t="s">
        <v>2742</v>
      </c>
      <c r="AW234" s="3" t="s">
        <v>2743</v>
      </c>
      <c r="AX234" s="3" t="s">
        <v>2743</v>
      </c>
      <c r="AY234" s="3" t="s">
        <v>2744</v>
      </c>
      <c r="AZ234" s="3" t="s">
        <v>74</v>
      </c>
      <c r="BB234" s="3" t="s">
        <v>2745</v>
      </c>
      <c r="BC234" s="3" t="s">
        <v>2746</v>
      </c>
      <c r="BD234" s="3" t="s">
        <v>2747</v>
      </c>
    </row>
    <row r="235" spans="1:56" ht="57.75" customHeight="1" x14ac:dyDescent="0.25">
      <c r="A235" s="7" t="s">
        <v>59</v>
      </c>
      <c r="B235" s="2" t="s">
        <v>2748</v>
      </c>
      <c r="C235" s="2" t="s">
        <v>2749</v>
      </c>
      <c r="D235" s="2" t="s">
        <v>2750</v>
      </c>
      <c r="F235" s="3" t="s">
        <v>59</v>
      </c>
      <c r="G235" s="3" t="s">
        <v>60</v>
      </c>
      <c r="H235" s="3" t="s">
        <v>59</v>
      </c>
      <c r="I235" s="3" t="s">
        <v>59</v>
      </c>
      <c r="J235" s="3" t="s">
        <v>61</v>
      </c>
      <c r="K235" s="2" t="s">
        <v>2751</v>
      </c>
      <c r="L235" s="2" t="s">
        <v>2752</v>
      </c>
      <c r="M235" s="3" t="s">
        <v>495</v>
      </c>
      <c r="O235" s="3" t="s">
        <v>64</v>
      </c>
      <c r="P235" s="3" t="s">
        <v>1078</v>
      </c>
      <c r="R235" s="3" t="s">
        <v>67</v>
      </c>
      <c r="S235" s="4">
        <v>4</v>
      </c>
      <c r="T235" s="4">
        <v>4</v>
      </c>
      <c r="U235" s="5" t="s">
        <v>2714</v>
      </c>
      <c r="V235" s="5" t="s">
        <v>2714</v>
      </c>
      <c r="W235" s="5" t="s">
        <v>1199</v>
      </c>
      <c r="X235" s="5" t="s">
        <v>1199</v>
      </c>
      <c r="Y235" s="4">
        <v>128</v>
      </c>
      <c r="Z235" s="4">
        <v>103</v>
      </c>
      <c r="AA235" s="4">
        <v>104</v>
      </c>
      <c r="AB235" s="4">
        <v>1</v>
      </c>
      <c r="AC235" s="4">
        <v>1</v>
      </c>
      <c r="AD235" s="4">
        <v>3</v>
      </c>
      <c r="AE235" s="4">
        <v>3</v>
      </c>
      <c r="AF235" s="4">
        <v>0</v>
      </c>
      <c r="AG235" s="4">
        <v>0</v>
      </c>
      <c r="AH235" s="4">
        <v>2</v>
      </c>
      <c r="AI235" s="4">
        <v>2</v>
      </c>
      <c r="AJ235" s="4">
        <v>2</v>
      </c>
      <c r="AK235" s="4">
        <v>2</v>
      </c>
      <c r="AL235" s="4">
        <v>0</v>
      </c>
      <c r="AM235" s="4">
        <v>0</v>
      </c>
      <c r="AN235" s="4">
        <v>0</v>
      </c>
      <c r="AO235" s="4">
        <v>0</v>
      </c>
      <c r="AP235" s="3" t="s">
        <v>59</v>
      </c>
      <c r="AQ235" s="3" t="s">
        <v>69</v>
      </c>
      <c r="AR235" s="6" t="str">
        <f>HYPERLINK("http://catalog.hathitrust.org/Record/008335356","HathiTrust Record")</f>
        <v>HathiTrust Record</v>
      </c>
      <c r="AS235" s="6" t="str">
        <f>HYPERLINK("https://creighton-primo.hosted.exlibrisgroup.com/primo-explore/search?tab=default_tab&amp;search_scope=EVERYTHING&amp;vid=01CRU&amp;lang=en_US&amp;offset=0&amp;query=any,contains,991000826589702656","Catalog Record")</f>
        <v>Catalog Record</v>
      </c>
      <c r="AT235" s="6" t="str">
        <f>HYPERLINK("http://www.worldcat.org/oclc/13423789","WorldCat Record")</f>
        <v>WorldCat Record</v>
      </c>
      <c r="AU235" s="3" t="s">
        <v>2753</v>
      </c>
      <c r="AV235" s="3" t="s">
        <v>2754</v>
      </c>
      <c r="AW235" s="3" t="s">
        <v>2755</v>
      </c>
      <c r="AX235" s="3" t="s">
        <v>2755</v>
      </c>
      <c r="AY235" s="3" t="s">
        <v>2756</v>
      </c>
      <c r="AZ235" s="3" t="s">
        <v>74</v>
      </c>
      <c r="BB235" s="3" t="s">
        <v>2757</v>
      </c>
      <c r="BC235" s="3" t="s">
        <v>2758</v>
      </c>
      <c r="BD235" s="3" t="s">
        <v>2759</v>
      </c>
    </row>
    <row r="236" spans="1:56" ht="57.75" customHeight="1" x14ac:dyDescent="0.25">
      <c r="A236" s="7" t="s">
        <v>59</v>
      </c>
      <c r="B236" s="2" t="s">
        <v>2760</v>
      </c>
      <c r="C236" s="2" t="s">
        <v>2761</v>
      </c>
      <c r="D236" s="2" t="s">
        <v>2762</v>
      </c>
      <c r="F236" s="3" t="s">
        <v>59</v>
      </c>
      <c r="G236" s="3" t="s">
        <v>60</v>
      </c>
      <c r="H236" s="3" t="s">
        <v>59</v>
      </c>
      <c r="I236" s="3" t="s">
        <v>59</v>
      </c>
      <c r="J236" s="3" t="s">
        <v>61</v>
      </c>
      <c r="K236" s="2" t="s">
        <v>2763</v>
      </c>
      <c r="L236" s="2" t="s">
        <v>2764</v>
      </c>
      <c r="M236" s="3" t="s">
        <v>452</v>
      </c>
      <c r="O236" s="3" t="s">
        <v>64</v>
      </c>
      <c r="P236" s="3" t="s">
        <v>2726</v>
      </c>
      <c r="R236" s="3" t="s">
        <v>67</v>
      </c>
      <c r="S236" s="4">
        <v>3</v>
      </c>
      <c r="T236" s="4">
        <v>3</v>
      </c>
      <c r="U236" s="5" t="s">
        <v>2714</v>
      </c>
      <c r="V236" s="5" t="s">
        <v>2714</v>
      </c>
      <c r="W236" s="5" t="s">
        <v>575</v>
      </c>
      <c r="X236" s="5" t="s">
        <v>575</v>
      </c>
      <c r="Y236" s="4">
        <v>352</v>
      </c>
      <c r="Z236" s="4">
        <v>264</v>
      </c>
      <c r="AA236" s="4">
        <v>265</v>
      </c>
      <c r="AB236" s="4">
        <v>2</v>
      </c>
      <c r="AC236" s="4">
        <v>2</v>
      </c>
      <c r="AD236" s="4">
        <v>12</v>
      </c>
      <c r="AE236" s="4">
        <v>12</v>
      </c>
      <c r="AF236" s="4">
        <v>1</v>
      </c>
      <c r="AG236" s="4">
        <v>1</v>
      </c>
      <c r="AH236" s="4">
        <v>3</v>
      </c>
      <c r="AI236" s="4">
        <v>3</v>
      </c>
      <c r="AJ236" s="4">
        <v>9</v>
      </c>
      <c r="AK236" s="4">
        <v>9</v>
      </c>
      <c r="AL236" s="4">
        <v>1</v>
      </c>
      <c r="AM236" s="4">
        <v>1</v>
      </c>
      <c r="AN236" s="4">
        <v>0</v>
      </c>
      <c r="AO236" s="4">
        <v>0</v>
      </c>
      <c r="AP236" s="3" t="s">
        <v>59</v>
      </c>
      <c r="AQ236" s="3" t="s">
        <v>69</v>
      </c>
      <c r="AR236" s="6" t="str">
        <f>HYPERLINK("http://catalog.hathitrust.org/Record/001496647","HathiTrust Record")</f>
        <v>HathiTrust Record</v>
      </c>
      <c r="AS236" s="6" t="str">
        <f>HYPERLINK("https://creighton-primo.hosted.exlibrisgroup.com/primo-explore/search?tab=default_tab&amp;search_scope=EVERYTHING&amp;vid=01CRU&amp;lang=en_US&amp;offset=0&amp;query=any,contains,991004466089702656","Catalog Record")</f>
        <v>Catalog Record</v>
      </c>
      <c r="AT236" s="6" t="str">
        <f>HYPERLINK("http://www.worldcat.org/oclc/3571462","WorldCat Record")</f>
        <v>WorldCat Record</v>
      </c>
      <c r="AU236" s="3" t="s">
        <v>2765</v>
      </c>
      <c r="AV236" s="3" t="s">
        <v>2766</v>
      </c>
      <c r="AW236" s="3" t="s">
        <v>2767</v>
      </c>
      <c r="AX236" s="3" t="s">
        <v>2767</v>
      </c>
      <c r="AY236" s="3" t="s">
        <v>2768</v>
      </c>
      <c r="AZ236" s="3" t="s">
        <v>74</v>
      </c>
      <c r="BC236" s="3" t="s">
        <v>2769</v>
      </c>
      <c r="BD236" s="3" t="s">
        <v>2770</v>
      </c>
    </row>
    <row r="237" spans="1:56" ht="57.75" customHeight="1" x14ac:dyDescent="0.25">
      <c r="A237" s="7" t="s">
        <v>59</v>
      </c>
      <c r="B237" s="2" t="s">
        <v>2771</v>
      </c>
      <c r="C237" s="2" t="s">
        <v>2772</v>
      </c>
      <c r="D237" s="2" t="s">
        <v>2773</v>
      </c>
      <c r="F237" s="3" t="s">
        <v>59</v>
      </c>
      <c r="G237" s="3" t="s">
        <v>60</v>
      </c>
      <c r="H237" s="3" t="s">
        <v>59</v>
      </c>
      <c r="I237" s="3" t="s">
        <v>59</v>
      </c>
      <c r="J237" s="3" t="s">
        <v>61</v>
      </c>
      <c r="K237" s="2" t="s">
        <v>2774</v>
      </c>
      <c r="L237" s="2" t="s">
        <v>2775</v>
      </c>
      <c r="M237" s="3" t="s">
        <v>1852</v>
      </c>
      <c r="O237" s="3" t="s">
        <v>64</v>
      </c>
      <c r="P237" s="3" t="s">
        <v>467</v>
      </c>
      <c r="Q237" s="2" t="s">
        <v>2776</v>
      </c>
      <c r="R237" s="3" t="s">
        <v>67</v>
      </c>
      <c r="S237" s="4">
        <v>2</v>
      </c>
      <c r="T237" s="4">
        <v>2</v>
      </c>
      <c r="U237" s="5" t="s">
        <v>2777</v>
      </c>
      <c r="V237" s="5" t="s">
        <v>2777</v>
      </c>
      <c r="W237" s="5" t="s">
        <v>575</v>
      </c>
      <c r="X237" s="5" t="s">
        <v>575</v>
      </c>
      <c r="Y237" s="4">
        <v>525</v>
      </c>
      <c r="Z237" s="4">
        <v>470</v>
      </c>
      <c r="AA237" s="4">
        <v>556</v>
      </c>
      <c r="AB237" s="4">
        <v>3</v>
      </c>
      <c r="AC237" s="4">
        <v>3</v>
      </c>
      <c r="AD237" s="4">
        <v>17</v>
      </c>
      <c r="AE237" s="4">
        <v>20</v>
      </c>
      <c r="AF237" s="4">
        <v>6</v>
      </c>
      <c r="AG237" s="4">
        <v>8</v>
      </c>
      <c r="AH237" s="4">
        <v>3</v>
      </c>
      <c r="AI237" s="4">
        <v>4</v>
      </c>
      <c r="AJ237" s="4">
        <v>9</v>
      </c>
      <c r="AK237" s="4">
        <v>9</v>
      </c>
      <c r="AL237" s="4">
        <v>2</v>
      </c>
      <c r="AM237" s="4">
        <v>2</v>
      </c>
      <c r="AN237" s="4">
        <v>0</v>
      </c>
      <c r="AO237" s="4">
        <v>0</v>
      </c>
      <c r="AP237" s="3" t="s">
        <v>59</v>
      </c>
      <c r="AQ237" s="3" t="s">
        <v>59</v>
      </c>
      <c r="AR237" s="6" t="str">
        <f>HYPERLINK("http://catalog.hathitrust.org/Record/001499377","HathiTrust Record")</f>
        <v>HathiTrust Record</v>
      </c>
      <c r="AS237" s="6" t="str">
        <f>HYPERLINK("https://creighton-primo.hosted.exlibrisgroup.com/primo-explore/search?tab=default_tab&amp;search_scope=EVERYTHING&amp;vid=01CRU&amp;lang=en_US&amp;offset=0&amp;query=any,contains,991002371269702656","Catalog Record")</f>
        <v>Catalog Record</v>
      </c>
      <c r="AT237" s="6" t="str">
        <f>HYPERLINK("http://www.worldcat.org/oclc/327047","WorldCat Record")</f>
        <v>WorldCat Record</v>
      </c>
      <c r="AU237" s="3" t="s">
        <v>2778</v>
      </c>
      <c r="AV237" s="3" t="s">
        <v>2779</v>
      </c>
      <c r="AW237" s="3" t="s">
        <v>2780</v>
      </c>
      <c r="AX237" s="3" t="s">
        <v>2780</v>
      </c>
      <c r="AY237" s="3" t="s">
        <v>2781</v>
      </c>
      <c r="AZ237" s="3" t="s">
        <v>74</v>
      </c>
      <c r="BC237" s="3" t="s">
        <v>2782</v>
      </c>
      <c r="BD237" s="3" t="s">
        <v>2783</v>
      </c>
    </row>
    <row r="238" spans="1:56" ht="57.75" customHeight="1" x14ac:dyDescent="0.25">
      <c r="A238" s="7" t="s">
        <v>59</v>
      </c>
      <c r="B238" s="2" t="s">
        <v>2784</v>
      </c>
      <c r="C238" s="2" t="s">
        <v>2785</v>
      </c>
      <c r="D238" s="2" t="s">
        <v>2786</v>
      </c>
      <c r="F238" s="3" t="s">
        <v>59</v>
      </c>
      <c r="G238" s="3" t="s">
        <v>60</v>
      </c>
      <c r="H238" s="3" t="s">
        <v>59</v>
      </c>
      <c r="I238" s="3" t="s">
        <v>59</v>
      </c>
      <c r="J238" s="3" t="s">
        <v>61</v>
      </c>
      <c r="L238" s="2" t="s">
        <v>2787</v>
      </c>
      <c r="M238" s="3" t="s">
        <v>511</v>
      </c>
      <c r="O238" s="3" t="s">
        <v>64</v>
      </c>
      <c r="P238" s="3" t="s">
        <v>145</v>
      </c>
      <c r="R238" s="3" t="s">
        <v>67</v>
      </c>
      <c r="S238" s="4">
        <v>14</v>
      </c>
      <c r="T238" s="4">
        <v>14</v>
      </c>
      <c r="U238" s="5" t="s">
        <v>483</v>
      </c>
      <c r="V238" s="5" t="s">
        <v>483</v>
      </c>
      <c r="W238" s="5" t="s">
        <v>2788</v>
      </c>
      <c r="X238" s="5" t="s">
        <v>2788</v>
      </c>
      <c r="Y238" s="4">
        <v>427</v>
      </c>
      <c r="Z238" s="4">
        <v>384</v>
      </c>
      <c r="AA238" s="4">
        <v>385</v>
      </c>
      <c r="AB238" s="4">
        <v>3</v>
      </c>
      <c r="AC238" s="4">
        <v>3</v>
      </c>
      <c r="AD238" s="4">
        <v>11</v>
      </c>
      <c r="AE238" s="4">
        <v>11</v>
      </c>
      <c r="AF238" s="4">
        <v>5</v>
      </c>
      <c r="AG238" s="4">
        <v>5</v>
      </c>
      <c r="AH238" s="4">
        <v>2</v>
      </c>
      <c r="AI238" s="4">
        <v>2</v>
      </c>
      <c r="AJ238" s="4">
        <v>3</v>
      </c>
      <c r="AK238" s="4">
        <v>3</v>
      </c>
      <c r="AL238" s="4">
        <v>2</v>
      </c>
      <c r="AM238" s="4">
        <v>2</v>
      </c>
      <c r="AN238" s="4">
        <v>0</v>
      </c>
      <c r="AO238" s="4">
        <v>0</v>
      </c>
      <c r="AP238" s="3" t="s">
        <v>59</v>
      </c>
      <c r="AQ238" s="3" t="s">
        <v>69</v>
      </c>
      <c r="AR238" s="6" t="str">
        <f>HYPERLINK("http://catalog.hathitrust.org/Record/003005678","HathiTrust Record")</f>
        <v>HathiTrust Record</v>
      </c>
      <c r="AS238" s="6" t="str">
        <f>HYPERLINK("https://creighton-primo.hosted.exlibrisgroup.com/primo-explore/search?tab=default_tab&amp;search_scope=EVERYTHING&amp;vid=01CRU&amp;lang=en_US&amp;offset=0&amp;query=any,contains,991002382479702656","Catalog Record")</f>
        <v>Catalog Record</v>
      </c>
      <c r="AT238" s="6" t="str">
        <f>HYPERLINK("http://www.worldcat.org/oclc/30972625","WorldCat Record")</f>
        <v>WorldCat Record</v>
      </c>
      <c r="AU238" s="3" t="s">
        <v>2789</v>
      </c>
      <c r="AV238" s="3" t="s">
        <v>2790</v>
      </c>
      <c r="AW238" s="3" t="s">
        <v>2791</v>
      </c>
      <c r="AX238" s="3" t="s">
        <v>2791</v>
      </c>
      <c r="AY238" s="3" t="s">
        <v>2792</v>
      </c>
      <c r="AZ238" s="3" t="s">
        <v>74</v>
      </c>
      <c r="BB238" s="3" t="s">
        <v>2793</v>
      </c>
      <c r="BC238" s="3" t="s">
        <v>2794</v>
      </c>
      <c r="BD238" s="3" t="s">
        <v>2795</v>
      </c>
    </row>
    <row r="239" spans="1:56" ht="57.75" customHeight="1" x14ac:dyDescent="0.25">
      <c r="A239" s="7" t="s">
        <v>59</v>
      </c>
      <c r="B239" s="2" t="s">
        <v>2796</v>
      </c>
      <c r="C239" s="2" t="s">
        <v>2797</v>
      </c>
      <c r="D239" s="2" t="s">
        <v>2798</v>
      </c>
      <c r="F239" s="3" t="s">
        <v>59</v>
      </c>
      <c r="G239" s="3" t="s">
        <v>60</v>
      </c>
      <c r="H239" s="3" t="s">
        <v>59</v>
      </c>
      <c r="I239" s="3" t="s">
        <v>59</v>
      </c>
      <c r="J239" s="3" t="s">
        <v>61</v>
      </c>
      <c r="K239" s="2" t="s">
        <v>2799</v>
      </c>
      <c r="L239" s="2" t="s">
        <v>2800</v>
      </c>
      <c r="M239" s="3" t="s">
        <v>587</v>
      </c>
      <c r="N239" s="2" t="s">
        <v>572</v>
      </c>
      <c r="O239" s="3" t="s">
        <v>64</v>
      </c>
      <c r="P239" s="3" t="s">
        <v>405</v>
      </c>
      <c r="Q239" s="2" t="s">
        <v>2801</v>
      </c>
      <c r="R239" s="3" t="s">
        <v>67</v>
      </c>
      <c r="S239" s="4">
        <v>8</v>
      </c>
      <c r="T239" s="4">
        <v>8</v>
      </c>
      <c r="U239" s="5" t="s">
        <v>2802</v>
      </c>
      <c r="V239" s="5" t="s">
        <v>2802</v>
      </c>
      <c r="W239" s="5" t="s">
        <v>575</v>
      </c>
      <c r="X239" s="5" t="s">
        <v>575</v>
      </c>
      <c r="Y239" s="4">
        <v>466</v>
      </c>
      <c r="Z239" s="4">
        <v>312</v>
      </c>
      <c r="AA239" s="4">
        <v>338</v>
      </c>
      <c r="AB239" s="4">
        <v>3</v>
      </c>
      <c r="AC239" s="4">
        <v>3</v>
      </c>
      <c r="AD239" s="4">
        <v>11</v>
      </c>
      <c r="AE239" s="4">
        <v>12</v>
      </c>
      <c r="AF239" s="4">
        <v>3</v>
      </c>
      <c r="AG239" s="4">
        <v>3</v>
      </c>
      <c r="AH239" s="4">
        <v>3</v>
      </c>
      <c r="AI239" s="4">
        <v>4</v>
      </c>
      <c r="AJ239" s="4">
        <v>6</v>
      </c>
      <c r="AK239" s="4">
        <v>6</v>
      </c>
      <c r="AL239" s="4">
        <v>2</v>
      </c>
      <c r="AM239" s="4">
        <v>2</v>
      </c>
      <c r="AN239" s="4">
        <v>0</v>
      </c>
      <c r="AO239" s="4">
        <v>0</v>
      </c>
      <c r="AP239" s="3" t="s">
        <v>59</v>
      </c>
      <c r="AQ239" s="3" t="s">
        <v>69</v>
      </c>
      <c r="AR239" s="6" t="str">
        <f>HYPERLINK("http://catalog.hathitrust.org/Record/001657144","HathiTrust Record")</f>
        <v>HathiTrust Record</v>
      </c>
      <c r="AS239" s="6" t="str">
        <f>HYPERLINK("https://creighton-primo.hosted.exlibrisgroup.com/primo-explore/search?tab=default_tab&amp;search_scope=EVERYTHING&amp;vid=01CRU&amp;lang=en_US&amp;offset=0&amp;query=any,contains,991003038639702656","Catalog Record")</f>
        <v>Catalog Record</v>
      </c>
      <c r="AT239" s="6" t="str">
        <f>HYPERLINK("http://www.worldcat.org/oclc/600388","WorldCat Record")</f>
        <v>WorldCat Record</v>
      </c>
      <c r="AU239" s="3" t="s">
        <v>2803</v>
      </c>
      <c r="AV239" s="3" t="s">
        <v>2804</v>
      </c>
      <c r="AW239" s="3" t="s">
        <v>2805</v>
      </c>
      <c r="AX239" s="3" t="s">
        <v>2805</v>
      </c>
      <c r="AY239" s="3" t="s">
        <v>2806</v>
      </c>
      <c r="AZ239" s="3" t="s">
        <v>74</v>
      </c>
      <c r="BB239" s="3" t="s">
        <v>2807</v>
      </c>
      <c r="BC239" s="3" t="s">
        <v>2808</v>
      </c>
      <c r="BD239" s="3" t="s">
        <v>2809</v>
      </c>
    </row>
    <row r="240" spans="1:56" ht="57.75" customHeight="1" x14ac:dyDescent="0.25">
      <c r="A240" s="7" t="s">
        <v>59</v>
      </c>
      <c r="B240" s="2" t="s">
        <v>2810</v>
      </c>
      <c r="C240" s="2" t="s">
        <v>2811</v>
      </c>
      <c r="D240" s="2" t="s">
        <v>2812</v>
      </c>
      <c r="F240" s="3" t="s">
        <v>59</v>
      </c>
      <c r="G240" s="3" t="s">
        <v>60</v>
      </c>
      <c r="H240" s="3" t="s">
        <v>59</v>
      </c>
      <c r="I240" s="3" t="s">
        <v>59</v>
      </c>
      <c r="J240" s="3" t="s">
        <v>61</v>
      </c>
      <c r="K240" s="2" t="s">
        <v>2813</v>
      </c>
      <c r="L240" s="2" t="s">
        <v>2814</v>
      </c>
      <c r="M240" s="3" t="s">
        <v>452</v>
      </c>
      <c r="O240" s="3" t="s">
        <v>64</v>
      </c>
      <c r="P240" s="3" t="s">
        <v>467</v>
      </c>
      <c r="R240" s="3" t="s">
        <v>67</v>
      </c>
      <c r="S240" s="4">
        <v>6</v>
      </c>
      <c r="T240" s="4">
        <v>6</v>
      </c>
      <c r="U240" s="5" t="s">
        <v>483</v>
      </c>
      <c r="V240" s="5" t="s">
        <v>483</v>
      </c>
      <c r="W240" s="5" t="s">
        <v>575</v>
      </c>
      <c r="X240" s="5" t="s">
        <v>575</v>
      </c>
      <c r="Y240" s="4">
        <v>680</v>
      </c>
      <c r="Z240" s="4">
        <v>572</v>
      </c>
      <c r="AA240" s="4">
        <v>579</v>
      </c>
      <c r="AB240" s="4">
        <v>3</v>
      </c>
      <c r="AC240" s="4">
        <v>3</v>
      </c>
      <c r="AD240" s="4">
        <v>22</v>
      </c>
      <c r="AE240" s="4">
        <v>22</v>
      </c>
      <c r="AF240" s="4">
        <v>8</v>
      </c>
      <c r="AG240" s="4">
        <v>8</v>
      </c>
      <c r="AH240" s="4">
        <v>5</v>
      </c>
      <c r="AI240" s="4">
        <v>5</v>
      </c>
      <c r="AJ240" s="4">
        <v>13</v>
      </c>
      <c r="AK240" s="4">
        <v>13</v>
      </c>
      <c r="AL240" s="4">
        <v>2</v>
      </c>
      <c r="AM240" s="4">
        <v>2</v>
      </c>
      <c r="AN240" s="4">
        <v>0</v>
      </c>
      <c r="AO240" s="4">
        <v>0</v>
      </c>
      <c r="AP240" s="3" t="s">
        <v>59</v>
      </c>
      <c r="AQ240" s="3" t="s">
        <v>69</v>
      </c>
      <c r="AR240" s="6" t="str">
        <f>HYPERLINK("http://catalog.hathitrust.org/Record/001499395","HathiTrust Record")</f>
        <v>HathiTrust Record</v>
      </c>
      <c r="AS240" s="6" t="str">
        <f>HYPERLINK("https://creighton-primo.hosted.exlibrisgroup.com/primo-explore/search?tab=default_tab&amp;search_scope=EVERYTHING&amp;vid=01CRU&amp;lang=en_US&amp;offset=0&amp;query=any,contains,991002983169702656","Catalog Record")</f>
        <v>Catalog Record</v>
      </c>
      <c r="AT240" s="6" t="str">
        <f>HYPERLINK("http://www.worldcat.org/oclc/556042","WorldCat Record")</f>
        <v>WorldCat Record</v>
      </c>
      <c r="AU240" s="3" t="s">
        <v>2815</v>
      </c>
      <c r="AV240" s="3" t="s">
        <v>2816</v>
      </c>
      <c r="AW240" s="3" t="s">
        <v>2817</v>
      </c>
      <c r="AX240" s="3" t="s">
        <v>2817</v>
      </c>
      <c r="AY240" s="3" t="s">
        <v>2818</v>
      </c>
      <c r="AZ240" s="3" t="s">
        <v>74</v>
      </c>
      <c r="BC240" s="3" t="s">
        <v>2819</v>
      </c>
      <c r="BD240" s="3" t="s">
        <v>2820</v>
      </c>
    </row>
    <row r="241" spans="1:56" ht="57.75" customHeight="1" x14ac:dyDescent="0.25">
      <c r="A241" s="7" t="s">
        <v>59</v>
      </c>
      <c r="B241" s="2" t="s">
        <v>2821</v>
      </c>
      <c r="C241" s="2" t="s">
        <v>2822</v>
      </c>
      <c r="D241" s="2" t="s">
        <v>2823</v>
      </c>
      <c r="E241" s="3" t="s">
        <v>920</v>
      </c>
      <c r="F241" s="3" t="s">
        <v>69</v>
      </c>
      <c r="G241" s="3" t="s">
        <v>60</v>
      </c>
      <c r="H241" s="3" t="s">
        <v>59</v>
      </c>
      <c r="I241" s="3" t="s">
        <v>59</v>
      </c>
      <c r="J241" s="3" t="s">
        <v>61</v>
      </c>
      <c r="K241" s="2" t="s">
        <v>2824</v>
      </c>
      <c r="L241" s="2" t="s">
        <v>2825</v>
      </c>
      <c r="M241" s="3" t="s">
        <v>2826</v>
      </c>
      <c r="O241" s="3" t="s">
        <v>64</v>
      </c>
      <c r="P241" s="3" t="s">
        <v>467</v>
      </c>
      <c r="R241" s="3" t="s">
        <v>67</v>
      </c>
      <c r="S241" s="4">
        <v>0</v>
      </c>
      <c r="T241" s="4">
        <v>1</v>
      </c>
      <c r="V241" s="5" t="s">
        <v>2827</v>
      </c>
      <c r="W241" s="5" t="s">
        <v>2828</v>
      </c>
      <c r="X241" s="5" t="s">
        <v>2828</v>
      </c>
      <c r="Y241" s="4">
        <v>374</v>
      </c>
      <c r="Z241" s="4">
        <v>312</v>
      </c>
      <c r="AA241" s="4">
        <v>312</v>
      </c>
      <c r="AB241" s="4">
        <v>4</v>
      </c>
      <c r="AC241" s="4">
        <v>4</v>
      </c>
      <c r="AD241" s="4">
        <v>14</v>
      </c>
      <c r="AE241" s="4">
        <v>14</v>
      </c>
      <c r="AF241" s="4">
        <v>6</v>
      </c>
      <c r="AG241" s="4">
        <v>6</v>
      </c>
      <c r="AH241" s="4">
        <v>3</v>
      </c>
      <c r="AI241" s="4">
        <v>3</v>
      </c>
      <c r="AJ241" s="4">
        <v>6</v>
      </c>
      <c r="AK241" s="4">
        <v>6</v>
      </c>
      <c r="AL241" s="4">
        <v>3</v>
      </c>
      <c r="AM241" s="4">
        <v>3</v>
      </c>
      <c r="AN241" s="4">
        <v>0</v>
      </c>
      <c r="AO241" s="4">
        <v>0</v>
      </c>
      <c r="AP241" s="3" t="s">
        <v>69</v>
      </c>
      <c r="AQ241" s="3" t="s">
        <v>69</v>
      </c>
      <c r="AR241" s="6" t="str">
        <f>HYPERLINK("http://catalog.hathitrust.org/Record/001499397","HathiTrust Record")</f>
        <v>HathiTrust Record</v>
      </c>
      <c r="AS241" s="6" t="str">
        <f>HYPERLINK("https://creighton-primo.hosted.exlibrisgroup.com/primo-explore/search?tab=default_tab&amp;search_scope=EVERYTHING&amp;vid=01CRU&amp;lang=en_US&amp;offset=0&amp;query=any,contains,991003236979702656","Catalog Record")</f>
        <v>Catalog Record</v>
      </c>
      <c r="AT241" s="6" t="str">
        <f>HYPERLINK("http://www.worldcat.org/oclc/761317","WorldCat Record")</f>
        <v>WorldCat Record</v>
      </c>
      <c r="AU241" s="3" t="s">
        <v>2829</v>
      </c>
      <c r="AV241" s="3" t="s">
        <v>2830</v>
      </c>
      <c r="AW241" s="3" t="s">
        <v>2831</v>
      </c>
      <c r="AX241" s="3" t="s">
        <v>2831</v>
      </c>
      <c r="AY241" s="3" t="s">
        <v>2832</v>
      </c>
      <c r="AZ241" s="3" t="s">
        <v>74</v>
      </c>
      <c r="BC241" s="3" t="s">
        <v>2833</v>
      </c>
      <c r="BD241" s="3" t="s">
        <v>2834</v>
      </c>
    </row>
    <row r="242" spans="1:56" ht="57.75" customHeight="1" x14ac:dyDescent="0.25">
      <c r="A242" s="7" t="s">
        <v>59</v>
      </c>
      <c r="B242" s="2" t="s">
        <v>2821</v>
      </c>
      <c r="C242" s="2" t="s">
        <v>2822</v>
      </c>
      <c r="D242" s="2" t="s">
        <v>2823</v>
      </c>
      <c r="E242" s="3" t="s">
        <v>2835</v>
      </c>
      <c r="F242" s="3" t="s">
        <v>69</v>
      </c>
      <c r="G242" s="3" t="s">
        <v>60</v>
      </c>
      <c r="H242" s="3" t="s">
        <v>59</v>
      </c>
      <c r="I242" s="3" t="s">
        <v>59</v>
      </c>
      <c r="J242" s="3" t="s">
        <v>61</v>
      </c>
      <c r="K242" s="2" t="s">
        <v>2824</v>
      </c>
      <c r="L242" s="2" t="s">
        <v>2825</v>
      </c>
      <c r="M242" s="3" t="s">
        <v>2826</v>
      </c>
      <c r="O242" s="3" t="s">
        <v>64</v>
      </c>
      <c r="P242" s="3" t="s">
        <v>467</v>
      </c>
      <c r="R242" s="3" t="s">
        <v>67</v>
      </c>
      <c r="S242" s="4">
        <v>0</v>
      </c>
      <c r="T242" s="4">
        <v>1</v>
      </c>
      <c r="V242" s="5" t="s">
        <v>2827</v>
      </c>
      <c r="W242" s="5" t="s">
        <v>2828</v>
      </c>
      <c r="X242" s="5" t="s">
        <v>2828</v>
      </c>
      <c r="Y242" s="4">
        <v>374</v>
      </c>
      <c r="Z242" s="4">
        <v>312</v>
      </c>
      <c r="AA242" s="4">
        <v>312</v>
      </c>
      <c r="AB242" s="4">
        <v>4</v>
      </c>
      <c r="AC242" s="4">
        <v>4</v>
      </c>
      <c r="AD242" s="4">
        <v>14</v>
      </c>
      <c r="AE242" s="4">
        <v>14</v>
      </c>
      <c r="AF242" s="4">
        <v>6</v>
      </c>
      <c r="AG242" s="4">
        <v>6</v>
      </c>
      <c r="AH242" s="4">
        <v>3</v>
      </c>
      <c r="AI242" s="4">
        <v>3</v>
      </c>
      <c r="AJ242" s="4">
        <v>6</v>
      </c>
      <c r="AK242" s="4">
        <v>6</v>
      </c>
      <c r="AL242" s="4">
        <v>3</v>
      </c>
      <c r="AM242" s="4">
        <v>3</v>
      </c>
      <c r="AN242" s="4">
        <v>0</v>
      </c>
      <c r="AO242" s="4">
        <v>0</v>
      </c>
      <c r="AP242" s="3" t="s">
        <v>69</v>
      </c>
      <c r="AQ242" s="3" t="s">
        <v>69</v>
      </c>
      <c r="AR242" s="6" t="str">
        <f>HYPERLINK("http://catalog.hathitrust.org/Record/001499397","HathiTrust Record")</f>
        <v>HathiTrust Record</v>
      </c>
      <c r="AS242" s="6" t="str">
        <f>HYPERLINK("https://creighton-primo.hosted.exlibrisgroup.com/primo-explore/search?tab=default_tab&amp;search_scope=EVERYTHING&amp;vid=01CRU&amp;lang=en_US&amp;offset=0&amp;query=any,contains,991003236979702656","Catalog Record")</f>
        <v>Catalog Record</v>
      </c>
      <c r="AT242" s="6" t="str">
        <f>HYPERLINK("http://www.worldcat.org/oclc/761317","WorldCat Record")</f>
        <v>WorldCat Record</v>
      </c>
      <c r="AU242" s="3" t="s">
        <v>2829</v>
      </c>
      <c r="AV242" s="3" t="s">
        <v>2830</v>
      </c>
      <c r="AW242" s="3" t="s">
        <v>2831</v>
      </c>
      <c r="AX242" s="3" t="s">
        <v>2831</v>
      </c>
      <c r="AY242" s="3" t="s">
        <v>2832</v>
      </c>
      <c r="AZ242" s="3" t="s">
        <v>74</v>
      </c>
      <c r="BC242" s="3" t="s">
        <v>2836</v>
      </c>
      <c r="BD242" s="3" t="s">
        <v>2837</v>
      </c>
    </row>
    <row r="243" spans="1:56" ht="57.75" customHeight="1" x14ac:dyDescent="0.25">
      <c r="A243" s="7" t="s">
        <v>59</v>
      </c>
      <c r="B243" s="2" t="s">
        <v>2821</v>
      </c>
      <c r="C243" s="2" t="s">
        <v>2822</v>
      </c>
      <c r="D243" s="2" t="s">
        <v>2823</v>
      </c>
      <c r="E243" s="3" t="s">
        <v>2838</v>
      </c>
      <c r="F243" s="3" t="s">
        <v>69</v>
      </c>
      <c r="G243" s="3" t="s">
        <v>60</v>
      </c>
      <c r="H243" s="3" t="s">
        <v>59</v>
      </c>
      <c r="I243" s="3" t="s">
        <v>59</v>
      </c>
      <c r="J243" s="3" t="s">
        <v>61</v>
      </c>
      <c r="K243" s="2" t="s">
        <v>2824</v>
      </c>
      <c r="L243" s="2" t="s">
        <v>2825</v>
      </c>
      <c r="M243" s="3" t="s">
        <v>2826</v>
      </c>
      <c r="O243" s="3" t="s">
        <v>64</v>
      </c>
      <c r="P243" s="3" t="s">
        <v>467</v>
      </c>
      <c r="R243" s="3" t="s">
        <v>67</v>
      </c>
      <c r="S243" s="4">
        <v>0</v>
      </c>
      <c r="T243" s="4">
        <v>1</v>
      </c>
      <c r="V243" s="5" t="s">
        <v>2827</v>
      </c>
      <c r="W243" s="5" t="s">
        <v>2828</v>
      </c>
      <c r="X243" s="5" t="s">
        <v>2828</v>
      </c>
      <c r="Y243" s="4">
        <v>374</v>
      </c>
      <c r="Z243" s="4">
        <v>312</v>
      </c>
      <c r="AA243" s="4">
        <v>312</v>
      </c>
      <c r="AB243" s="4">
        <v>4</v>
      </c>
      <c r="AC243" s="4">
        <v>4</v>
      </c>
      <c r="AD243" s="4">
        <v>14</v>
      </c>
      <c r="AE243" s="4">
        <v>14</v>
      </c>
      <c r="AF243" s="4">
        <v>6</v>
      </c>
      <c r="AG243" s="4">
        <v>6</v>
      </c>
      <c r="AH243" s="4">
        <v>3</v>
      </c>
      <c r="AI243" s="4">
        <v>3</v>
      </c>
      <c r="AJ243" s="4">
        <v>6</v>
      </c>
      <c r="AK243" s="4">
        <v>6</v>
      </c>
      <c r="AL243" s="4">
        <v>3</v>
      </c>
      <c r="AM243" s="4">
        <v>3</v>
      </c>
      <c r="AN243" s="4">
        <v>0</v>
      </c>
      <c r="AO243" s="4">
        <v>0</v>
      </c>
      <c r="AP243" s="3" t="s">
        <v>69</v>
      </c>
      <c r="AQ243" s="3" t="s">
        <v>69</v>
      </c>
      <c r="AR243" s="6" t="str">
        <f>HYPERLINK("http://catalog.hathitrust.org/Record/001499397","HathiTrust Record")</f>
        <v>HathiTrust Record</v>
      </c>
      <c r="AS243" s="6" t="str">
        <f>HYPERLINK("https://creighton-primo.hosted.exlibrisgroup.com/primo-explore/search?tab=default_tab&amp;search_scope=EVERYTHING&amp;vid=01CRU&amp;lang=en_US&amp;offset=0&amp;query=any,contains,991003236979702656","Catalog Record")</f>
        <v>Catalog Record</v>
      </c>
      <c r="AT243" s="6" t="str">
        <f>HYPERLINK("http://www.worldcat.org/oclc/761317","WorldCat Record")</f>
        <v>WorldCat Record</v>
      </c>
      <c r="AU243" s="3" t="s">
        <v>2829</v>
      </c>
      <c r="AV243" s="3" t="s">
        <v>2830</v>
      </c>
      <c r="AW243" s="3" t="s">
        <v>2831</v>
      </c>
      <c r="AX243" s="3" t="s">
        <v>2831</v>
      </c>
      <c r="AY243" s="3" t="s">
        <v>2832</v>
      </c>
      <c r="AZ243" s="3" t="s">
        <v>74</v>
      </c>
      <c r="BC243" s="3" t="s">
        <v>2839</v>
      </c>
      <c r="BD243" s="3" t="s">
        <v>2840</v>
      </c>
    </row>
    <row r="244" spans="1:56" ht="57.75" customHeight="1" x14ac:dyDescent="0.25">
      <c r="A244" s="7" t="s">
        <v>59</v>
      </c>
      <c r="B244" s="2" t="s">
        <v>2821</v>
      </c>
      <c r="C244" s="2" t="s">
        <v>2822</v>
      </c>
      <c r="D244" s="2" t="s">
        <v>2823</v>
      </c>
      <c r="E244" s="3" t="s">
        <v>923</v>
      </c>
      <c r="F244" s="3" t="s">
        <v>69</v>
      </c>
      <c r="G244" s="3" t="s">
        <v>60</v>
      </c>
      <c r="H244" s="3" t="s">
        <v>59</v>
      </c>
      <c r="I244" s="3" t="s">
        <v>59</v>
      </c>
      <c r="J244" s="3" t="s">
        <v>61</v>
      </c>
      <c r="K244" s="2" t="s">
        <v>2824</v>
      </c>
      <c r="L244" s="2" t="s">
        <v>2825</v>
      </c>
      <c r="M244" s="3" t="s">
        <v>2826</v>
      </c>
      <c r="O244" s="3" t="s">
        <v>64</v>
      </c>
      <c r="P244" s="3" t="s">
        <v>467</v>
      </c>
      <c r="R244" s="3" t="s">
        <v>67</v>
      </c>
      <c r="S244" s="4">
        <v>1</v>
      </c>
      <c r="T244" s="4">
        <v>1</v>
      </c>
      <c r="U244" s="5" t="s">
        <v>2827</v>
      </c>
      <c r="V244" s="5" t="s">
        <v>2827</v>
      </c>
      <c r="W244" s="5" t="s">
        <v>2828</v>
      </c>
      <c r="X244" s="5" t="s">
        <v>2828</v>
      </c>
      <c r="Y244" s="4">
        <v>374</v>
      </c>
      <c r="Z244" s="4">
        <v>312</v>
      </c>
      <c r="AA244" s="4">
        <v>312</v>
      </c>
      <c r="AB244" s="4">
        <v>4</v>
      </c>
      <c r="AC244" s="4">
        <v>4</v>
      </c>
      <c r="AD244" s="4">
        <v>14</v>
      </c>
      <c r="AE244" s="4">
        <v>14</v>
      </c>
      <c r="AF244" s="4">
        <v>6</v>
      </c>
      <c r="AG244" s="4">
        <v>6</v>
      </c>
      <c r="AH244" s="4">
        <v>3</v>
      </c>
      <c r="AI244" s="4">
        <v>3</v>
      </c>
      <c r="AJ244" s="4">
        <v>6</v>
      </c>
      <c r="AK244" s="4">
        <v>6</v>
      </c>
      <c r="AL244" s="4">
        <v>3</v>
      </c>
      <c r="AM244" s="4">
        <v>3</v>
      </c>
      <c r="AN244" s="4">
        <v>0</v>
      </c>
      <c r="AO244" s="4">
        <v>0</v>
      </c>
      <c r="AP244" s="3" t="s">
        <v>69</v>
      </c>
      <c r="AQ244" s="3" t="s">
        <v>69</v>
      </c>
      <c r="AR244" s="6" t="str">
        <f>HYPERLINK("http://catalog.hathitrust.org/Record/001499397","HathiTrust Record")</f>
        <v>HathiTrust Record</v>
      </c>
      <c r="AS244" s="6" t="str">
        <f>HYPERLINK("https://creighton-primo.hosted.exlibrisgroup.com/primo-explore/search?tab=default_tab&amp;search_scope=EVERYTHING&amp;vid=01CRU&amp;lang=en_US&amp;offset=0&amp;query=any,contains,991003236979702656","Catalog Record")</f>
        <v>Catalog Record</v>
      </c>
      <c r="AT244" s="6" t="str">
        <f>HYPERLINK("http://www.worldcat.org/oclc/761317","WorldCat Record")</f>
        <v>WorldCat Record</v>
      </c>
      <c r="AU244" s="3" t="s">
        <v>2829</v>
      </c>
      <c r="AV244" s="3" t="s">
        <v>2830</v>
      </c>
      <c r="AW244" s="3" t="s">
        <v>2831</v>
      </c>
      <c r="AX244" s="3" t="s">
        <v>2831</v>
      </c>
      <c r="AY244" s="3" t="s">
        <v>2832</v>
      </c>
      <c r="AZ244" s="3" t="s">
        <v>74</v>
      </c>
      <c r="BC244" s="3" t="s">
        <v>2841</v>
      </c>
      <c r="BD244" s="3" t="s">
        <v>2842</v>
      </c>
    </row>
    <row r="245" spans="1:56" ht="57.75" customHeight="1" x14ac:dyDescent="0.25">
      <c r="A245" s="7" t="s">
        <v>59</v>
      </c>
      <c r="B245" s="2" t="s">
        <v>2821</v>
      </c>
      <c r="C245" s="2" t="s">
        <v>2822</v>
      </c>
      <c r="D245" s="2" t="s">
        <v>2823</v>
      </c>
      <c r="E245" s="3" t="s">
        <v>990</v>
      </c>
      <c r="F245" s="3" t="s">
        <v>69</v>
      </c>
      <c r="G245" s="3" t="s">
        <v>60</v>
      </c>
      <c r="H245" s="3" t="s">
        <v>59</v>
      </c>
      <c r="I245" s="3" t="s">
        <v>59</v>
      </c>
      <c r="J245" s="3" t="s">
        <v>61</v>
      </c>
      <c r="K245" s="2" t="s">
        <v>2824</v>
      </c>
      <c r="L245" s="2" t="s">
        <v>2825</v>
      </c>
      <c r="M245" s="3" t="s">
        <v>2826</v>
      </c>
      <c r="O245" s="3" t="s">
        <v>64</v>
      </c>
      <c r="P245" s="3" t="s">
        <v>467</v>
      </c>
      <c r="R245" s="3" t="s">
        <v>67</v>
      </c>
      <c r="S245" s="4">
        <v>0</v>
      </c>
      <c r="T245" s="4">
        <v>1</v>
      </c>
      <c r="V245" s="5" t="s">
        <v>2827</v>
      </c>
      <c r="W245" s="5" t="s">
        <v>2828</v>
      </c>
      <c r="X245" s="5" t="s">
        <v>2828</v>
      </c>
      <c r="Y245" s="4">
        <v>374</v>
      </c>
      <c r="Z245" s="4">
        <v>312</v>
      </c>
      <c r="AA245" s="4">
        <v>312</v>
      </c>
      <c r="AB245" s="4">
        <v>4</v>
      </c>
      <c r="AC245" s="4">
        <v>4</v>
      </c>
      <c r="AD245" s="4">
        <v>14</v>
      </c>
      <c r="AE245" s="4">
        <v>14</v>
      </c>
      <c r="AF245" s="4">
        <v>6</v>
      </c>
      <c r="AG245" s="4">
        <v>6</v>
      </c>
      <c r="AH245" s="4">
        <v>3</v>
      </c>
      <c r="AI245" s="4">
        <v>3</v>
      </c>
      <c r="AJ245" s="4">
        <v>6</v>
      </c>
      <c r="AK245" s="4">
        <v>6</v>
      </c>
      <c r="AL245" s="4">
        <v>3</v>
      </c>
      <c r="AM245" s="4">
        <v>3</v>
      </c>
      <c r="AN245" s="4">
        <v>0</v>
      </c>
      <c r="AO245" s="4">
        <v>0</v>
      </c>
      <c r="AP245" s="3" t="s">
        <v>69</v>
      </c>
      <c r="AQ245" s="3" t="s">
        <v>69</v>
      </c>
      <c r="AR245" s="6" t="str">
        <f>HYPERLINK("http://catalog.hathitrust.org/Record/001499397","HathiTrust Record")</f>
        <v>HathiTrust Record</v>
      </c>
      <c r="AS245" s="6" t="str">
        <f>HYPERLINK("https://creighton-primo.hosted.exlibrisgroup.com/primo-explore/search?tab=default_tab&amp;search_scope=EVERYTHING&amp;vid=01CRU&amp;lang=en_US&amp;offset=0&amp;query=any,contains,991003236979702656","Catalog Record")</f>
        <v>Catalog Record</v>
      </c>
      <c r="AT245" s="6" t="str">
        <f>HYPERLINK("http://www.worldcat.org/oclc/761317","WorldCat Record")</f>
        <v>WorldCat Record</v>
      </c>
      <c r="AU245" s="3" t="s">
        <v>2829</v>
      </c>
      <c r="AV245" s="3" t="s">
        <v>2830</v>
      </c>
      <c r="AW245" s="3" t="s">
        <v>2831</v>
      </c>
      <c r="AX245" s="3" t="s">
        <v>2831</v>
      </c>
      <c r="AY245" s="3" t="s">
        <v>2832</v>
      </c>
      <c r="AZ245" s="3" t="s">
        <v>74</v>
      </c>
      <c r="BC245" s="3" t="s">
        <v>2843</v>
      </c>
      <c r="BD245" s="3" t="s">
        <v>2844</v>
      </c>
    </row>
    <row r="246" spans="1:56" ht="57.75" customHeight="1" x14ac:dyDescent="0.25">
      <c r="A246" s="7" t="s">
        <v>59</v>
      </c>
      <c r="B246" s="2" t="s">
        <v>2845</v>
      </c>
      <c r="C246" s="2" t="s">
        <v>2846</v>
      </c>
      <c r="D246" s="2" t="s">
        <v>2847</v>
      </c>
      <c r="F246" s="3" t="s">
        <v>59</v>
      </c>
      <c r="G246" s="3" t="s">
        <v>60</v>
      </c>
      <c r="H246" s="3" t="s">
        <v>59</v>
      </c>
      <c r="I246" s="3" t="s">
        <v>59</v>
      </c>
      <c r="J246" s="3" t="s">
        <v>61</v>
      </c>
      <c r="K246" s="2" t="s">
        <v>2848</v>
      </c>
      <c r="L246" s="2" t="s">
        <v>2849</v>
      </c>
      <c r="M246" s="3" t="s">
        <v>864</v>
      </c>
      <c r="O246" s="3" t="s">
        <v>64</v>
      </c>
      <c r="P246" s="3" t="s">
        <v>405</v>
      </c>
      <c r="Q246" s="2" t="s">
        <v>2850</v>
      </c>
      <c r="R246" s="3" t="s">
        <v>67</v>
      </c>
      <c r="S246" s="4">
        <v>1</v>
      </c>
      <c r="T246" s="4">
        <v>1</v>
      </c>
      <c r="U246" s="5" t="s">
        <v>2851</v>
      </c>
      <c r="V246" s="5" t="s">
        <v>2851</v>
      </c>
      <c r="W246" s="5" t="s">
        <v>575</v>
      </c>
      <c r="X246" s="5" t="s">
        <v>575</v>
      </c>
      <c r="Y246" s="4">
        <v>318</v>
      </c>
      <c r="Z246" s="4">
        <v>226</v>
      </c>
      <c r="AA246" s="4">
        <v>234</v>
      </c>
      <c r="AB246" s="4">
        <v>3</v>
      </c>
      <c r="AC246" s="4">
        <v>3</v>
      </c>
      <c r="AD246" s="4">
        <v>7</v>
      </c>
      <c r="AE246" s="4">
        <v>7</v>
      </c>
      <c r="AF246" s="4">
        <v>2</v>
      </c>
      <c r="AG246" s="4">
        <v>2</v>
      </c>
      <c r="AH246" s="4">
        <v>2</v>
      </c>
      <c r="AI246" s="4">
        <v>2</v>
      </c>
      <c r="AJ246" s="4">
        <v>3</v>
      </c>
      <c r="AK246" s="4">
        <v>3</v>
      </c>
      <c r="AL246" s="4">
        <v>2</v>
      </c>
      <c r="AM246" s="4">
        <v>2</v>
      </c>
      <c r="AN246" s="4">
        <v>0</v>
      </c>
      <c r="AO246" s="4">
        <v>0</v>
      </c>
      <c r="AP246" s="3" t="s">
        <v>59</v>
      </c>
      <c r="AQ246" s="3" t="s">
        <v>59</v>
      </c>
      <c r="AS246" s="6" t="str">
        <f>HYPERLINK("https://creighton-primo.hosted.exlibrisgroup.com/primo-explore/search?tab=default_tab&amp;search_scope=EVERYTHING&amp;vid=01CRU&amp;lang=en_US&amp;offset=0&amp;query=any,contains,991000634189702656","Catalog Record")</f>
        <v>Catalog Record</v>
      </c>
      <c r="AT246" s="6" t="str">
        <f>HYPERLINK("http://www.worldcat.org/oclc/107097","WorldCat Record")</f>
        <v>WorldCat Record</v>
      </c>
      <c r="AU246" s="3" t="s">
        <v>2852</v>
      </c>
      <c r="AV246" s="3" t="s">
        <v>2853</v>
      </c>
      <c r="AW246" s="3" t="s">
        <v>2854</v>
      </c>
      <c r="AX246" s="3" t="s">
        <v>2854</v>
      </c>
      <c r="AY246" s="3" t="s">
        <v>2855</v>
      </c>
      <c r="AZ246" s="3" t="s">
        <v>74</v>
      </c>
      <c r="BB246" s="3" t="s">
        <v>2856</v>
      </c>
      <c r="BC246" s="3" t="s">
        <v>2857</v>
      </c>
      <c r="BD246" s="3" t="s">
        <v>2858</v>
      </c>
    </row>
    <row r="247" spans="1:56" ht="57.75" customHeight="1" x14ac:dyDescent="0.25">
      <c r="A247" s="7" t="s">
        <v>59</v>
      </c>
      <c r="B247" s="2" t="s">
        <v>2859</v>
      </c>
      <c r="C247" s="2" t="s">
        <v>2860</v>
      </c>
      <c r="D247" s="2" t="s">
        <v>2861</v>
      </c>
      <c r="F247" s="3" t="s">
        <v>59</v>
      </c>
      <c r="G247" s="3" t="s">
        <v>60</v>
      </c>
      <c r="H247" s="3" t="s">
        <v>59</v>
      </c>
      <c r="I247" s="3" t="s">
        <v>59</v>
      </c>
      <c r="J247" s="3" t="s">
        <v>61</v>
      </c>
      <c r="K247" s="2" t="s">
        <v>2176</v>
      </c>
      <c r="L247" s="2" t="s">
        <v>2862</v>
      </c>
      <c r="M247" s="3" t="s">
        <v>481</v>
      </c>
      <c r="N247" s="2" t="s">
        <v>877</v>
      </c>
      <c r="O247" s="3" t="s">
        <v>64</v>
      </c>
      <c r="P247" s="3" t="s">
        <v>405</v>
      </c>
      <c r="Q247" s="2" t="s">
        <v>2863</v>
      </c>
      <c r="R247" s="3" t="s">
        <v>67</v>
      </c>
      <c r="S247" s="4">
        <v>4</v>
      </c>
      <c r="T247" s="4">
        <v>4</v>
      </c>
      <c r="U247" s="5" t="s">
        <v>2864</v>
      </c>
      <c r="V247" s="5" t="s">
        <v>2864</v>
      </c>
      <c r="W247" s="5" t="s">
        <v>575</v>
      </c>
      <c r="X247" s="5" t="s">
        <v>575</v>
      </c>
      <c r="Y247" s="4">
        <v>227</v>
      </c>
      <c r="Z247" s="4">
        <v>123</v>
      </c>
      <c r="AA247" s="4">
        <v>357</v>
      </c>
      <c r="AB247" s="4">
        <v>2</v>
      </c>
      <c r="AC247" s="4">
        <v>2</v>
      </c>
      <c r="AD247" s="4">
        <v>3</v>
      </c>
      <c r="AE247" s="4">
        <v>12</v>
      </c>
      <c r="AF247" s="4">
        <v>0</v>
      </c>
      <c r="AG247" s="4">
        <v>3</v>
      </c>
      <c r="AH247" s="4">
        <v>0</v>
      </c>
      <c r="AI247" s="4">
        <v>2</v>
      </c>
      <c r="AJ247" s="4">
        <v>2</v>
      </c>
      <c r="AK247" s="4">
        <v>9</v>
      </c>
      <c r="AL247" s="4">
        <v>1</v>
      </c>
      <c r="AM247" s="4">
        <v>1</v>
      </c>
      <c r="AN247" s="4">
        <v>0</v>
      </c>
      <c r="AO247" s="4">
        <v>0</v>
      </c>
      <c r="AP247" s="3" t="s">
        <v>59</v>
      </c>
      <c r="AQ247" s="3" t="s">
        <v>59</v>
      </c>
      <c r="AS247" s="6" t="str">
        <f>HYPERLINK("https://creighton-primo.hosted.exlibrisgroup.com/primo-explore/search?tab=default_tab&amp;search_scope=EVERYTHING&amp;vid=01CRU&amp;lang=en_US&amp;offset=0&amp;query=any,contains,991003416029702656","Catalog Record")</f>
        <v>Catalog Record</v>
      </c>
      <c r="AT247" s="6" t="str">
        <f>HYPERLINK("http://www.worldcat.org/oclc/956573","WorldCat Record")</f>
        <v>WorldCat Record</v>
      </c>
      <c r="AU247" s="3" t="s">
        <v>2865</v>
      </c>
      <c r="AV247" s="3" t="s">
        <v>2866</v>
      </c>
      <c r="AW247" s="3" t="s">
        <v>2867</v>
      </c>
      <c r="AX247" s="3" t="s">
        <v>2867</v>
      </c>
      <c r="AY247" s="3" t="s">
        <v>2868</v>
      </c>
      <c r="AZ247" s="3" t="s">
        <v>74</v>
      </c>
      <c r="BC247" s="3" t="s">
        <v>2869</v>
      </c>
      <c r="BD247" s="3" t="s">
        <v>2870</v>
      </c>
    </row>
    <row r="248" spans="1:56" ht="57.75" customHeight="1" x14ac:dyDescent="0.25">
      <c r="A248" s="7" t="s">
        <v>59</v>
      </c>
      <c r="B248" s="2" t="s">
        <v>2871</v>
      </c>
      <c r="C248" s="2" t="s">
        <v>2872</v>
      </c>
      <c r="D248" s="2" t="s">
        <v>2873</v>
      </c>
      <c r="F248" s="3" t="s">
        <v>59</v>
      </c>
      <c r="G248" s="3" t="s">
        <v>60</v>
      </c>
      <c r="H248" s="3" t="s">
        <v>59</v>
      </c>
      <c r="I248" s="3" t="s">
        <v>59</v>
      </c>
      <c r="J248" s="3" t="s">
        <v>61</v>
      </c>
      <c r="L248" s="2" t="s">
        <v>2874</v>
      </c>
      <c r="M248" s="3" t="s">
        <v>255</v>
      </c>
      <c r="O248" s="3" t="s">
        <v>64</v>
      </c>
      <c r="P248" s="3" t="s">
        <v>2362</v>
      </c>
      <c r="R248" s="3" t="s">
        <v>67</v>
      </c>
      <c r="S248" s="4">
        <v>5</v>
      </c>
      <c r="T248" s="4">
        <v>5</v>
      </c>
      <c r="U248" s="5" t="s">
        <v>1853</v>
      </c>
      <c r="V248" s="5" t="s">
        <v>1853</v>
      </c>
      <c r="W248" s="5" t="s">
        <v>2875</v>
      </c>
      <c r="X248" s="5" t="s">
        <v>2875</v>
      </c>
      <c r="Y248" s="4">
        <v>429</v>
      </c>
      <c r="Z248" s="4">
        <v>317</v>
      </c>
      <c r="AA248" s="4">
        <v>452</v>
      </c>
      <c r="AB248" s="4">
        <v>2</v>
      </c>
      <c r="AC248" s="4">
        <v>3</v>
      </c>
      <c r="AD248" s="4">
        <v>7</v>
      </c>
      <c r="AE248" s="4">
        <v>12</v>
      </c>
      <c r="AF248" s="4">
        <v>3</v>
      </c>
      <c r="AG248" s="4">
        <v>5</v>
      </c>
      <c r="AH248" s="4">
        <v>1</v>
      </c>
      <c r="AI248" s="4">
        <v>1</v>
      </c>
      <c r="AJ248" s="4">
        <v>5</v>
      </c>
      <c r="AK248" s="4">
        <v>7</v>
      </c>
      <c r="AL248" s="4">
        <v>1</v>
      </c>
      <c r="AM248" s="4">
        <v>2</v>
      </c>
      <c r="AN248" s="4">
        <v>0</v>
      </c>
      <c r="AO248" s="4">
        <v>0</v>
      </c>
      <c r="AP248" s="3" t="s">
        <v>59</v>
      </c>
      <c r="AQ248" s="3" t="s">
        <v>59</v>
      </c>
      <c r="AS248" s="6" t="str">
        <f>HYPERLINK("https://creighton-primo.hosted.exlibrisgroup.com/primo-explore/search?tab=default_tab&amp;search_scope=EVERYTHING&amp;vid=01CRU&amp;lang=en_US&amp;offset=0&amp;query=any,contains,991002900439702656","Catalog Record")</f>
        <v>Catalog Record</v>
      </c>
      <c r="AT248" s="6" t="str">
        <f>HYPERLINK("http://www.worldcat.org/oclc/38243637","WorldCat Record")</f>
        <v>WorldCat Record</v>
      </c>
      <c r="AU248" s="3" t="s">
        <v>2876</v>
      </c>
      <c r="AV248" s="3" t="s">
        <v>2877</v>
      </c>
      <c r="AW248" s="3" t="s">
        <v>2878</v>
      </c>
      <c r="AX248" s="3" t="s">
        <v>2878</v>
      </c>
      <c r="AY248" s="3" t="s">
        <v>2879</v>
      </c>
      <c r="AZ248" s="3" t="s">
        <v>74</v>
      </c>
      <c r="BB248" s="3" t="s">
        <v>2880</v>
      </c>
      <c r="BC248" s="3" t="s">
        <v>2881</v>
      </c>
      <c r="BD248" s="3" t="s">
        <v>2882</v>
      </c>
    </row>
    <row r="249" spans="1:56" ht="57.75" customHeight="1" x14ac:dyDescent="0.25">
      <c r="A249" s="7" t="s">
        <v>59</v>
      </c>
      <c r="B249" s="2" t="s">
        <v>2883</v>
      </c>
      <c r="C249" s="2" t="s">
        <v>2884</v>
      </c>
      <c r="D249" s="2" t="s">
        <v>2885</v>
      </c>
      <c r="F249" s="3" t="s">
        <v>59</v>
      </c>
      <c r="G249" s="3" t="s">
        <v>60</v>
      </c>
      <c r="H249" s="3" t="s">
        <v>59</v>
      </c>
      <c r="I249" s="3" t="s">
        <v>69</v>
      </c>
      <c r="J249" s="3" t="s">
        <v>61</v>
      </c>
      <c r="K249" s="2" t="s">
        <v>2886</v>
      </c>
      <c r="L249" s="2" t="s">
        <v>2887</v>
      </c>
      <c r="M249" s="3" t="s">
        <v>1701</v>
      </c>
      <c r="N249" s="2" t="s">
        <v>2005</v>
      </c>
      <c r="O249" s="3" t="s">
        <v>64</v>
      </c>
      <c r="P249" s="3" t="s">
        <v>405</v>
      </c>
      <c r="R249" s="3" t="s">
        <v>67</v>
      </c>
      <c r="S249" s="4">
        <v>5</v>
      </c>
      <c r="T249" s="4">
        <v>5</v>
      </c>
      <c r="U249" s="5" t="s">
        <v>1853</v>
      </c>
      <c r="V249" s="5" t="s">
        <v>1853</v>
      </c>
      <c r="W249" s="5" t="s">
        <v>575</v>
      </c>
      <c r="X249" s="5" t="s">
        <v>575</v>
      </c>
      <c r="Y249" s="4">
        <v>436</v>
      </c>
      <c r="Z249" s="4">
        <v>307</v>
      </c>
      <c r="AA249" s="4">
        <v>711</v>
      </c>
      <c r="AB249" s="4">
        <v>1</v>
      </c>
      <c r="AC249" s="4">
        <v>2</v>
      </c>
      <c r="AD249" s="4">
        <v>8</v>
      </c>
      <c r="AE249" s="4">
        <v>23</v>
      </c>
      <c r="AF249" s="4">
        <v>4</v>
      </c>
      <c r="AG249" s="4">
        <v>11</v>
      </c>
      <c r="AH249" s="4">
        <v>1</v>
      </c>
      <c r="AI249" s="4">
        <v>4</v>
      </c>
      <c r="AJ249" s="4">
        <v>6</v>
      </c>
      <c r="AK249" s="4">
        <v>15</v>
      </c>
      <c r="AL249" s="4">
        <v>0</v>
      </c>
      <c r="AM249" s="4">
        <v>1</v>
      </c>
      <c r="AN249" s="4">
        <v>0</v>
      </c>
      <c r="AO249" s="4">
        <v>0</v>
      </c>
      <c r="AP249" s="3" t="s">
        <v>59</v>
      </c>
      <c r="AQ249" s="3" t="s">
        <v>59</v>
      </c>
      <c r="AS249" s="6" t="str">
        <f>HYPERLINK("https://creighton-primo.hosted.exlibrisgroup.com/primo-explore/search?tab=default_tab&amp;search_scope=EVERYTHING&amp;vid=01CRU&amp;lang=en_US&amp;offset=0&amp;query=any,contains,991004277389702656","Catalog Record")</f>
        <v>Catalog Record</v>
      </c>
      <c r="AT249" s="6" t="str">
        <f>HYPERLINK("http://www.worldcat.org/oclc/2896206","WorldCat Record")</f>
        <v>WorldCat Record</v>
      </c>
      <c r="AU249" s="3" t="s">
        <v>2888</v>
      </c>
      <c r="AV249" s="3" t="s">
        <v>2889</v>
      </c>
      <c r="AW249" s="3" t="s">
        <v>2890</v>
      </c>
      <c r="AX249" s="3" t="s">
        <v>2890</v>
      </c>
      <c r="AY249" s="3" t="s">
        <v>2891</v>
      </c>
      <c r="AZ249" s="3" t="s">
        <v>74</v>
      </c>
      <c r="BB249" s="3" t="s">
        <v>2892</v>
      </c>
      <c r="BC249" s="3" t="s">
        <v>2893</v>
      </c>
      <c r="BD249" s="3" t="s">
        <v>2894</v>
      </c>
    </row>
    <row r="250" spans="1:56" ht="57.75" customHeight="1" x14ac:dyDescent="0.25">
      <c r="A250" s="7" t="s">
        <v>59</v>
      </c>
      <c r="B250" s="2" t="s">
        <v>2895</v>
      </c>
      <c r="C250" s="2" t="s">
        <v>2896</v>
      </c>
      <c r="D250" s="2" t="s">
        <v>2897</v>
      </c>
      <c r="F250" s="3" t="s">
        <v>59</v>
      </c>
      <c r="G250" s="3" t="s">
        <v>60</v>
      </c>
      <c r="H250" s="3" t="s">
        <v>59</v>
      </c>
      <c r="I250" s="3" t="s">
        <v>59</v>
      </c>
      <c r="J250" s="3" t="s">
        <v>61</v>
      </c>
      <c r="L250" s="2" t="s">
        <v>2898</v>
      </c>
      <c r="M250" s="3" t="s">
        <v>820</v>
      </c>
      <c r="O250" s="3" t="s">
        <v>64</v>
      </c>
      <c r="P250" s="3" t="s">
        <v>2480</v>
      </c>
      <c r="R250" s="3" t="s">
        <v>67</v>
      </c>
      <c r="S250" s="4">
        <v>5</v>
      </c>
      <c r="T250" s="4">
        <v>5</v>
      </c>
      <c r="U250" s="5" t="s">
        <v>1104</v>
      </c>
      <c r="V250" s="5" t="s">
        <v>1104</v>
      </c>
      <c r="W250" s="5" t="s">
        <v>1199</v>
      </c>
      <c r="X250" s="5" t="s">
        <v>1199</v>
      </c>
      <c r="Y250" s="4">
        <v>181</v>
      </c>
      <c r="Z250" s="4">
        <v>170</v>
      </c>
      <c r="AA250" s="4">
        <v>172</v>
      </c>
      <c r="AB250" s="4">
        <v>4</v>
      </c>
      <c r="AC250" s="4">
        <v>4</v>
      </c>
      <c r="AD250" s="4">
        <v>7</v>
      </c>
      <c r="AE250" s="4">
        <v>7</v>
      </c>
      <c r="AF250" s="4">
        <v>3</v>
      </c>
      <c r="AG250" s="4">
        <v>3</v>
      </c>
      <c r="AH250" s="4">
        <v>2</v>
      </c>
      <c r="AI250" s="4">
        <v>2</v>
      </c>
      <c r="AJ250" s="4">
        <v>1</v>
      </c>
      <c r="AK250" s="4">
        <v>1</v>
      </c>
      <c r="AL250" s="4">
        <v>3</v>
      </c>
      <c r="AM250" s="4">
        <v>3</v>
      </c>
      <c r="AN250" s="4">
        <v>0</v>
      </c>
      <c r="AO250" s="4">
        <v>0</v>
      </c>
      <c r="AP250" s="3" t="s">
        <v>59</v>
      </c>
      <c r="AQ250" s="3" t="s">
        <v>69</v>
      </c>
      <c r="AR250" s="6" t="str">
        <f>HYPERLINK("http://catalog.hathitrust.org/Record/008852392","HathiTrust Record")</f>
        <v>HathiTrust Record</v>
      </c>
      <c r="AS250" s="6" t="str">
        <f>HYPERLINK("https://creighton-primo.hosted.exlibrisgroup.com/primo-explore/search?tab=default_tab&amp;search_scope=EVERYTHING&amp;vid=01CRU&amp;lang=en_US&amp;offset=0&amp;query=any,contains,991000745199702656","Catalog Record")</f>
        <v>Catalog Record</v>
      </c>
      <c r="AT250" s="6" t="str">
        <f>HYPERLINK("http://www.worldcat.org/oclc/12837858","WorldCat Record")</f>
        <v>WorldCat Record</v>
      </c>
      <c r="AU250" s="3" t="s">
        <v>2899</v>
      </c>
      <c r="AV250" s="3" t="s">
        <v>2900</v>
      </c>
      <c r="AW250" s="3" t="s">
        <v>2901</v>
      </c>
      <c r="AX250" s="3" t="s">
        <v>2901</v>
      </c>
      <c r="AY250" s="3" t="s">
        <v>2902</v>
      </c>
      <c r="AZ250" s="3" t="s">
        <v>74</v>
      </c>
      <c r="BB250" s="3" t="s">
        <v>2903</v>
      </c>
      <c r="BC250" s="3" t="s">
        <v>2904</v>
      </c>
      <c r="BD250" s="3" t="s">
        <v>2905</v>
      </c>
    </row>
    <row r="251" spans="1:56" ht="57.75" customHeight="1" x14ac:dyDescent="0.25">
      <c r="A251" s="7" t="s">
        <v>59</v>
      </c>
      <c r="B251" s="2" t="s">
        <v>2906</v>
      </c>
      <c r="C251" s="2" t="s">
        <v>2907</v>
      </c>
      <c r="D251" s="2" t="s">
        <v>2908</v>
      </c>
      <c r="F251" s="3" t="s">
        <v>59</v>
      </c>
      <c r="G251" s="3" t="s">
        <v>60</v>
      </c>
      <c r="H251" s="3" t="s">
        <v>59</v>
      </c>
      <c r="I251" s="3" t="s">
        <v>59</v>
      </c>
      <c r="J251" s="3" t="s">
        <v>61</v>
      </c>
      <c r="K251" s="2" t="s">
        <v>2909</v>
      </c>
      <c r="L251" s="2" t="s">
        <v>2910</v>
      </c>
      <c r="M251" s="3" t="s">
        <v>617</v>
      </c>
      <c r="O251" s="3" t="s">
        <v>64</v>
      </c>
      <c r="P251" s="3" t="s">
        <v>467</v>
      </c>
      <c r="R251" s="3" t="s">
        <v>67</v>
      </c>
      <c r="S251" s="4">
        <v>2</v>
      </c>
      <c r="T251" s="4">
        <v>2</v>
      </c>
      <c r="U251" s="5" t="s">
        <v>2911</v>
      </c>
      <c r="V251" s="5" t="s">
        <v>2911</v>
      </c>
      <c r="W251" s="5" t="s">
        <v>1199</v>
      </c>
      <c r="X251" s="5" t="s">
        <v>1199</v>
      </c>
      <c r="Y251" s="4">
        <v>285</v>
      </c>
      <c r="Z251" s="4">
        <v>208</v>
      </c>
      <c r="AA251" s="4">
        <v>227</v>
      </c>
      <c r="AB251" s="4">
        <v>3</v>
      </c>
      <c r="AC251" s="4">
        <v>3</v>
      </c>
      <c r="AD251" s="4">
        <v>3</v>
      </c>
      <c r="AE251" s="4">
        <v>4</v>
      </c>
      <c r="AF251" s="4">
        <v>0</v>
      </c>
      <c r="AG251" s="4">
        <v>1</v>
      </c>
      <c r="AH251" s="4">
        <v>0</v>
      </c>
      <c r="AI251" s="4">
        <v>0</v>
      </c>
      <c r="AJ251" s="4">
        <v>1</v>
      </c>
      <c r="AK251" s="4">
        <v>2</v>
      </c>
      <c r="AL251" s="4">
        <v>2</v>
      </c>
      <c r="AM251" s="4">
        <v>2</v>
      </c>
      <c r="AN251" s="4">
        <v>0</v>
      </c>
      <c r="AO251" s="4">
        <v>0</v>
      </c>
      <c r="AP251" s="3" t="s">
        <v>59</v>
      </c>
      <c r="AQ251" s="3" t="s">
        <v>69</v>
      </c>
      <c r="AR251" s="6" t="str">
        <f>HYPERLINK("http://catalog.hathitrust.org/Record/000695829","HathiTrust Record")</f>
        <v>HathiTrust Record</v>
      </c>
      <c r="AS251" s="6" t="str">
        <f>HYPERLINK("https://creighton-primo.hosted.exlibrisgroup.com/primo-explore/search?tab=default_tab&amp;search_scope=EVERYTHING&amp;vid=01CRU&amp;lang=en_US&amp;offset=0&amp;query=any,contains,991004885089702656","Catalog Record")</f>
        <v>Catalog Record</v>
      </c>
      <c r="AT251" s="6" t="str">
        <f>HYPERLINK("http://www.worldcat.org/oclc/5831392","WorldCat Record")</f>
        <v>WorldCat Record</v>
      </c>
      <c r="AU251" s="3" t="s">
        <v>2912</v>
      </c>
      <c r="AV251" s="3" t="s">
        <v>2913</v>
      </c>
      <c r="AW251" s="3" t="s">
        <v>2914</v>
      </c>
      <c r="AX251" s="3" t="s">
        <v>2914</v>
      </c>
      <c r="AY251" s="3" t="s">
        <v>2915</v>
      </c>
      <c r="AZ251" s="3" t="s">
        <v>74</v>
      </c>
      <c r="BB251" s="3" t="s">
        <v>2916</v>
      </c>
      <c r="BC251" s="3" t="s">
        <v>2917</v>
      </c>
      <c r="BD251" s="3" t="s">
        <v>2918</v>
      </c>
    </row>
    <row r="252" spans="1:56" ht="57.75" customHeight="1" x14ac:dyDescent="0.25">
      <c r="A252" s="7" t="s">
        <v>59</v>
      </c>
      <c r="B252" s="2" t="s">
        <v>2919</v>
      </c>
      <c r="C252" s="2" t="s">
        <v>2920</v>
      </c>
      <c r="D252" s="2" t="s">
        <v>2921</v>
      </c>
      <c r="F252" s="3" t="s">
        <v>59</v>
      </c>
      <c r="G252" s="3" t="s">
        <v>60</v>
      </c>
      <c r="H252" s="3" t="s">
        <v>59</v>
      </c>
      <c r="I252" s="3" t="s">
        <v>59</v>
      </c>
      <c r="J252" s="3" t="s">
        <v>61</v>
      </c>
      <c r="K252" s="2" t="s">
        <v>2922</v>
      </c>
      <c r="L252" s="2" t="s">
        <v>2923</v>
      </c>
      <c r="M252" s="3" t="s">
        <v>587</v>
      </c>
      <c r="O252" s="3" t="s">
        <v>64</v>
      </c>
      <c r="P252" s="3" t="s">
        <v>541</v>
      </c>
      <c r="Q252" s="2" t="s">
        <v>2924</v>
      </c>
      <c r="R252" s="3" t="s">
        <v>67</v>
      </c>
      <c r="S252" s="4">
        <v>3</v>
      </c>
      <c r="T252" s="4">
        <v>3</v>
      </c>
      <c r="U252" s="5" t="s">
        <v>2925</v>
      </c>
      <c r="V252" s="5" t="s">
        <v>2925</v>
      </c>
      <c r="W252" s="5" t="s">
        <v>2828</v>
      </c>
      <c r="X252" s="5" t="s">
        <v>2828</v>
      </c>
      <c r="Y252" s="4">
        <v>55</v>
      </c>
      <c r="Z252" s="4">
        <v>50</v>
      </c>
      <c r="AA252" s="4">
        <v>161</v>
      </c>
      <c r="AB252" s="4">
        <v>1</v>
      </c>
      <c r="AC252" s="4">
        <v>2</v>
      </c>
      <c r="AD252" s="4">
        <v>0</v>
      </c>
      <c r="AE252" s="4">
        <v>3</v>
      </c>
      <c r="AF252" s="4">
        <v>0</v>
      </c>
      <c r="AG252" s="4">
        <v>0</v>
      </c>
      <c r="AH252" s="4">
        <v>0</v>
      </c>
      <c r="AI252" s="4">
        <v>1</v>
      </c>
      <c r="AJ252" s="4">
        <v>0</v>
      </c>
      <c r="AK252" s="4">
        <v>1</v>
      </c>
      <c r="AL252" s="4">
        <v>0</v>
      </c>
      <c r="AM252" s="4">
        <v>1</v>
      </c>
      <c r="AN252" s="4">
        <v>0</v>
      </c>
      <c r="AO252" s="4">
        <v>0</v>
      </c>
      <c r="AP252" s="3" t="s">
        <v>59</v>
      </c>
      <c r="AQ252" s="3" t="s">
        <v>59</v>
      </c>
      <c r="AS252" s="6" t="str">
        <f>HYPERLINK("https://creighton-primo.hosted.exlibrisgroup.com/primo-explore/search?tab=default_tab&amp;search_scope=EVERYTHING&amp;vid=01CRU&amp;lang=en_US&amp;offset=0&amp;query=any,contains,991005024239702656","Catalog Record")</f>
        <v>Catalog Record</v>
      </c>
      <c r="AT252" s="6" t="str">
        <f>HYPERLINK("http://www.worldcat.org/oclc/6677643","WorldCat Record")</f>
        <v>WorldCat Record</v>
      </c>
      <c r="AU252" s="3" t="s">
        <v>2926</v>
      </c>
      <c r="AV252" s="3" t="s">
        <v>2927</v>
      </c>
      <c r="AW252" s="3" t="s">
        <v>2928</v>
      </c>
      <c r="AX252" s="3" t="s">
        <v>2928</v>
      </c>
      <c r="AY252" s="3" t="s">
        <v>2929</v>
      </c>
      <c r="AZ252" s="3" t="s">
        <v>74</v>
      </c>
      <c r="BC252" s="3" t="s">
        <v>2930</v>
      </c>
      <c r="BD252" s="3" t="s">
        <v>2931</v>
      </c>
    </row>
    <row r="253" spans="1:56" ht="57.75" customHeight="1" x14ac:dyDescent="0.25">
      <c r="A253" s="7" t="s">
        <v>59</v>
      </c>
      <c r="B253" s="2" t="s">
        <v>2932</v>
      </c>
      <c r="C253" s="2" t="s">
        <v>2933</v>
      </c>
      <c r="D253" s="2" t="s">
        <v>2934</v>
      </c>
      <c r="F253" s="3" t="s">
        <v>59</v>
      </c>
      <c r="G253" s="3" t="s">
        <v>60</v>
      </c>
      <c r="H253" s="3" t="s">
        <v>59</v>
      </c>
      <c r="I253" s="3" t="s">
        <v>59</v>
      </c>
      <c r="J253" s="3" t="s">
        <v>61</v>
      </c>
      <c r="K253" s="2" t="s">
        <v>2935</v>
      </c>
      <c r="L253" s="2" t="s">
        <v>2936</v>
      </c>
      <c r="M253" s="3" t="s">
        <v>864</v>
      </c>
      <c r="O253" s="3" t="s">
        <v>64</v>
      </c>
      <c r="P253" s="3" t="s">
        <v>2480</v>
      </c>
      <c r="Q253" s="2" t="s">
        <v>2937</v>
      </c>
      <c r="R253" s="3" t="s">
        <v>67</v>
      </c>
      <c r="S253" s="4">
        <v>1</v>
      </c>
      <c r="T253" s="4">
        <v>1</v>
      </c>
      <c r="U253" s="5" t="s">
        <v>2938</v>
      </c>
      <c r="V253" s="5" t="s">
        <v>2938</v>
      </c>
      <c r="W253" s="5" t="s">
        <v>2828</v>
      </c>
      <c r="X253" s="5" t="s">
        <v>2828</v>
      </c>
      <c r="Y253" s="4">
        <v>380</v>
      </c>
      <c r="Z253" s="4">
        <v>326</v>
      </c>
      <c r="AA253" s="4">
        <v>328</v>
      </c>
      <c r="AB253" s="4">
        <v>4</v>
      </c>
      <c r="AC253" s="4">
        <v>4</v>
      </c>
      <c r="AD253" s="4">
        <v>6</v>
      </c>
      <c r="AE253" s="4">
        <v>6</v>
      </c>
      <c r="AF253" s="4">
        <v>2</v>
      </c>
      <c r="AG253" s="4">
        <v>2</v>
      </c>
      <c r="AH253" s="4">
        <v>0</v>
      </c>
      <c r="AI253" s="4">
        <v>0</v>
      </c>
      <c r="AJ253" s="4">
        <v>2</v>
      </c>
      <c r="AK253" s="4">
        <v>2</v>
      </c>
      <c r="AL253" s="4">
        <v>3</v>
      </c>
      <c r="AM253" s="4">
        <v>3</v>
      </c>
      <c r="AN253" s="4">
        <v>0</v>
      </c>
      <c r="AO253" s="4">
        <v>0</v>
      </c>
      <c r="AP253" s="3" t="s">
        <v>59</v>
      </c>
      <c r="AQ253" s="3" t="s">
        <v>69</v>
      </c>
      <c r="AR253" s="6" t="str">
        <f>HYPERLINK("http://catalog.hathitrust.org/Record/001499439","HathiTrust Record")</f>
        <v>HathiTrust Record</v>
      </c>
      <c r="AS253" s="6" t="str">
        <f>HYPERLINK("https://creighton-primo.hosted.exlibrisgroup.com/primo-explore/search?tab=default_tab&amp;search_scope=EVERYTHING&amp;vid=01CRU&amp;lang=en_US&amp;offset=0&amp;query=any,contains,991000682839702656","Catalog Record")</f>
        <v>Catalog Record</v>
      </c>
      <c r="AT253" s="6" t="str">
        <f>HYPERLINK("http://www.worldcat.org/oclc/122418","WorldCat Record")</f>
        <v>WorldCat Record</v>
      </c>
      <c r="AU253" s="3" t="s">
        <v>2939</v>
      </c>
      <c r="AV253" s="3" t="s">
        <v>2940</v>
      </c>
      <c r="AW253" s="3" t="s">
        <v>2941</v>
      </c>
      <c r="AX253" s="3" t="s">
        <v>2941</v>
      </c>
      <c r="AY253" s="3" t="s">
        <v>2942</v>
      </c>
      <c r="AZ253" s="3" t="s">
        <v>74</v>
      </c>
      <c r="BB253" s="3" t="s">
        <v>2943</v>
      </c>
      <c r="BC253" s="3" t="s">
        <v>2944</v>
      </c>
      <c r="BD253" s="3" t="s">
        <v>2945</v>
      </c>
    </row>
    <row r="254" spans="1:56" ht="57.75" customHeight="1" x14ac:dyDescent="0.25">
      <c r="A254" s="7" t="s">
        <v>59</v>
      </c>
      <c r="B254" s="2" t="s">
        <v>2946</v>
      </c>
      <c r="C254" s="2" t="s">
        <v>2947</v>
      </c>
      <c r="D254" s="2" t="s">
        <v>2948</v>
      </c>
      <c r="F254" s="3" t="s">
        <v>59</v>
      </c>
      <c r="G254" s="3" t="s">
        <v>60</v>
      </c>
      <c r="H254" s="3" t="s">
        <v>59</v>
      </c>
      <c r="I254" s="3" t="s">
        <v>59</v>
      </c>
      <c r="J254" s="3" t="s">
        <v>61</v>
      </c>
      <c r="K254" s="2" t="s">
        <v>2949</v>
      </c>
      <c r="L254" s="2" t="s">
        <v>2950</v>
      </c>
      <c r="M254" s="3" t="s">
        <v>2202</v>
      </c>
      <c r="O254" s="3" t="s">
        <v>64</v>
      </c>
      <c r="P254" s="3" t="s">
        <v>1078</v>
      </c>
      <c r="Q254" s="2" t="s">
        <v>2951</v>
      </c>
      <c r="R254" s="3" t="s">
        <v>67</v>
      </c>
      <c r="S254" s="4">
        <v>2</v>
      </c>
      <c r="T254" s="4">
        <v>2</v>
      </c>
      <c r="U254" s="5" t="s">
        <v>2952</v>
      </c>
      <c r="V254" s="5" t="s">
        <v>2952</v>
      </c>
      <c r="W254" s="5" t="s">
        <v>2828</v>
      </c>
      <c r="X254" s="5" t="s">
        <v>2828</v>
      </c>
      <c r="Y254" s="4">
        <v>405</v>
      </c>
      <c r="Z254" s="4">
        <v>360</v>
      </c>
      <c r="AA254" s="4">
        <v>385</v>
      </c>
      <c r="AB254" s="4">
        <v>3</v>
      </c>
      <c r="AC254" s="4">
        <v>3</v>
      </c>
      <c r="AD254" s="4">
        <v>16</v>
      </c>
      <c r="AE254" s="4">
        <v>17</v>
      </c>
      <c r="AF254" s="4">
        <v>6</v>
      </c>
      <c r="AG254" s="4">
        <v>6</v>
      </c>
      <c r="AH254" s="4">
        <v>5</v>
      </c>
      <c r="AI254" s="4">
        <v>6</v>
      </c>
      <c r="AJ254" s="4">
        <v>8</v>
      </c>
      <c r="AK254" s="4">
        <v>9</v>
      </c>
      <c r="AL254" s="4">
        <v>2</v>
      </c>
      <c r="AM254" s="4">
        <v>2</v>
      </c>
      <c r="AN254" s="4">
        <v>0</v>
      </c>
      <c r="AO254" s="4">
        <v>0</v>
      </c>
      <c r="AP254" s="3" t="s">
        <v>59</v>
      </c>
      <c r="AQ254" s="3" t="s">
        <v>59</v>
      </c>
      <c r="AS254" s="6" t="str">
        <f>HYPERLINK("https://creighton-primo.hosted.exlibrisgroup.com/primo-explore/search?tab=default_tab&amp;search_scope=EVERYTHING&amp;vid=01CRU&amp;lang=en_US&amp;offset=0&amp;query=any,contains,991000124089702656","Catalog Record")</f>
        <v>Catalog Record</v>
      </c>
      <c r="AT254" s="6" t="str">
        <f>HYPERLINK("http://www.worldcat.org/oclc/51236","WorldCat Record")</f>
        <v>WorldCat Record</v>
      </c>
      <c r="AU254" s="3" t="s">
        <v>2953</v>
      </c>
      <c r="AV254" s="3" t="s">
        <v>2954</v>
      </c>
      <c r="AW254" s="3" t="s">
        <v>2955</v>
      </c>
      <c r="AX254" s="3" t="s">
        <v>2955</v>
      </c>
      <c r="AY254" s="3" t="s">
        <v>2956</v>
      </c>
      <c r="AZ254" s="3" t="s">
        <v>74</v>
      </c>
      <c r="BB254" s="3" t="s">
        <v>2957</v>
      </c>
      <c r="BC254" s="3" t="s">
        <v>2958</v>
      </c>
      <c r="BD254" s="3" t="s">
        <v>2959</v>
      </c>
    </row>
    <row r="255" spans="1:56" ht="57.75" customHeight="1" x14ac:dyDescent="0.25">
      <c r="A255" s="7" t="s">
        <v>59</v>
      </c>
      <c r="B255" s="2" t="s">
        <v>2960</v>
      </c>
      <c r="C255" s="2" t="s">
        <v>2961</v>
      </c>
      <c r="D255" s="2" t="s">
        <v>2962</v>
      </c>
      <c r="F255" s="3" t="s">
        <v>59</v>
      </c>
      <c r="G255" s="3" t="s">
        <v>60</v>
      </c>
      <c r="H255" s="3" t="s">
        <v>59</v>
      </c>
      <c r="I255" s="3" t="s">
        <v>59</v>
      </c>
      <c r="J255" s="3" t="s">
        <v>61</v>
      </c>
      <c r="K255" s="2" t="s">
        <v>2963</v>
      </c>
      <c r="L255" s="2" t="s">
        <v>2964</v>
      </c>
      <c r="M255" s="3" t="s">
        <v>2965</v>
      </c>
      <c r="O255" s="3" t="s">
        <v>64</v>
      </c>
      <c r="P255" s="3" t="s">
        <v>1198</v>
      </c>
      <c r="R255" s="3" t="s">
        <v>67</v>
      </c>
      <c r="S255" s="4">
        <v>8</v>
      </c>
      <c r="T255" s="4">
        <v>8</v>
      </c>
      <c r="U255" s="5" t="s">
        <v>2952</v>
      </c>
      <c r="V255" s="5" t="s">
        <v>2952</v>
      </c>
      <c r="W255" s="5" t="s">
        <v>2828</v>
      </c>
      <c r="X255" s="5" t="s">
        <v>2828</v>
      </c>
      <c r="Y255" s="4">
        <v>7</v>
      </c>
      <c r="Z255" s="4">
        <v>4</v>
      </c>
      <c r="AA255" s="4">
        <v>723</v>
      </c>
      <c r="AB255" s="4">
        <v>1</v>
      </c>
      <c r="AC255" s="4">
        <v>5</v>
      </c>
      <c r="AD255" s="4">
        <v>1</v>
      </c>
      <c r="AE255" s="4">
        <v>37</v>
      </c>
      <c r="AF255" s="4">
        <v>1</v>
      </c>
      <c r="AG255" s="4">
        <v>15</v>
      </c>
      <c r="AH255" s="4">
        <v>0</v>
      </c>
      <c r="AI255" s="4">
        <v>8</v>
      </c>
      <c r="AJ255" s="4">
        <v>1</v>
      </c>
      <c r="AK255" s="4">
        <v>18</v>
      </c>
      <c r="AL255" s="4">
        <v>0</v>
      </c>
      <c r="AM255" s="4">
        <v>4</v>
      </c>
      <c r="AN255" s="4">
        <v>0</v>
      </c>
      <c r="AO255" s="4">
        <v>0</v>
      </c>
      <c r="AP255" s="3" t="s">
        <v>59</v>
      </c>
      <c r="AQ255" s="3" t="s">
        <v>59</v>
      </c>
      <c r="AS255" s="6" t="str">
        <f>HYPERLINK("https://creighton-primo.hosted.exlibrisgroup.com/primo-explore/search?tab=default_tab&amp;search_scope=EVERYTHING&amp;vid=01CRU&amp;lang=en_US&amp;offset=0&amp;query=any,contains,991002433049702656","Catalog Record")</f>
        <v>Catalog Record</v>
      </c>
      <c r="AT255" s="6" t="str">
        <f>HYPERLINK("http://www.worldcat.org/oclc/31725464","WorldCat Record")</f>
        <v>WorldCat Record</v>
      </c>
      <c r="AU255" s="3" t="s">
        <v>2966</v>
      </c>
      <c r="AV255" s="3" t="s">
        <v>2967</v>
      </c>
      <c r="AW255" s="3" t="s">
        <v>2968</v>
      </c>
      <c r="AX255" s="3" t="s">
        <v>2968</v>
      </c>
      <c r="AY255" s="3" t="s">
        <v>2969</v>
      </c>
      <c r="AZ255" s="3" t="s">
        <v>74</v>
      </c>
      <c r="BC255" s="3" t="s">
        <v>2970</v>
      </c>
      <c r="BD255" s="3" t="s">
        <v>2971</v>
      </c>
    </row>
    <row r="256" spans="1:56" ht="57.75" customHeight="1" x14ac:dyDescent="0.25">
      <c r="A256" s="7" t="s">
        <v>59</v>
      </c>
      <c r="B256" s="2" t="s">
        <v>2972</v>
      </c>
      <c r="C256" s="2" t="s">
        <v>2973</v>
      </c>
      <c r="D256" s="2" t="s">
        <v>2974</v>
      </c>
      <c r="F256" s="3" t="s">
        <v>59</v>
      </c>
      <c r="G256" s="3" t="s">
        <v>60</v>
      </c>
      <c r="H256" s="3" t="s">
        <v>59</v>
      </c>
      <c r="I256" s="3" t="s">
        <v>59</v>
      </c>
      <c r="J256" s="3" t="s">
        <v>61</v>
      </c>
      <c r="K256" s="2" t="s">
        <v>2975</v>
      </c>
      <c r="L256" s="2" t="s">
        <v>2976</v>
      </c>
      <c r="M256" s="3" t="s">
        <v>452</v>
      </c>
      <c r="O256" s="3" t="s">
        <v>64</v>
      </c>
      <c r="P256" s="3" t="s">
        <v>405</v>
      </c>
      <c r="Q256" s="2" t="s">
        <v>2863</v>
      </c>
      <c r="R256" s="3" t="s">
        <v>67</v>
      </c>
      <c r="S256" s="4">
        <v>4</v>
      </c>
      <c r="T256" s="4">
        <v>4</v>
      </c>
      <c r="U256" s="5" t="s">
        <v>725</v>
      </c>
      <c r="V256" s="5" t="s">
        <v>725</v>
      </c>
      <c r="W256" s="5" t="s">
        <v>2828</v>
      </c>
      <c r="X256" s="5" t="s">
        <v>2828</v>
      </c>
      <c r="Y256" s="4">
        <v>277</v>
      </c>
      <c r="Z256" s="4">
        <v>128</v>
      </c>
      <c r="AA256" s="4">
        <v>132</v>
      </c>
      <c r="AB256" s="4">
        <v>2</v>
      </c>
      <c r="AC256" s="4">
        <v>2</v>
      </c>
      <c r="AD256" s="4">
        <v>2</v>
      </c>
      <c r="AE256" s="4">
        <v>2</v>
      </c>
      <c r="AF256" s="4">
        <v>0</v>
      </c>
      <c r="AG256" s="4">
        <v>0</v>
      </c>
      <c r="AH256" s="4">
        <v>1</v>
      </c>
      <c r="AI256" s="4">
        <v>1</v>
      </c>
      <c r="AJ256" s="4">
        <v>0</v>
      </c>
      <c r="AK256" s="4">
        <v>0</v>
      </c>
      <c r="AL256" s="4">
        <v>1</v>
      </c>
      <c r="AM256" s="4">
        <v>1</v>
      </c>
      <c r="AN256" s="4">
        <v>0</v>
      </c>
      <c r="AO256" s="4">
        <v>0</v>
      </c>
      <c r="AP256" s="3" t="s">
        <v>59</v>
      </c>
      <c r="AQ256" s="3" t="s">
        <v>69</v>
      </c>
      <c r="AR256" s="6" t="str">
        <f>HYPERLINK("http://catalog.hathitrust.org/Record/006215023","HathiTrust Record")</f>
        <v>HathiTrust Record</v>
      </c>
      <c r="AS256" s="6" t="str">
        <f>HYPERLINK("https://creighton-primo.hosted.exlibrisgroup.com/primo-explore/search?tab=default_tab&amp;search_scope=EVERYTHING&amp;vid=01CRU&amp;lang=en_US&amp;offset=0&amp;query=any,contains,991003645249702656","Catalog Record")</f>
        <v>Catalog Record</v>
      </c>
      <c r="AT256" s="6" t="str">
        <f>HYPERLINK("http://www.worldcat.org/oclc/1245429","WorldCat Record")</f>
        <v>WorldCat Record</v>
      </c>
      <c r="AU256" s="3" t="s">
        <v>2977</v>
      </c>
      <c r="AV256" s="3" t="s">
        <v>2978</v>
      </c>
      <c r="AW256" s="3" t="s">
        <v>2979</v>
      </c>
      <c r="AX256" s="3" t="s">
        <v>2979</v>
      </c>
      <c r="AY256" s="3" t="s">
        <v>2980</v>
      </c>
      <c r="AZ256" s="3" t="s">
        <v>74</v>
      </c>
      <c r="BC256" s="3" t="s">
        <v>2981</v>
      </c>
      <c r="BD256" s="3" t="s">
        <v>2982</v>
      </c>
    </row>
    <row r="257" spans="1:56" ht="57.75" customHeight="1" x14ac:dyDescent="0.25">
      <c r="A257" s="7" t="s">
        <v>59</v>
      </c>
      <c r="B257" s="2" t="s">
        <v>2983</v>
      </c>
      <c r="C257" s="2" t="s">
        <v>2984</v>
      </c>
      <c r="D257" s="2" t="s">
        <v>2985</v>
      </c>
      <c r="F257" s="3" t="s">
        <v>59</v>
      </c>
      <c r="G257" s="3" t="s">
        <v>60</v>
      </c>
      <c r="H257" s="3" t="s">
        <v>59</v>
      </c>
      <c r="I257" s="3" t="s">
        <v>59</v>
      </c>
      <c r="J257" s="3" t="s">
        <v>61</v>
      </c>
      <c r="K257" s="2" t="s">
        <v>2986</v>
      </c>
      <c r="L257" s="2" t="s">
        <v>2987</v>
      </c>
      <c r="M257" s="3" t="s">
        <v>776</v>
      </c>
      <c r="O257" s="3" t="s">
        <v>64</v>
      </c>
      <c r="P257" s="3" t="s">
        <v>467</v>
      </c>
      <c r="R257" s="3" t="s">
        <v>67</v>
      </c>
      <c r="S257" s="4">
        <v>5</v>
      </c>
      <c r="T257" s="4">
        <v>5</v>
      </c>
      <c r="U257" s="5" t="s">
        <v>2265</v>
      </c>
      <c r="V257" s="5" t="s">
        <v>2265</v>
      </c>
      <c r="W257" s="5" t="s">
        <v>2828</v>
      </c>
      <c r="X257" s="5" t="s">
        <v>2828</v>
      </c>
      <c r="Y257" s="4">
        <v>241</v>
      </c>
      <c r="Z257" s="4">
        <v>236</v>
      </c>
      <c r="AA257" s="4">
        <v>341</v>
      </c>
      <c r="AB257" s="4">
        <v>2</v>
      </c>
      <c r="AC257" s="4">
        <v>2</v>
      </c>
      <c r="AD257" s="4">
        <v>3</v>
      </c>
      <c r="AE257" s="4">
        <v>5</v>
      </c>
      <c r="AF257" s="4">
        <v>1</v>
      </c>
      <c r="AG257" s="4">
        <v>2</v>
      </c>
      <c r="AH257" s="4">
        <v>0</v>
      </c>
      <c r="AI257" s="4">
        <v>1</v>
      </c>
      <c r="AJ257" s="4">
        <v>1</v>
      </c>
      <c r="AK257" s="4">
        <v>1</v>
      </c>
      <c r="AL257" s="4">
        <v>1</v>
      </c>
      <c r="AM257" s="4">
        <v>1</v>
      </c>
      <c r="AN257" s="4">
        <v>0</v>
      </c>
      <c r="AO257" s="4">
        <v>0</v>
      </c>
      <c r="AP257" s="3" t="s">
        <v>59</v>
      </c>
      <c r="AQ257" s="3" t="s">
        <v>59</v>
      </c>
      <c r="AS257" s="6" t="str">
        <f>HYPERLINK("https://creighton-primo.hosted.exlibrisgroup.com/primo-explore/search?tab=default_tab&amp;search_scope=EVERYTHING&amp;vid=01CRU&amp;lang=en_US&amp;offset=0&amp;query=any,contains,991000895629702656","Catalog Record")</f>
        <v>Catalog Record</v>
      </c>
      <c r="AT257" s="6" t="str">
        <f>HYPERLINK("http://www.worldcat.org/oclc/155922","WorldCat Record")</f>
        <v>WorldCat Record</v>
      </c>
      <c r="AU257" s="3" t="s">
        <v>2988</v>
      </c>
      <c r="AV257" s="3" t="s">
        <v>2989</v>
      </c>
      <c r="AW257" s="3" t="s">
        <v>2990</v>
      </c>
      <c r="AX257" s="3" t="s">
        <v>2990</v>
      </c>
      <c r="AY257" s="3" t="s">
        <v>2991</v>
      </c>
      <c r="AZ257" s="3" t="s">
        <v>74</v>
      </c>
      <c r="BC257" s="3" t="s">
        <v>2992</v>
      </c>
      <c r="BD257" s="3" t="s">
        <v>2993</v>
      </c>
    </row>
    <row r="258" spans="1:56" ht="57.75" customHeight="1" x14ac:dyDescent="0.25">
      <c r="A258" s="7" t="s">
        <v>59</v>
      </c>
      <c r="B258" s="2" t="s">
        <v>2994</v>
      </c>
      <c r="C258" s="2" t="s">
        <v>2995</v>
      </c>
      <c r="D258" s="2" t="s">
        <v>2996</v>
      </c>
      <c r="F258" s="3" t="s">
        <v>59</v>
      </c>
      <c r="G258" s="3" t="s">
        <v>60</v>
      </c>
      <c r="H258" s="3" t="s">
        <v>59</v>
      </c>
      <c r="I258" s="3" t="s">
        <v>59</v>
      </c>
      <c r="J258" s="3" t="s">
        <v>61</v>
      </c>
      <c r="K258" s="2" t="s">
        <v>2997</v>
      </c>
      <c r="L258" s="2" t="s">
        <v>2998</v>
      </c>
      <c r="M258" s="3" t="s">
        <v>571</v>
      </c>
      <c r="O258" s="3" t="s">
        <v>64</v>
      </c>
      <c r="P258" s="3" t="s">
        <v>1078</v>
      </c>
      <c r="Q258" s="2" t="s">
        <v>2951</v>
      </c>
      <c r="R258" s="3" t="s">
        <v>67</v>
      </c>
      <c r="S258" s="4">
        <v>4</v>
      </c>
      <c r="T258" s="4">
        <v>4</v>
      </c>
      <c r="U258" s="5" t="s">
        <v>2952</v>
      </c>
      <c r="V258" s="5" t="s">
        <v>2952</v>
      </c>
      <c r="W258" s="5" t="s">
        <v>2828</v>
      </c>
      <c r="X258" s="5" t="s">
        <v>2828</v>
      </c>
      <c r="Y258" s="4">
        <v>490</v>
      </c>
      <c r="Z258" s="4">
        <v>451</v>
      </c>
      <c r="AA258" s="4">
        <v>610</v>
      </c>
      <c r="AB258" s="4">
        <v>4</v>
      </c>
      <c r="AC258" s="4">
        <v>4</v>
      </c>
      <c r="AD258" s="4">
        <v>14</v>
      </c>
      <c r="AE258" s="4">
        <v>17</v>
      </c>
      <c r="AF258" s="4">
        <v>4</v>
      </c>
      <c r="AG258" s="4">
        <v>5</v>
      </c>
      <c r="AH258" s="4">
        <v>3</v>
      </c>
      <c r="AI258" s="4">
        <v>3</v>
      </c>
      <c r="AJ258" s="4">
        <v>8</v>
      </c>
      <c r="AK258" s="4">
        <v>10</v>
      </c>
      <c r="AL258" s="4">
        <v>3</v>
      </c>
      <c r="AM258" s="4">
        <v>3</v>
      </c>
      <c r="AN258" s="4">
        <v>0</v>
      </c>
      <c r="AO258" s="4">
        <v>0</v>
      </c>
      <c r="AP258" s="3" t="s">
        <v>59</v>
      </c>
      <c r="AQ258" s="3" t="s">
        <v>69</v>
      </c>
      <c r="AR258" s="6" t="str">
        <f>HYPERLINK("http://catalog.hathitrust.org/Record/001499420","HathiTrust Record")</f>
        <v>HathiTrust Record</v>
      </c>
      <c r="AS258" s="6" t="str">
        <f>HYPERLINK("https://creighton-primo.hosted.exlibrisgroup.com/primo-explore/search?tab=default_tab&amp;search_scope=EVERYTHING&amp;vid=01CRU&amp;lang=en_US&amp;offset=0&amp;query=any,contains,991003309829702656","Catalog Record")</f>
        <v>Catalog Record</v>
      </c>
      <c r="AT258" s="6" t="str">
        <f>HYPERLINK("http://www.worldcat.org/oclc/833671","WorldCat Record")</f>
        <v>WorldCat Record</v>
      </c>
      <c r="AU258" s="3" t="s">
        <v>2999</v>
      </c>
      <c r="AV258" s="3" t="s">
        <v>3000</v>
      </c>
      <c r="AW258" s="3" t="s">
        <v>3001</v>
      </c>
      <c r="AX258" s="3" t="s">
        <v>3001</v>
      </c>
      <c r="AY258" s="3" t="s">
        <v>3002</v>
      </c>
      <c r="AZ258" s="3" t="s">
        <v>74</v>
      </c>
      <c r="BC258" s="3" t="s">
        <v>3003</v>
      </c>
      <c r="BD258" s="3" t="s">
        <v>3004</v>
      </c>
    </row>
    <row r="259" spans="1:56" ht="57.75" customHeight="1" x14ac:dyDescent="0.25">
      <c r="A259" s="7" t="s">
        <v>59</v>
      </c>
      <c r="B259" s="2" t="s">
        <v>3005</v>
      </c>
      <c r="C259" s="2" t="s">
        <v>3006</v>
      </c>
      <c r="D259" s="2" t="s">
        <v>3007</v>
      </c>
      <c r="F259" s="3" t="s">
        <v>59</v>
      </c>
      <c r="G259" s="3" t="s">
        <v>60</v>
      </c>
      <c r="H259" s="3" t="s">
        <v>59</v>
      </c>
      <c r="I259" s="3" t="s">
        <v>59</v>
      </c>
      <c r="J259" s="3" t="s">
        <v>61</v>
      </c>
      <c r="K259" s="2" t="s">
        <v>2632</v>
      </c>
      <c r="L259" s="2" t="s">
        <v>3008</v>
      </c>
      <c r="M259" s="3" t="s">
        <v>404</v>
      </c>
      <c r="O259" s="3" t="s">
        <v>64</v>
      </c>
      <c r="P259" s="3" t="s">
        <v>1198</v>
      </c>
      <c r="R259" s="3" t="s">
        <v>67</v>
      </c>
      <c r="S259" s="4">
        <v>6</v>
      </c>
      <c r="T259" s="4">
        <v>6</v>
      </c>
      <c r="U259" s="5" t="s">
        <v>3009</v>
      </c>
      <c r="V259" s="5" t="s">
        <v>3009</v>
      </c>
      <c r="W259" s="5" t="s">
        <v>2828</v>
      </c>
      <c r="X259" s="5" t="s">
        <v>2828</v>
      </c>
      <c r="Y259" s="4">
        <v>407</v>
      </c>
      <c r="Z259" s="4">
        <v>349</v>
      </c>
      <c r="AA259" s="4">
        <v>429</v>
      </c>
      <c r="AB259" s="4">
        <v>3</v>
      </c>
      <c r="AC259" s="4">
        <v>3</v>
      </c>
      <c r="AD259" s="4">
        <v>8</v>
      </c>
      <c r="AE259" s="4">
        <v>11</v>
      </c>
      <c r="AF259" s="4">
        <v>3</v>
      </c>
      <c r="AG259" s="4">
        <v>4</v>
      </c>
      <c r="AH259" s="4">
        <v>1</v>
      </c>
      <c r="AI259" s="4">
        <v>2</v>
      </c>
      <c r="AJ259" s="4">
        <v>4</v>
      </c>
      <c r="AK259" s="4">
        <v>6</v>
      </c>
      <c r="AL259" s="4">
        <v>2</v>
      </c>
      <c r="AM259" s="4">
        <v>2</v>
      </c>
      <c r="AN259" s="4">
        <v>0</v>
      </c>
      <c r="AO259" s="4">
        <v>0</v>
      </c>
      <c r="AP259" s="3" t="s">
        <v>59</v>
      </c>
      <c r="AQ259" s="3" t="s">
        <v>69</v>
      </c>
      <c r="AR259" s="6" t="str">
        <f>HYPERLINK("http://catalog.hathitrust.org/Record/003609478","HathiTrust Record")</f>
        <v>HathiTrust Record</v>
      </c>
      <c r="AS259" s="6" t="str">
        <f>HYPERLINK("https://creighton-primo.hosted.exlibrisgroup.com/primo-explore/search?tab=default_tab&amp;search_scope=EVERYTHING&amp;vid=01CRU&amp;lang=en_US&amp;offset=0&amp;query=any,contains,991002653539702656","Catalog Record")</f>
        <v>Catalog Record</v>
      </c>
      <c r="AT259" s="6" t="str">
        <f>HYPERLINK("http://www.worldcat.org/oclc/387831","WorldCat Record")</f>
        <v>WorldCat Record</v>
      </c>
      <c r="AU259" s="3" t="s">
        <v>3010</v>
      </c>
      <c r="AV259" s="3" t="s">
        <v>3011</v>
      </c>
      <c r="AW259" s="3" t="s">
        <v>3012</v>
      </c>
      <c r="AX259" s="3" t="s">
        <v>3012</v>
      </c>
      <c r="AY259" s="3" t="s">
        <v>3013</v>
      </c>
      <c r="AZ259" s="3" t="s">
        <v>74</v>
      </c>
      <c r="BC259" s="3" t="s">
        <v>3014</v>
      </c>
      <c r="BD259" s="3" t="s">
        <v>3015</v>
      </c>
    </row>
    <row r="260" spans="1:56" ht="57.75" customHeight="1" x14ac:dyDescent="0.25">
      <c r="A260" s="7" t="s">
        <v>59</v>
      </c>
      <c r="B260" s="2" t="s">
        <v>3016</v>
      </c>
      <c r="C260" s="2" t="s">
        <v>3017</v>
      </c>
      <c r="D260" s="2" t="s">
        <v>3018</v>
      </c>
      <c r="F260" s="3" t="s">
        <v>59</v>
      </c>
      <c r="G260" s="3" t="s">
        <v>60</v>
      </c>
      <c r="H260" s="3" t="s">
        <v>59</v>
      </c>
      <c r="I260" s="3" t="s">
        <v>59</v>
      </c>
      <c r="J260" s="3" t="s">
        <v>61</v>
      </c>
      <c r="L260" s="2" t="s">
        <v>3019</v>
      </c>
      <c r="M260" s="3" t="s">
        <v>2421</v>
      </c>
      <c r="O260" s="3" t="s">
        <v>64</v>
      </c>
      <c r="P260" s="3" t="s">
        <v>467</v>
      </c>
      <c r="Q260" s="2" t="s">
        <v>3020</v>
      </c>
      <c r="R260" s="3" t="s">
        <v>67</v>
      </c>
      <c r="S260" s="4">
        <v>11</v>
      </c>
      <c r="T260" s="4">
        <v>11</v>
      </c>
      <c r="U260" s="5" t="s">
        <v>3021</v>
      </c>
      <c r="V260" s="5" t="s">
        <v>3021</v>
      </c>
      <c r="W260" s="5" t="s">
        <v>1199</v>
      </c>
      <c r="X260" s="5" t="s">
        <v>1199</v>
      </c>
      <c r="Y260" s="4">
        <v>371</v>
      </c>
      <c r="Z260" s="4">
        <v>271</v>
      </c>
      <c r="AA260" s="4">
        <v>275</v>
      </c>
      <c r="AB260" s="4">
        <v>1</v>
      </c>
      <c r="AC260" s="4">
        <v>1</v>
      </c>
      <c r="AD260" s="4">
        <v>11</v>
      </c>
      <c r="AE260" s="4">
        <v>11</v>
      </c>
      <c r="AF260" s="4">
        <v>3</v>
      </c>
      <c r="AG260" s="4">
        <v>3</v>
      </c>
      <c r="AH260" s="4">
        <v>3</v>
      </c>
      <c r="AI260" s="4">
        <v>3</v>
      </c>
      <c r="AJ260" s="4">
        <v>9</v>
      </c>
      <c r="AK260" s="4">
        <v>9</v>
      </c>
      <c r="AL260" s="4">
        <v>0</v>
      </c>
      <c r="AM260" s="4">
        <v>0</v>
      </c>
      <c r="AN260" s="4">
        <v>0</v>
      </c>
      <c r="AO260" s="4">
        <v>0</v>
      </c>
      <c r="AP260" s="3" t="s">
        <v>59</v>
      </c>
      <c r="AQ260" s="3" t="s">
        <v>69</v>
      </c>
      <c r="AR260" s="6" t="str">
        <f>HYPERLINK("http://catalog.hathitrust.org/Record/001105076","HathiTrust Record")</f>
        <v>HathiTrust Record</v>
      </c>
      <c r="AS260" s="6" t="str">
        <f>HYPERLINK("https://creighton-primo.hosted.exlibrisgroup.com/primo-explore/search?tab=default_tab&amp;search_scope=EVERYTHING&amp;vid=01CRU&amp;lang=en_US&amp;offset=0&amp;query=any,contains,991005408369702656","Catalog Record")</f>
        <v>Catalog Record</v>
      </c>
      <c r="AT260" s="6" t="str">
        <f>HYPERLINK("http://www.worldcat.org/oclc/16685062","WorldCat Record")</f>
        <v>WorldCat Record</v>
      </c>
      <c r="AU260" s="3" t="s">
        <v>3022</v>
      </c>
      <c r="AV260" s="3" t="s">
        <v>3023</v>
      </c>
      <c r="AW260" s="3" t="s">
        <v>3024</v>
      </c>
      <c r="AX260" s="3" t="s">
        <v>3024</v>
      </c>
      <c r="AY260" s="3" t="s">
        <v>3025</v>
      </c>
      <c r="AZ260" s="3" t="s">
        <v>74</v>
      </c>
      <c r="BB260" s="3" t="s">
        <v>3026</v>
      </c>
      <c r="BC260" s="3" t="s">
        <v>3027</v>
      </c>
      <c r="BD260" s="3" t="s">
        <v>3028</v>
      </c>
    </row>
    <row r="261" spans="1:56" ht="57.75" customHeight="1" x14ac:dyDescent="0.25">
      <c r="A261" s="7" t="s">
        <v>59</v>
      </c>
      <c r="B261" s="2" t="s">
        <v>3029</v>
      </c>
      <c r="C261" s="2" t="s">
        <v>3030</v>
      </c>
      <c r="D261" s="2" t="s">
        <v>3031</v>
      </c>
      <c r="E261" s="3" t="s">
        <v>923</v>
      </c>
      <c r="F261" s="3" t="s">
        <v>69</v>
      </c>
      <c r="G261" s="3" t="s">
        <v>60</v>
      </c>
      <c r="H261" s="3" t="s">
        <v>59</v>
      </c>
      <c r="I261" s="3" t="s">
        <v>59</v>
      </c>
      <c r="J261" s="3" t="s">
        <v>61</v>
      </c>
      <c r="L261" s="2" t="s">
        <v>3032</v>
      </c>
      <c r="M261" s="3" t="s">
        <v>617</v>
      </c>
      <c r="O261" s="3" t="s">
        <v>64</v>
      </c>
      <c r="P261" s="3" t="s">
        <v>467</v>
      </c>
      <c r="R261" s="3" t="s">
        <v>67</v>
      </c>
      <c r="S261" s="4">
        <v>5</v>
      </c>
      <c r="T261" s="4">
        <v>19</v>
      </c>
      <c r="U261" s="5" t="s">
        <v>3033</v>
      </c>
      <c r="V261" s="5" t="s">
        <v>3033</v>
      </c>
      <c r="W261" s="5" t="s">
        <v>1199</v>
      </c>
      <c r="X261" s="5" t="s">
        <v>1199</v>
      </c>
      <c r="Y261" s="4">
        <v>263</v>
      </c>
      <c r="Z261" s="4">
        <v>190</v>
      </c>
      <c r="AA261" s="4">
        <v>229</v>
      </c>
      <c r="AB261" s="4">
        <v>2</v>
      </c>
      <c r="AC261" s="4">
        <v>2</v>
      </c>
      <c r="AD261" s="4">
        <v>9</v>
      </c>
      <c r="AE261" s="4">
        <v>11</v>
      </c>
      <c r="AF261" s="4">
        <v>1</v>
      </c>
      <c r="AG261" s="4">
        <v>2</v>
      </c>
      <c r="AH261" s="4">
        <v>4</v>
      </c>
      <c r="AI261" s="4">
        <v>5</v>
      </c>
      <c r="AJ261" s="4">
        <v>5</v>
      </c>
      <c r="AK261" s="4">
        <v>5</v>
      </c>
      <c r="AL261" s="4">
        <v>1</v>
      </c>
      <c r="AM261" s="4">
        <v>1</v>
      </c>
      <c r="AN261" s="4">
        <v>0</v>
      </c>
      <c r="AO261" s="4">
        <v>0</v>
      </c>
      <c r="AP261" s="3" t="s">
        <v>59</v>
      </c>
      <c r="AQ261" s="3" t="s">
        <v>69</v>
      </c>
      <c r="AR261" s="6" t="str">
        <f>HYPERLINK("http://catalog.hathitrust.org/Record/000692275","HathiTrust Record")</f>
        <v>HathiTrust Record</v>
      </c>
      <c r="AS261" s="6" t="str">
        <f>HYPERLINK("https://creighton-primo.hosted.exlibrisgroup.com/primo-explore/search?tab=default_tab&amp;search_scope=EVERYTHING&amp;vid=01CRU&amp;lang=en_US&amp;offset=0&amp;query=any,contains,991004944629702656","Catalog Record")</f>
        <v>Catalog Record</v>
      </c>
      <c r="AT261" s="6" t="str">
        <f>HYPERLINK("http://www.worldcat.org/oclc/6198952","WorldCat Record")</f>
        <v>WorldCat Record</v>
      </c>
      <c r="AU261" s="3" t="s">
        <v>3034</v>
      </c>
      <c r="AV261" s="3" t="s">
        <v>3035</v>
      </c>
      <c r="AW261" s="3" t="s">
        <v>3036</v>
      </c>
      <c r="AX261" s="3" t="s">
        <v>3036</v>
      </c>
      <c r="AY261" s="3" t="s">
        <v>3037</v>
      </c>
      <c r="AZ261" s="3" t="s">
        <v>74</v>
      </c>
      <c r="BB261" s="3" t="s">
        <v>3038</v>
      </c>
      <c r="BC261" s="3" t="s">
        <v>3039</v>
      </c>
      <c r="BD261" s="3" t="s">
        <v>3040</v>
      </c>
    </row>
    <row r="262" spans="1:56" ht="57.75" customHeight="1" x14ac:dyDescent="0.25">
      <c r="A262" s="7" t="s">
        <v>59</v>
      </c>
      <c r="B262" s="2" t="s">
        <v>3029</v>
      </c>
      <c r="C262" s="2" t="s">
        <v>3030</v>
      </c>
      <c r="D262" s="2" t="s">
        <v>3031</v>
      </c>
      <c r="E262" s="3" t="s">
        <v>917</v>
      </c>
      <c r="F262" s="3" t="s">
        <v>69</v>
      </c>
      <c r="G262" s="3" t="s">
        <v>60</v>
      </c>
      <c r="H262" s="3" t="s">
        <v>59</v>
      </c>
      <c r="I262" s="3" t="s">
        <v>59</v>
      </c>
      <c r="J262" s="3" t="s">
        <v>61</v>
      </c>
      <c r="L262" s="2" t="s">
        <v>3032</v>
      </c>
      <c r="M262" s="3" t="s">
        <v>617</v>
      </c>
      <c r="O262" s="3" t="s">
        <v>64</v>
      </c>
      <c r="P262" s="3" t="s">
        <v>467</v>
      </c>
      <c r="R262" s="3" t="s">
        <v>67</v>
      </c>
      <c r="S262" s="4">
        <v>14</v>
      </c>
      <c r="T262" s="4">
        <v>19</v>
      </c>
      <c r="U262" s="5" t="s">
        <v>3033</v>
      </c>
      <c r="V262" s="5" t="s">
        <v>3033</v>
      </c>
      <c r="W262" s="5" t="s">
        <v>1199</v>
      </c>
      <c r="X262" s="5" t="s">
        <v>1199</v>
      </c>
      <c r="Y262" s="4">
        <v>263</v>
      </c>
      <c r="Z262" s="4">
        <v>190</v>
      </c>
      <c r="AA262" s="4">
        <v>229</v>
      </c>
      <c r="AB262" s="4">
        <v>2</v>
      </c>
      <c r="AC262" s="4">
        <v>2</v>
      </c>
      <c r="AD262" s="4">
        <v>9</v>
      </c>
      <c r="AE262" s="4">
        <v>11</v>
      </c>
      <c r="AF262" s="4">
        <v>1</v>
      </c>
      <c r="AG262" s="4">
        <v>2</v>
      </c>
      <c r="AH262" s="4">
        <v>4</v>
      </c>
      <c r="AI262" s="4">
        <v>5</v>
      </c>
      <c r="AJ262" s="4">
        <v>5</v>
      </c>
      <c r="AK262" s="4">
        <v>5</v>
      </c>
      <c r="AL262" s="4">
        <v>1</v>
      </c>
      <c r="AM262" s="4">
        <v>1</v>
      </c>
      <c r="AN262" s="4">
        <v>0</v>
      </c>
      <c r="AO262" s="4">
        <v>0</v>
      </c>
      <c r="AP262" s="3" t="s">
        <v>59</v>
      </c>
      <c r="AQ262" s="3" t="s">
        <v>69</v>
      </c>
      <c r="AR262" s="6" t="str">
        <f>HYPERLINK("http://catalog.hathitrust.org/Record/000692275","HathiTrust Record")</f>
        <v>HathiTrust Record</v>
      </c>
      <c r="AS262" s="6" t="str">
        <f>HYPERLINK("https://creighton-primo.hosted.exlibrisgroup.com/primo-explore/search?tab=default_tab&amp;search_scope=EVERYTHING&amp;vid=01CRU&amp;lang=en_US&amp;offset=0&amp;query=any,contains,991004944629702656","Catalog Record")</f>
        <v>Catalog Record</v>
      </c>
      <c r="AT262" s="6" t="str">
        <f>HYPERLINK("http://www.worldcat.org/oclc/6198952","WorldCat Record")</f>
        <v>WorldCat Record</v>
      </c>
      <c r="AU262" s="3" t="s">
        <v>3034</v>
      </c>
      <c r="AV262" s="3" t="s">
        <v>3035</v>
      </c>
      <c r="AW262" s="3" t="s">
        <v>3036</v>
      </c>
      <c r="AX262" s="3" t="s">
        <v>3036</v>
      </c>
      <c r="AY262" s="3" t="s">
        <v>3037</v>
      </c>
      <c r="AZ262" s="3" t="s">
        <v>74</v>
      </c>
      <c r="BB262" s="3" t="s">
        <v>3038</v>
      </c>
      <c r="BC262" s="3" t="s">
        <v>3041</v>
      </c>
      <c r="BD262" s="3" t="s">
        <v>3042</v>
      </c>
    </row>
    <row r="263" spans="1:56" ht="57.75" customHeight="1" x14ac:dyDescent="0.25">
      <c r="A263" s="7" t="s">
        <v>59</v>
      </c>
      <c r="B263" s="2" t="s">
        <v>3043</v>
      </c>
      <c r="C263" s="2" t="s">
        <v>3044</v>
      </c>
      <c r="D263" s="2" t="s">
        <v>3045</v>
      </c>
      <c r="F263" s="3" t="s">
        <v>59</v>
      </c>
      <c r="G263" s="3" t="s">
        <v>60</v>
      </c>
      <c r="H263" s="3" t="s">
        <v>59</v>
      </c>
      <c r="I263" s="3" t="s">
        <v>59</v>
      </c>
      <c r="J263" s="3" t="s">
        <v>61</v>
      </c>
      <c r="K263" s="2" t="s">
        <v>3046</v>
      </c>
      <c r="L263" s="2" t="s">
        <v>3047</v>
      </c>
      <c r="M263" s="3" t="s">
        <v>2244</v>
      </c>
      <c r="O263" s="3" t="s">
        <v>64</v>
      </c>
      <c r="P263" s="3" t="s">
        <v>405</v>
      </c>
      <c r="R263" s="3" t="s">
        <v>67</v>
      </c>
      <c r="S263" s="4">
        <v>13</v>
      </c>
      <c r="T263" s="4">
        <v>13</v>
      </c>
      <c r="U263" s="5" t="s">
        <v>3021</v>
      </c>
      <c r="V263" s="5" t="s">
        <v>3021</v>
      </c>
      <c r="W263" s="5" t="s">
        <v>3048</v>
      </c>
      <c r="X263" s="5" t="s">
        <v>3048</v>
      </c>
      <c r="Y263" s="4">
        <v>150</v>
      </c>
      <c r="Z263" s="4">
        <v>87</v>
      </c>
      <c r="AA263" s="4">
        <v>88</v>
      </c>
      <c r="AB263" s="4">
        <v>2</v>
      </c>
      <c r="AC263" s="4">
        <v>2</v>
      </c>
      <c r="AD263" s="4">
        <v>4</v>
      </c>
      <c r="AE263" s="4">
        <v>4</v>
      </c>
      <c r="AF263" s="4">
        <v>1</v>
      </c>
      <c r="AG263" s="4">
        <v>1</v>
      </c>
      <c r="AH263" s="4">
        <v>2</v>
      </c>
      <c r="AI263" s="4">
        <v>2</v>
      </c>
      <c r="AJ263" s="4">
        <v>1</v>
      </c>
      <c r="AK263" s="4">
        <v>1</v>
      </c>
      <c r="AL263" s="4">
        <v>1</v>
      </c>
      <c r="AM263" s="4">
        <v>1</v>
      </c>
      <c r="AN263" s="4">
        <v>0</v>
      </c>
      <c r="AO263" s="4">
        <v>0</v>
      </c>
      <c r="AP263" s="3" t="s">
        <v>59</v>
      </c>
      <c r="AQ263" s="3" t="s">
        <v>59</v>
      </c>
      <c r="AS263" s="6" t="str">
        <f>HYPERLINK("https://creighton-primo.hosted.exlibrisgroup.com/primo-explore/search?tab=default_tab&amp;search_scope=EVERYTHING&amp;vid=01CRU&amp;lang=en_US&amp;offset=0&amp;query=any,contains,991002058029702656","Catalog Record")</f>
        <v>Catalog Record</v>
      </c>
      <c r="AT263" s="6" t="str">
        <f>HYPERLINK("http://www.worldcat.org/oclc/26318591","WorldCat Record")</f>
        <v>WorldCat Record</v>
      </c>
      <c r="AU263" s="3" t="s">
        <v>3049</v>
      </c>
      <c r="AV263" s="3" t="s">
        <v>3050</v>
      </c>
      <c r="AW263" s="3" t="s">
        <v>3051</v>
      </c>
      <c r="AX263" s="3" t="s">
        <v>3051</v>
      </c>
      <c r="AY263" s="3" t="s">
        <v>3052</v>
      </c>
      <c r="AZ263" s="3" t="s">
        <v>74</v>
      </c>
      <c r="BB263" s="3" t="s">
        <v>3053</v>
      </c>
      <c r="BC263" s="3" t="s">
        <v>3054</v>
      </c>
      <c r="BD263" s="3" t="s">
        <v>3055</v>
      </c>
    </row>
    <row r="264" spans="1:56" ht="57.75" customHeight="1" x14ac:dyDescent="0.25">
      <c r="A264" s="7" t="s">
        <v>59</v>
      </c>
      <c r="B264" s="2" t="s">
        <v>3056</v>
      </c>
      <c r="C264" s="2" t="s">
        <v>3057</v>
      </c>
      <c r="D264" s="2" t="s">
        <v>3058</v>
      </c>
      <c r="F264" s="3" t="s">
        <v>59</v>
      </c>
      <c r="G264" s="3" t="s">
        <v>60</v>
      </c>
      <c r="H264" s="3" t="s">
        <v>59</v>
      </c>
      <c r="I264" s="3" t="s">
        <v>59</v>
      </c>
      <c r="J264" s="3" t="s">
        <v>61</v>
      </c>
      <c r="K264" s="2" t="s">
        <v>3059</v>
      </c>
      <c r="L264" s="2" t="s">
        <v>3060</v>
      </c>
      <c r="M264" s="3" t="s">
        <v>656</v>
      </c>
      <c r="O264" s="3" t="s">
        <v>64</v>
      </c>
      <c r="P264" s="3" t="s">
        <v>467</v>
      </c>
      <c r="R264" s="3" t="s">
        <v>67</v>
      </c>
      <c r="S264" s="4">
        <v>2</v>
      </c>
      <c r="T264" s="4">
        <v>2</v>
      </c>
      <c r="U264" s="5" t="s">
        <v>3021</v>
      </c>
      <c r="V264" s="5" t="s">
        <v>3021</v>
      </c>
      <c r="W264" s="5" t="s">
        <v>2828</v>
      </c>
      <c r="X264" s="5" t="s">
        <v>2828</v>
      </c>
      <c r="Y264" s="4">
        <v>252</v>
      </c>
      <c r="Z264" s="4">
        <v>219</v>
      </c>
      <c r="AA264" s="4">
        <v>379</v>
      </c>
      <c r="AB264" s="4">
        <v>2</v>
      </c>
      <c r="AC264" s="4">
        <v>5</v>
      </c>
      <c r="AD264" s="4">
        <v>6</v>
      </c>
      <c r="AE264" s="4">
        <v>14</v>
      </c>
      <c r="AF264" s="4">
        <v>4</v>
      </c>
      <c r="AG264" s="4">
        <v>4</v>
      </c>
      <c r="AH264" s="4">
        <v>2</v>
      </c>
      <c r="AI264" s="4">
        <v>5</v>
      </c>
      <c r="AJ264" s="4">
        <v>1</v>
      </c>
      <c r="AK264" s="4">
        <v>4</v>
      </c>
      <c r="AL264" s="4">
        <v>0</v>
      </c>
      <c r="AM264" s="4">
        <v>3</v>
      </c>
      <c r="AN264" s="4">
        <v>0</v>
      </c>
      <c r="AO264" s="4">
        <v>0</v>
      </c>
      <c r="AP264" s="3" t="s">
        <v>59</v>
      </c>
      <c r="AQ264" s="3" t="s">
        <v>69</v>
      </c>
      <c r="AR264" s="6" t="str">
        <f>HYPERLINK("http://catalog.hathitrust.org/Record/001499426","HathiTrust Record")</f>
        <v>HathiTrust Record</v>
      </c>
      <c r="AS264" s="6" t="str">
        <f>HYPERLINK("https://creighton-primo.hosted.exlibrisgroup.com/primo-explore/search?tab=default_tab&amp;search_scope=EVERYTHING&amp;vid=01CRU&amp;lang=en_US&amp;offset=0&amp;query=any,contains,991003813179702656","Catalog Record")</f>
        <v>Catalog Record</v>
      </c>
      <c r="AT264" s="6" t="str">
        <f>HYPERLINK("http://www.worldcat.org/oclc/1542400","WorldCat Record")</f>
        <v>WorldCat Record</v>
      </c>
      <c r="AU264" s="3" t="s">
        <v>3061</v>
      </c>
      <c r="AV264" s="3" t="s">
        <v>3062</v>
      </c>
      <c r="AW264" s="3" t="s">
        <v>3063</v>
      </c>
      <c r="AX264" s="3" t="s">
        <v>3063</v>
      </c>
      <c r="AY264" s="3" t="s">
        <v>3064</v>
      </c>
      <c r="AZ264" s="3" t="s">
        <v>74</v>
      </c>
      <c r="BC264" s="3" t="s">
        <v>3065</v>
      </c>
      <c r="BD264" s="3" t="s">
        <v>3066</v>
      </c>
    </row>
    <row r="265" spans="1:56" ht="57.75" customHeight="1" x14ac:dyDescent="0.25">
      <c r="A265" s="7" t="s">
        <v>59</v>
      </c>
      <c r="B265" s="2" t="s">
        <v>3067</v>
      </c>
      <c r="C265" s="2" t="s">
        <v>3068</v>
      </c>
      <c r="D265" s="2" t="s">
        <v>3069</v>
      </c>
      <c r="F265" s="3" t="s">
        <v>59</v>
      </c>
      <c r="G265" s="3" t="s">
        <v>60</v>
      </c>
      <c r="H265" s="3" t="s">
        <v>59</v>
      </c>
      <c r="I265" s="3" t="s">
        <v>59</v>
      </c>
      <c r="J265" s="3" t="s">
        <v>61</v>
      </c>
      <c r="K265" s="2" t="s">
        <v>3070</v>
      </c>
      <c r="L265" s="2" t="s">
        <v>3071</v>
      </c>
      <c r="M265" s="3" t="s">
        <v>864</v>
      </c>
      <c r="O265" s="3" t="s">
        <v>64</v>
      </c>
      <c r="P265" s="3" t="s">
        <v>3072</v>
      </c>
      <c r="R265" s="3" t="s">
        <v>67</v>
      </c>
      <c r="S265" s="4">
        <v>5</v>
      </c>
      <c r="T265" s="4">
        <v>5</v>
      </c>
      <c r="U265" s="5" t="s">
        <v>1036</v>
      </c>
      <c r="V265" s="5" t="s">
        <v>1036</v>
      </c>
      <c r="W265" s="5" t="s">
        <v>2828</v>
      </c>
      <c r="X265" s="5" t="s">
        <v>2828</v>
      </c>
      <c r="Y265" s="4">
        <v>22</v>
      </c>
      <c r="Z265" s="4">
        <v>17</v>
      </c>
      <c r="AA265" s="4">
        <v>32</v>
      </c>
      <c r="AB265" s="4">
        <v>1</v>
      </c>
      <c r="AC265" s="4">
        <v>1</v>
      </c>
      <c r="AD265" s="4">
        <v>1</v>
      </c>
      <c r="AE265" s="4">
        <v>1</v>
      </c>
      <c r="AF265" s="4">
        <v>1</v>
      </c>
      <c r="AG265" s="4">
        <v>1</v>
      </c>
      <c r="AH265" s="4">
        <v>0</v>
      </c>
      <c r="AI265" s="4">
        <v>0</v>
      </c>
      <c r="AJ265" s="4">
        <v>0</v>
      </c>
      <c r="AK265" s="4">
        <v>0</v>
      </c>
      <c r="AL265" s="4">
        <v>0</v>
      </c>
      <c r="AM265" s="4">
        <v>0</v>
      </c>
      <c r="AN265" s="4">
        <v>0</v>
      </c>
      <c r="AO265" s="4">
        <v>0</v>
      </c>
      <c r="AP265" s="3" t="s">
        <v>59</v>
      </c>
      <c r="AQ265" s="3" t="s">
        <v>59</v>
      </c>
      <c r="AS265" s="6" t="str">
        <f>HYPERLINK("https://creighton-primo.hosted.exlibrisgroup.com/primo-explore/search?tab=default_tab&amp;search_scope=EVERYTHING&amp;vid=01CRU&amp;lang=en_US&amp;offset=0&amp;query=any,contains,991000338569702656","Catalog Record")</f>
        <v>Catalog Record</v>
      </c>
      <c r="AT265" s="6" t="str">
        <f>HYPERLINK("http://www.worldcat.org/oclc/70186","WorldCat Record")</f>
        <v>WorldCat Record</v>
      </c>
      <c r="AU265" s="3" t="s">
        <v>3073</v>
      </c>
      <c r="AV265" s="3" t="s">
        <v>3074</v>
      </c>
      <c r="AW265" s="3" t="s">
        <v>3075</v>
      </c>
      <c r="AX265" s="3" t="s">
        <v>3075</v>
      </c>
      <c r="AY265" s="3" t="s">
        <v>3076</v>
      </c>
      <c r="AZ265" s="3" t="s">
        <v>74</v>
      </c>
      <c r="BC265" s="3" t="s">
        <v>3077</v>
      </c>
      <c r="BD265" s="3" t="s">
        <v>3078</v>
      </c>
    </row>
    <row r="266" spans="1:56" ht="57.75" customHeight="1" x14ac:dyDescent="0.25">
      <c r="A266" s="7" t="s">
        <v>59</v>
      </c>
      <c r="B266" s="2" t="s">
        <v>3079</v>
      </c>
      <c r="C266" s="2" t="s">
        <v>3080</v>
      </c>
      <c r="D266" s="2" t="s">
        <v>3081</v>
      </c>
      <c r="F266" s="3" t="s">
        <v>59</v>
      </c>
      <c r="G266" s="3" t="s">
        <v>60</v>
      </c>
      <c r="H266" s="3" t="s">
        <v>59</v>
      </c>
      <c r="I266" s="3" t="s">
        <v>69</v>
      </c>
      <c r="J266" s="3" t="s">
        <v>61</v>
      </c>
      <c r="K266" s="2" t="s">
        <v>2886</v>
      </c>
      <c r="L266" s="2" t="s">
        <v>3082</v>
      </c>
      <c r="M266" s="3" t="s">
        <v>587</v>
      </c>
      <c r="O266" s="3" t="s">
        <v>64</v>
      </c>
      <c r="P266" s="3" t="s">
        <v>405</v>
      </c>
      <c r="R266" s="3" t="s">
        <v>67</v>
      </c>
      <c r="S266" s="4">
        <v>4</v>
      </c>
      <c r="T266" s="4">
        <v>4</v>
      </c>
      <c r="U266" s="5" t="s">
        <v>2925</v>
      </c>
      <c r="V266" s="5" t="s">
        <v>2925</v>
      </c>
      <c r="W266" s="5" t="s">
        <v>3083</v>
      </c>
      <c r="X266" s="5" t="s">
        <v>3083</v>
      </c>
      <c r="Y266" s="4">
        <v>643</v>
      </c>
      <c r="Z266" s="4">
        <v>485</v>
      </c>
      <c r="AA266" s="4">
        <v>711</v>
      </c>
      <c r="AB266" s="4">
        <v>2</v>
      </c>
      <c r="AC266" s="4">
        <v>2</v>
      </c>
      <c r="AD266" s="4">
        <v>18</v>
      </c>
      <c r="AE266" s="4">
        <v>23</v>
      </c>
      <c r="AF266" s="4">
        <v>7</v>
      </c>
      <c r="AG266" s="4">
        <v>11</v>
      </c>
      <c r="AH266" s="4">
        <v>4</v>
      </c>
      <c r="AI266" s="4">
        <v>4</v>
      </c>
      <c r="AJ266" s="4">
        <v>11</v>
      </c>
      <c r="AK266" s="4">
        <v>15</v>
      </c>
      <c r="AL266" s="4">
        <v>1</v>
      </c>
      <c r="AM266" s="4">
        <v>1</v>
      </c>
      <c r="AN266" s="4">
        <v>0</v>
      </c>
      <c r="AO266" s="4">
        <v>0</v>
      </c>
      <c r="AP266" s="3" t="s">
        <v>59</v>
      </c>
      <c r="AQ266" s="3" t="s">
        <v>69</v>
      </c>
      <c r="AR266" s="6" t="str">
        <f>HYPERLINK("http://catalog.hathitrust.org/Record/004413668","HathiTrust Record")</f>
        <v>HathiTrust Record</v>
      </c>
      <c r="AS266" s="6" t="str">
        <f>HYPERLINK("https://creighton-primo.hosted.exlibrisgroup.com/primo-explore/search?tab=default_tab&amp;search_scope=EVERYTHING&amp;vid=01CRU&amp;lang=en_US&amp;offset=0&amp;query=any,contains,991003042349702656","Catalog Record")</f>
        <v>Catalog Record</v>
      </c>
      <c r="AT266" s="6" t="str">
        <f>HYPERLINK("http://www.worldcat.org/oclc/603537","WorldCat Record")</f>
        <v>WorldCat Record</v>
      </c>
      <c r="AU266" s="3" t="s">
        <v>2888</v>
      </c>
      <c r="AV266" s="3" t="s">
        <v>3084</v>
      </c>
      <c r="AW266" s="3" t="s">
        <v>3085</v>
      </c>
      <c r="AX266" s="3" t="s">
        <v>3085</v>
      </c>
      <c r="AY266" s="3" t="s">
        <v>3086</v>
      </c>
      <c r="AZ266" s="3" t="s">
        <v>74</v>
      </c>
      <c r="BB266" s="3" t="s">
        <v>3087</v>
      </c>
      <c r="BC266" s="3" t="s">
        <v>3088</v>
      </c>
      <c r="BD266" s="3" t="s">
        <v>3089</v>
      </c>
    </row>
    <row r="267" spans="1:56" ht="57.75" customHeight="1" x14ac:dyDescent="0.25">
      <c r="A267" s="7" t="s">
        <v>59</v>
      </c>
      <c r="B267" s="2" t="s">
        <v>3090</v>
      </c>
      <c r="C267" s="2" t="s">
        <v>3091</v>
      </c>
      <c r="D267" s="2" t="s">
        <v>3092</v>
      </c>
      <c r="E267" s="3" t="s">
        <v>917</v>
      </c>
      <c r="F267" s="3" t="s">
        <v>59</v>
      </c>
      <c r="G267" s="3" t="s">
        <v>60</v>
      </c>
      <c r="H267" s="3" t="s">
        <v>59</v>
      </c>
      <c r="I267" s="3" t="s">
        <v>59</v>
      </c>
      <c r="J267" s="3" t="s">
        <v>61</v>
      </c>
      <c r="K267" s="2" t="s">
        <v>3093</v>
      </c>
      <c r="L267" s="2" t="s">
        <v>3094</v>
      </c>
      <c r="M267" s="3" t="s">
        <v>3095</v>
      </c>
      <c r="O267" s="3" t="s">
        <v>64</v>
      </c>
      <c r="P267" s="3" t="s">
        <v>1078</v>
      </c>
      <c r="R267" s="3" t="s">
        <v>67</v>
      </c>
      <c r="S267" s="4">
        <v>7</v>
      </c>
      <c r="T267" s="4">
        <v>7</v>
      </c>
      <c r="U267" s="5" t="s">
        <v>3096</v>
      </c>
      <c r="V267" s="5" t="s">
        <v>3096</v>
      </c>
      <c r="W267" s="5" t="s">
        <v>1199</v>
      </c>
      <c r="X267" s="5" t="s">
        <v>1199</v>
      </c>
      <c r="Y267" s="4">
        <v>40</v>
      </c>
      <c r="Z267" s="4">
        <v>40</v>
      </c>
      <c r="AA267" s="4">
        <v>42</v>
      </c>
      <c r="AB267" s="4">
        <v>1</v>
      </c>
      <c r="AC267" s="4">
        <v>1</v>
      </c>
      <c r="AD267" s="4">
        <v>0</v>
      </c>
      <c r="AE267" s="4">
        <v>0</v>
      </c>
      <c r="AF267" s="4">
        <v>0</v>
      </c>
      <c r="AG267" s="4">
        <v>0</v>
      </c>
      <c r="AH267" s="4">
        <v>0</v>
      </c>
      <c r="AI267" s="4">
        <v>0</v>
      </c>
      <c r="AJ267" s="4">
        <v>0</v>
      </c>
      <c r="AK267" s="4">
        <v>0</v>
      </c>
      <c r="AL267" s="4">
        <v>0</v>
      </c>
      <c r="AM267" s="4">
        <v>0</v>
      </c>
      <c r="AN267" s="4">
        <v>0</v>
      </c>
      <c r="AO267" s="4">
        <v>0</v>
      </c>
      <c r="AP267" s="3" t="s">
        <v>59</v>
      </c>
      <c r="AQ267" s="3" t="s">
        <v>69</v>
      </c>
      <c r="AR267" s="6" t="str">
        <f>HYPERLINK("http://catalog.hathitrust.org/Record/008706755","HathiTrust Record")</f>
        <v>HathiTrust Record</v>
      </c>
      <c r="AS267" s="6" t="str">
        <f>HYPERLINK("https://creighton-primo.hosted.exlibrisgroup.com/primo-explore/search?tab=default_tab&amp;search_scope=EVERYTHING&amp;vid=01CRU&amp;lang=en_US&amp;offset=0&amp;query=any,contains,991003943359702656","Catalog Record")</f>
        <v>Catalog Record</v>
      </c>
      <c r="AT267" s="6" t="str">
        <f>HYPERLINK("http://www.worldcat.org/oclc/1938717","WorldCat Record")</f>
        <v>WorldCat Record</v>
      </c>
      <c r="AU267" s="3" t="s">
        <v>3097</v>
      </c>
      <c r="AV267" s="3" t="s">
        <v>3098</v>
      </c>
      <c r="AW267" s="3" t="s">
        <v>3099</v>
      </c>
      <c r="AX267" s="3" t="s">
        <v>3099</v>
      </c>
      <c r="AY267" s="3" t="s">
        <v>3100</v>
      </c>
      <c r="AZ267" s="3" t="s">
        <v>74</v>
      </c>
      <c r="BC267" s="3" t="s">
        <v>3101</v>
      </c>
      <c r="BD267" s="3" t="s">
        <v>3102</v>
      </c>
    </row>
    <row r="268" spans="1:56" ht="57.75" customHeight="1" x14ac:dyDescent="0.25">
      <c r="A268" s="7" t="s">
        <v>59</v>
      </c>
      <c r="B268" s="2" t="s">
        <v>3103</v>
      </c>
      <c r="C268" s="2" t="s">
        <v>3104</v>
      </c>
      <c r="D268" s="2" t="s">
        <v>3105</v>
      </c>
      <c r="F268" s="3" t="s">
        <v>59</v>
      </c>
      <c r="G268" s="3" t="s">
        <v>60</v>
      </c>
      <c r="H268" s="3" t="s">
        <v>59</v>
      </c>
      <c r="I268" s="3" t="s">
        <v>59</v>
      </c>
      <c r="J268" s="3" t="s">
        <v>61</v>
      </c>
      <c r="K268" s="2" t="s">
        <v>3106</v>
      </c>
      <c r="L268" s="2" t="s">
        <v>2775</v>
      </c>
      <c r="M268" s="3" t="s">
        <v>1852</v>
      </c>
      <c r="O268" s="3" t="s">
        <v>64</v>
      </c>
      <c r="P268" s="3" t="s">
        <v>467</v>
      </c>
      <c r="Q268" s="2" t="s">
        <v>3107</v>
      </c>
      <c r="R268" s="3" t="s">
        <v>67</v>
      </c>
      <c r="S268" s="4">
        <v>1</v>
      </c>
      <c r="T268" s="4">
        <v>1</v>
      </c>
      <c r="U268" s="5" t="s">
        <v>2925</v>
      </c>
      <c r="V268" s="5" t="s">
        <v>2925</v>
      </c>
      <c r="W268" s="5" t="s">
        <v>3108</v>
      </c>
      <c r="X268" s="5" t="s">
        <v>3108</v>
      </c>
      <c r="Y268" s="4">
        <v>599</v>
      </c>
      <c r="Z268" s="4">
        <v>559</v>
      </c>
      <c r="AA268" s="4">
        <v>676</v>
      </c>
      <c r="AB268" s="4">
        <v>5</v>
      </c>
      <c r="AC268" s="4">
        <v>5</v>
      </c>
      <c r="AD268" s="4">
        <v>25</v>
      </c>
      <c r="AE268" s="4">
        <v>29</v>
      </c>
      <c r="AF268" s="4">
        <v>10</v>
      </c>
      <c r="AG268" s="4">
        <v>13</v>
      </c>
      <c r="AH268" s="4">
        <v>5</v>
      </c>
      <c r="AI268" s="4">
        <v>6</v>
      </c>
      <c r="AJ268" s="4">
        <v>14</v>
      </c>
      <c r="AK268" s="4">
        <v>14</v>
      </c>
      <c r="AL268" s="4">
        <v>3</v>
      </c>
      <c r="AM268" s="4">
        <v>3</v>
      </c>
      <c r="AN268" s="4">
        <v>0</v>
      </c>
      <c r="AO268" s="4">
        <v>0</v>
      </c>
      <c r="AP268" s="3" t="s">
        <v>59</v>
      </c>
      <c r="AQ268" s="3" t="s">
        <v>69</v>
      </c>
      <c r="AR268" s="6" t="str">
        <f>HYPERLINK("http://catalog.hathitrust.org/Record/001657132","HathiTrust Record")</f>
        <v>HathiTrust Record</v>
      </c>
      <c r="AS268" s="6" t="str">
        <f>HYPERLINK("https://creighton-primo.hosted.exlibrisgroup.com/primo-explore/search?tab=default_tab&amp;search_scope=EVERYTHING&amp;vid=01CRU&amp;lang=en_US&amp;offset=0&amp;query=any,contains,991002987099702656","Catalog Record")</f>
        <v>Catalog Record</v>
      </c>
      <c r="AT268" s="6" t="str">
        <f>HYPERLINK("http://www.worldcat.org/oclc/558131","WorldCat Record")</f>
        <v>WorldCat Record</v>
      </c>
      <c r="AU268" s="3" t="s">
        <v>3109</v>
      </c>
      <c r="AV268" s="3" t="s">
        <v>3110</v>
      </c>
      <c r="AW268" s="3" t="s">
        <v>3111</v>
      </c>
      <c r="AX268" s="3" t="s">
        <v>3111</v>
      </c>
      <c r="AY268" s="3" t="s">
        <v>3112</v>
      </c>
      <c r="AZ268" s="3" t="s">
        <v>74</v>
      </c>
      <c r="BC268" s="3" t="s">
        <v>3113</v>
      </c>
      <c r="BD268" s="3" t="s">
        <v>3114</v>
      </c>
    </row>
    <row r="269" spans="1:56" ht="57.75" customHeight="1" x14ac:dyDescent="0.25">
      <c r="A269" s="7" t="s">
        <v>59</v>
      </c>
      <c r="B269" s="2" t="s">
        <v>3115</v>
      </c>
      <c r="C269" s="2" t="s">
        <v>3116</v>
      </c>
      <c r="D269" s="2" t="s">
        <v>3117</v>
      </c>
      <c r="F269" s="3" t="s">
        <v>59</v>
      </c>
      <c r="G269" s="3" t="s">
        <v>60</v>
      </c>
      <c r="H269" s="3" t="s">
        <v>59</v>
      </c>
      <c r="I269" s="3" t="s">
        <v>59</v>
      </c>
      <c r="J269" s="3" t="s">
        <v>61</v>
      </c>
      <c r="K269" s="2" t="s">
        <v>3118</v>
      </c>
      <c r="L269" s="2" t="s">
        <v>3119</v>
      </c>
      <c r="M269" s="3" t="s">
        <v>1701</v>
      </c>
      <c r="O269" s="3" t="s">
        <v>64</v>
      </c>
      <c r="P269" s="3" t="s">
        <v>932</v>
      </c>
      <c r="Q269" s="2" t="s">
        <v>3120</v>
      </c>
      <c r="R269" s="3" t="s">
        <v>67</v>
      </c>
      <c r="S269" s="4">
        <v>4</v>
      </c>
      <c r="T269" s="4">
        <v>4</v>
      </c>
      <c r="U269" s="5" t="s">
        <v>2925</v>
      </c>
      <c r="V269" s="5" t="s">
        <v>2925</v>
      </c>
      <c r="W269" s="5" t="s">
        <v>1199</v>
      </c>
      <c r="X269" s="5" t="s">
        <v>1199</v>
      </c>
      <c r="Y269" s="4">
        <v>182</v>
      </c>
      <c r="Z269" s="4">
        <v>119</v>
      </c>
      <c r="AA269" s="4">
        <v>144</v>
      </c>
      <c r="AB269" s="4">
        <v>3</v>
      </c>
      <c r="AC269" s="4">
        <v>3</v>
      </c>
      <c r="AD269" s="4">
        <v>3</v>
      </c>
      <c r="AE269" s="4">
        <v>3</v>
      </c>
      <c r="AF269" s="4">
        <v>1</v>
      </c>
      <c r="AG269" s="4">
        <v>1</v>
      </c>
      <c r="AH269" s="4">
        <v>0</v>
      </c>
      <c r="AI269" s="4">
        <v>0</v>
      </c>
      <c r="AJ269" s="4">
        <v>1</v>
      </c>
      <c r="AK269" s="4">
        <v>1</v>
      </c>
      <c r="AL269" s="4">
        <v>2</v>
      </c>
      <c r="AM269" s="4">
        <v>2</v>
      </c>
      <c r="AN269" s="4">
        <v>0</v>
      </c>
      <c r="AO269" s="4">
        <v>0</v>
      </c>
      <c r="AP269" s="3" t="s">
        <v>59</v>
      </c>
      <c r="AQ269" s="3" t="s">
        <v>69</v>
      </c>
      <c r="AR269" s="6" t="str">
        <f>HYPERLINK("http://catalog.hathitrust.org/Record/000294568","HathiTrust Record")</f>
        <v>HathiTrust Record</v>
      </c>
      <c r="AS269" s="6" t="str">
        <f>HYPERLINK("https://creighton-primo.hosted.exlibrisgroup.com/primo-explore/search?tab=default_tab&amp;search_scope=EVERYTHING&amp;vid=01CRU&amp;lang=en_US&amp;offset=0&amp;query=any,contains,991004372789702656","Catalog Record")</f>
        <v>Catalog Record</v>
      </c>
      <c r="AT269" s="6" t="str">
        <f>HYPERLINK("http://www.worldcat.org/oclc/7575050","WorldCat Record")</f>
        <v>WorldCat Record</v>
      </c>
      <c r="AU269" s="3" t="s">
        <v>3121</v>
      </c>
      <c r="AV269" s="3" t="s">
        <v>3122</v>
      </c>
      <c r="AW269" s="3" t="s">
        <v>3123</v>
      </c>
      <c r="AX269" s="3" t="s">
        <v>3123</v>
      </c>
      <c r="AY269" s="3" t="s">
        <v>3124</v>
      </c>
      <c r="AZ269" s="3" t="s">
        <v>74</v>
      </c>
      <c r="BC269" s="3" t="s">
        <v>3125</v>
      </c>
      <c r="BD269" s="3" t="s">
        <v>3126</v>
      </c>
    </row>
    <row r="270" spans="1:56" ht="57.75" customHeight="1" x14ac:dyDescent="0.25">
      <c r="A270" s="7" t="s">
        <v>59</v>
      </c>
      <c r="B270" s="2" t="s">
        <v>3127</v>
      </c>
      <c r="C270" s="2" t="s">
        <v>3128</v>
      </c>
      <c r="D270" s="2" t="s">
        <v>3129</v>
      </c>
      <c r="F270" s="3" t="s">
        <v>59</v>
      </c>
      <c r="G270" s="3" t="s">
        <v>60</v>
      </c>
      <c r="H270" s="3" t="s">
        <v>59</v>
      </c>
      <c r="I270" s="3" t="s">
        <v>59</v>
      </c>
      <c r="J270" s="3" t="s">
        <v>61</v>
      </c>
      <c r="L270" s="2" t="s">
        <v>3032</v>
      </c>
      <c r="M270" s="3" t="s">
        <v>617</v>
      </c>
      <c r="O270" s="3" t="s">
        <v>64</v>
      </c>
      <c r="P270" s="3" t="s">
        <v>467</v>
      </c>
      <c r="R270" s="3" t="s">
        <v>67</v>
      </c>
      <c r="S270" s="4">
        <v>3</v>
      </c>
      <c r="T270" s="4">
        <v>3</v>
      </c>
      <c r="U270" s="5" t="s">
        <v>3130</v>
      </c>
      <c r="V270" s="5" t="s">
        <v>3130</v>
      </c>
      <c r="W270" s="5" t="s">
        <v>1199</v>
      </c>
      <c r="X270" s="5" t="s">
        <v>1199</v>
      </c>
      <c r="Y270" s="4">
        <v>255</v>
      </c>
      <c r="Z270" s="4">
        <v>178</v>
      </c>
      <c r="AA270" s="4">
        <v>216</v>
      </c>
      <c r="AB270" s="4">
        <v>4</v>
      </c>
      <c r="AC270" s="4">
        <v>4</v>
      </c>
      <c r="AD270" s="4">
        <v>9</v>
      </c>
      <c r="AE270" s="4">
        <v>11</v>
      </c>
      <c r="AF270" s="4">
        <v>2</v>
      </c>
      <c r="AG270" s="4">
        <v>3</v>
      </c>
      <c r="AH270" s="4">
        <v>3</v>
      </c>
      <c r="AI270" s="4">
        <v>5</v>
      </c>
      <c r="AJ270" s="4">
        <v>3</v>
      </c>
      <c r="AK270" s="4">
        <v>3</v>
      </c>
      <c r="AL270" s="4">
        <v>3</v>
      </c>
      <c r="AM270" s="4">
        <v>3</v>
      </c>
      <c r="AN270" s="4">
        <v>0</v>
      </c>
      <c r="AO270" s="4">
        <v>0</v>
      </c>
      <c r="AP270" s="3" t="s">
        <v>59</v>
      </c>
      <c r="AQ270" s="3" t="s">
        <v>69</v>
      </c>
      <c r="AR270" s="6" t="str">
        <f>HYPERLINK("http://catalog.hathitrust.org/Record/000147320","HathiTrust Record")</f>
        <v>HathiTrust Record</v>
      </c>
      <c r="AS270" s="6" t="str">
        <f>HYPERLINK("https://creighton-primo.hosted.exlibrisgroup.com/primo-explore/search?tab=default_tab&amp;search_scope=EVERYTHING&amp;vid=01CRU&amp;lang=en_US&amp;offset=0&amp;query=any,contains,991005058309702656","Catalog Record")</f>
        <v>Catalog Record</v>
      </c>
      <c r="AT270" s="6" t="str">
        <f>HYPERLINK("http://www.worldcat.org/oclc/6914997","WorldCat Record")</f>
        <v>WorldCat Record</v>
      </c>
      <c r="AU270" s="3" t="s">
        <v>3131</v>
      </c>
      <c r="AV270" s="3" t="s">
        <v>3132</v>
      </c>
      <c r="AW270" s="3" t="s">
        <v>3133</v>
      </c>
      <c r="AX270" s="3" t="s">
        <v>3133</v>
      </c>
      <c r="AY270" s="3" t="s">
        <v>3134</v>
      </c>
      <c r="AZ270" s="3" t="s">
        <v>74</v>
      </c>
      <c r="BB270" s="3" t="s">
        <v>3135</v>
      </c>
      <c r="BC270" s="3" t="s">
        <v>3136</v>
      </c>
      <c r="BD270" s="3" t="s">
        <v>3137</v>
      </c>
    </row>
    <row r="271" spans="1:56" ht="57.75" customHeight="1" x14ac:dyDescent="0.25">
      <c r="A271" s="7" t="s">
        <v>59</v>
      </c>
      <c r="B271" s="2" t="s">
        <v>3138</v>
      </c>
      <c r="C271" s="2" t="s">
        <v>3139</v>
      </c>
      <c r="D271" s="2" t="s">
        <v>3140</v>
      </c>
      <c r="F271" s="3" t="s">
        <v>59</v>
      </c>
      <c r="G271" s="3" t="s">
        <v>60</v>
      </c>
      <c r="H271" s="3" t="s">
        <v>59</v>
      </c>
      <c r="I271" s="3" t="s">
        <v>59</v>
      </c>
      <c r="J271" s="3" t="s">
        <v>61</v>
      </c>
      <c r="L271" s="2" t="s">
        <v>3141</v>
      </c>
      <c r="M271" s="3" t="s">
        <v>420</v>
      </c>
      <c r="O271" s="3" t="s">
        <v>64</v>
      </c>
      <c r="P271" s="3" t="s">
        <v>467</v>
      </c>
      <c r="Q271" s="2" t="s">
        <v>3142</v>
      </c>
      <c r="R271" s="3" t="s">
        <v>67</v>
      </c>
      <c r="S271" s="4">
        <v>2</v>
      </c>
      <c r="T271" s="4">
        <v>2</v>
      </c>
      <c r="U271" s="5" t="s">
        <v>3143</v>
      </c>
      <c r="V271" s="5" t="s">
        <v>3143</v>
      </c>
      <c r="W271" s="5" t="s">
        <v>2828</v>
      </c>
      <c r="X271" s="5" t="s">
        <v>2828</v>
      </c>
      <c r="Y271" s="4">
        <v>449</v>
      </c>
      <c r="Z271" s="4">
        <v>350</v>
      </c>
      <c r="AA271" s="4">
        <v>357</v>
      </c>
      <c r="AB271" s="4">
        <v>4</v>
      </c>
      <c r="AC271" s="4">
        <v>4</v>
      </c>
      <c r="AD271" s="4">
        <v>19</v>
      </c>
      <c r="AE271" s="4">
        <v>19</v>
      </c>
      <c r="AF271" s="4">
        <v>7</v>
      </c>
      <c r="AG271" s="4">
        <v>7</v>
      </c>
      <c r="AH271" s="4">
        <v>6</v>
      </c>
      <c r="AI271" s="4">
        <v>6</v>
      </c>
      <c r="AJ271" s="4">
        <v>9</v>
      </c>
      <c r="AK271" s="4">
        <v>9</v>
      </c>
      <c r="AL271" s="4">
        <v>3</v>
      </c>
      <c r="AM271" s="4">
        <v>3</v>
      </c>
      <c r="AN271" s="4">
        <v>0</v>
      </c>
      <c r="AO271" s="4">
        <v>0</v>
      </c>
      <c r="AP271" s="3" t="s">
        <v>59</v>
      </c>
      <c r="AQ271" s="3" t="s">
        <v>69</v>
      </c>
      <c r="AR271" s="6" t="str">
        <f>HYPERLINK("http://catalog.hathitrust.org/Record/001499434","HathiTrust Record")</f>
        <v>HathiTrust Record</v>
      </c>
      <c r="AS271" s="6" t="str">
        <f>HYPERLINK("https://creighton-primo.hosted.exlibrisgroup.com/primo-explore/search?tab=default_tab&amp;search_scope=EVERYTHING&amp;vid=01CRU&amp;lang=en_US&amp;offset=0&amp;query=any,contains,991003160049702656","Catalog Record")</f>
        <v>Catalog Record</v>
      </c>
      <c r="AT271" s="6" t="str">
        <f>HYPERLINK("http://www.worldcat.org/oclc/698756","WorldCat Record")</f>
        <v>WorldCat Record</v>
      </c>
      <c r="AU271" s="3" t="s">
        <v>3144</v>
      </c>
      <c r="AV271" s="3" t="s">
        <v>3145</v>
      </c>
      <c r="AW271" s="3" t="s">
        <v>3146</v>
      </c>
      <c r="AX271" s="3" t="s">
        <v>3146</v>
      </c>
      <c r="AY271" s="3" t="s">
        <v>3147</v>
      </c>
      <c r="AZ271" s="3" t="s">
        <v>74</v>
      </c>
      <c r="BB271" s="3" t="s">
        <v>3148</v>
      </c>
      <c r="BC271" s="3" t="s">
        <v>3149</v>
      </c>
      <c r="BD271" s="3" t="s">
        <v>3150</v>
      </c>
    </row>
    <row r="272" spans="1:56" ht="57.75" customHeight="1" x14ac:dyDescent="0.25">
      <c r="A272" s="7" t="s">
        <v>59</v>
      </c>
      <c r="B272" s="2" t="s">
        <v>3151</v>
      </c>
      <c r="C272" s="2" t="s">
        <v>3152</v>
      </c>
      <c r="D272" s="2" t="s">
        <v>3153</v>
      </c>
      <c r="F272" s="3" t="s">
        <v>59</v>
      </c>
      <c r="G272" s="3" t="s">
        <v>60</v>
      </c>
      <c r="H272" s="3" t="s">
        <v>59</v>
      </c>
      <c r="I272" s="3" t="s">
        <v>59</v>
      </c>
      <c r="J272" s="3" t="s">
        <v>61</v>
      </c>
      <c r="K272" s="2" t="s">
        <v>3154</v>
      </c>
      <c r="L272" s="2" t="s">
        <v>3155</v>
      </c>
      <c r="M272" s="3" t="s">
        <v>1595</v>
      </c>
      <c r="O272" s="3" t="s">
        <v>64</v>
      </c>
      <c r="P272" s="3" t="s">
        <v>145</v>
      </c>
      <c r="Q272" s="2" t="s">
        <v>3156</v>
      </c>
      <c r="R272" s="3" t="s">
        <v>67</v>
      </c>
      <c r="S272" s="4">
        <v>1</v>
      </c>
      <c r="T272" s="4">
        <v>1</v>
      </c>
      <c r="U272" s="5" t="s">
        <v>2060</v>
      </c>
      <c r="V272" s="5" t="s">
        <v>2060</v>
      </c>
      <c r="W272" s="5" t="s">
        <v>2828</v>
      </c>
      <c r="X272" s="5" t="s">
        <v>2828</v>
      </c>
      <c r="Y272" s="4">
        <v>303</v>
      </c>
      <c r="Z272" s="4">
        <v>252</v>
      </c>
      <c r="AA272" s="4">
        <v>275</v>
      </c>
      <c r="AB272" s="4">
        <v>3</v>
      </c>
      <c r="AC272" s="4">
        <v>3</v>
      </c>
      <c r="AD272" s="4">
        <v>10</v>
      </c>
      <c r="AE272" s="4">
        <v>10</v>
      </c>
      <c r="AF272" s="4">
        <v>3</v>
      </c>
      <c r="AG272" s="4">
        <v>3</v>
      </c>
      <c r="AH272" s="4">
        <v>2</v>
      </c>
      <c r="AI272" s="4">
        <v>2</v>
      </c>
      <c r="AJ272" s="4">
        <v>4</v>
      </c>
      <c r="AK272" s="4">
        <v>4</v>
      </c>
      <c r="AL272" s="4">
        <v>2</v>
      </c>
      <c r="AM272" s="4">
        <v>2</v>
      </c>
      <c r="AN272" s="4">
        <v>0</v>
      </c>
      <c r="AO272" s="4">
        <v>0</v>
      </c>
      <c r="AP272" s="3" t="s">
        <v>59</v>
      </c>
      <c r="AQ272" s="3" t="s">
        <v>69</v>
      </c>
      <c r="AR272" s="6" t="str">
        <f>HYPERLINK("http://catalog.hathitrust.org/Record/001499462","HathiTrust Record")</f>
        <v>HathiTrust Record</v>
      </c>
      <c r="AS272" s="6" t="str">
        <f>HYPERLINK("https://creighton-primo.hosted.exlibrisgroup.com/primo-explore/search?tab=default_tab&amp;search_scope=EVERYTHING&amp;vid=01CRU&amp;lang=en_US&amp;offset=0&amp;query=any,contains,991000965709702656","Catalog Record")</f>
        <v>Catalog Record</v>
      </c>
      <c r="AT272" s="6" t="str">
        <f>HYPERLINK("http://www.worldcat.org/oclc/170246","WorldCat Record")</f>
        <v>WorldCat Record</v>
      </c>
      <c r="AU272" s="3" t="s">
        <v>3157</v>
      </c>
      <c r="AV272" s="3" t="s">
        <v>3158</v>
      </c>
      <c r="AW272" s="3" t="s">
        <v>3159</v>
      </c>
      <c r="AX272" s="3" t="s">
        <v>3159</v>
      </c>
      <c r="AY272" s="3" t="s">
        <v>3160</v>
      </c>
      <c r="AZ272" s="3" t="s">
        <v>74</v>
      </c>
      <c r="BC272" s="3" t="s">
        <v>3161</v>
      </c>
      <c r="BD272" s="3" t="s">
        <v>3162</v>
      </c>
    </row>
    <row r="273" spans="1:56" ht="57.75" customHeight="1" x14ac:dyDescent="0.25">
      <c r="A273" s="7" t="s">
        <v>59</v>
      </c>
      <c r="B273" s="2" t="s">
        <v>3163</v>
      </c>
      <c r="C273" s="2" t="s">
        <v>3164</v>
      </c>
      <c r="D273" s="2" t="s">
        <v>3165</v>
      </c>
      <c r="F273" s="3" t="s">
        <v>59</v>
      </c>
      <c r="G273" s="3" t="s">
        <v>60</v>
      </c>
      <c r="H273" s="3" t="s">
        <v>59</v>
      </c>
      <c r="I273" s="3" t="s">
        <v>59</v>
      </c>
      <c r="J273" s="3" t="s">
        <v>61</v>
      </c>
      <c r="K273" s="2" t="s">
        <v>3166</v>
      </c>
      <c r="L273" s="2" t="s">
        <v>3167</v>
      </c>
      <c r="M273" s="3" t="s">
        <v>571</v>
      </c>
      <c r="N273" s="2" t="s">
        <v>1596</v>
      </c>
      <c r="O273" s="3" t="s">
        <v>64</v>
      </c>
      <c r="P273" s="3" t="s">
        <v>405</v>
      </c>
      <c r="Q273" s="2" t="s">
        <v>3168</v>
      </c>
      <c r="R273" s="3" t="s">
        <v>67</v>
      </c>
      <c r="S273" s="4">
        <v>2</v>
      </c>
      <c r="T273" s="4">
        <v>2</v>
      </c>
      <c r="U273" s="5" t="s">
        <v>1582</v>
      </c>
      <c r="V273" s="5" t="s">
        <v>1582</v>
      </c>
      <c r="W273" s="5" t="s">
        <v>2828</v>
      </c>
      <c r="X273" s="5" t="s">
        <v>2828</v>
      </c>
      <c r="Y273" s="4">
        <v>340</v>
      </c>
      <c r="Z273" s="4">
        <v>245</v>
      </c>
      <c r="AA273" s="4">
        <v>294</v>
      </c>
      <c r="AB273" s="4">
        <v>2</v>
      </c>
      <c r="AC273" s="4">
        <v>3</v>
      </c>
      <c r="AD273" s="4">
        <v>6</v>
      </c>
      <c r="AE273" s="4">
        <v>9</v>
      </c>
      <c r="AF273" s="4">
        <v>3</v>
      </c>
      <c r="AG273" s="4">
        <v>3</v>
      </c>
      <c r="AH273" s="4">
        <v>3</v>
      </c>
      <c r="AI273" s="4">
        <v>5</v>
      </c>
      <c r="AJ273" s="4">
        <v>1</v>
      </c>
      <c r="AK273" s="4">
        <v>2</v>
      </c>
      <c r="AL273" s="4">
        <v>1</v>
      </c>
      <c r="AM273" s="4">
        <v>2</v>
      </c>
      <c r="AN273" s="4">
        <v>0</v>
      </c>
      <c r="AO273" s="4">
        <v>0</v>
      </c>
      <c r="AP273" s="3" t="s">
        <v>59</v>
      </c>
      <c r="AQ273" s="3" t="s">
        <v>69</v>
      </c>
      <c r="AR273" s="6" t="str">
        <f>HYPERLINK("http://catalog.hathitrust.org/Record/001499475","HathiTrust Record")</f>
        <v>HathiTrust Record</v>
      </c>
      <c r="AS273" s="6" t="str">
        <f>HYPERLINK("https://creighton-primo.hosted.exlibrisgroup.com/primo-explore/search?tab=default_tab&amp;search_scope=EVERYTHING&amp;vid=01CRU&amp;lang=en_US&amp;offset=0&amp;query=any,contains,991000714479702656","Catalog Record")</f>
        <v>Catalog Record</v>
      </c>
      <c r="AT273" s="6" t="str">
        <f>HYPERLINK("http://www.worldcat.org/oclc/12613901","WorldCat Record")</f>
        <v>WorldCat Record</v>
      </c>
      <c r="AU273" s="3" t="s">
        <v>3169</v>
      </c>
      <c r="AV273" s="3" t="s">
        <v>3170</v>
      </c>
      <c r="AW273" s="3" t="s">
        <v>3171</v>
      </c>
      <c r="AX273" s="3" t="s">
        <v>3171</v>
      </c>
      <c r="AY273" s="3" t="s">
        <v>3172</v>
      </c>
      <c r="AZ273" s="3" t="s">
        <v>74</v>
      </c>
      <c r="BC273" s="3" t="s">
        <v>3173</v>
      </c>
      <c r="BD273" s="3" t="s">
        <v>3174</v>
      </c>
    </row>
    <row r="274" spans="1:56" ht="57.75" customHeight="1" x14ac:dyDescent="0.25">
      <c r="A274" s="7" t="s">
        <v>59</v>
      </c>
      <c r="B274" s="2" t="s">
        <v>3175</v>
      </c>
      <c r="C274" s="2" t="s">
        <v>3176</v>
      </c>
      <c r="D274" s="2" t="s">
        <v>3177</v>
      </c>
      <c r="F274" s="3" t="s">
        <v>59</v>
      </c>
      <c r="G274" s="3" t="s">
        <v>60</v>
      </c>
      <c r="H274" s="3" t="s">
        <v>59</v>
      </c>
      <c r="I274" s="3" t="s">
        <v>59</v>
      </c>
      <c r="J274" s="3" t="s">
        <v>61</v>
      </c>
      <c r="K274" s="2" t="s">
        <v>3178</v>
      </c>
      <c r="L274" s="2" t="s">
        <v>3179</v>
      </c>
      <c r="M274" s="3" t="s">
        <v>2139</v>
      </c>
      <c r="O274" s="3" t="s">
        <v>64</v>
      </c>
      <c r="P274" s="3" t="s">
        <v>2074</v>
      </c>
      <c r="Q274" s="2" t="s">
        <v>3180</v>
      </c>
      <c r="R274" s="3" t="s">
        <v>67</v>
      </c>
      <c r="S274" s="4">
        <v>2</v>
      </c>
      <c r="T274" s="4">
        <v>2</v>
      </c>
      <c r="U274" s="5" t="s">
        <v>3181</v>
      </c>
      <c r="V274" s="5" t="s">
        <v>3181</v>
      </c>
      <c r="W274" s="5" t="s">
        <v>1199</v>
      </c>
      <c r="X274" s="5" t="s">
        <v>1199</v>
      </c>
      <c r="Y274" s="4">
        <v>166</v>
      </c>
      <c r="Z274" s="4">
        <v>120</v>
      </c>
      <c r="AA274" s="4">
        <v>121</v>
      </c>
      <c r="AB274" s="4">
        <v>2</v>
      </c>
      <c r="AC274" s="4">
        <v>2</v>
      </c>
      <c r="AD274" s="4">
        <v>6</v>
      </c>
      <c r="AE274" s="4">
        <v>6</v>
      </c>
      <c r="AF274" s="4">
        <v>1</v>
      </c>
      <c r="AG274" s="4">
        <v>1</v>
      </c>
      <c r="AH274" s="4">
        <v>0</v>
      </c>
      <c r="AI274" s="4">
        <v>0</v>
      </c>
      <c r="AJ274" s="4">
        <v>5</v>
      </c>
      <c r="AK274" s="4">
        <v>5</v>
      </c>
      <c r="AL274" s="4">
        <v>1</v>
      </c>
      <c r="AM274" s="4">
        <v>1</v>
      </c>
      <c r="AN274" s="4">
        <v>0</v>
      </c>
      <c r="AO274" s="4">
        <v>0</v>
      </c>
      <c r="AP274" s="3" t="s">
        <v>59</v>
      </c>
      <c r="AQ274" s="3" t="s">
        <v>69</v>
      </c>
      <c r="AR274" s="6" t="str">
        <f>HYPERLINK("http://catalog.hathitrust.org/Record/002870310","HathiTrust Record")</f>
        <v>HathiTrust Record</v>
      </c>
      <c r="AS274" s="6" t="str">
        <f>HYPERLINK("https://creighton-primo.hosted.exlibrisgroup.com/primo-explore/search?tab=default_tab&amp;search_scope=EVERYTHING&amp;vid=01CRU&amp;lang=en_US&amp;offset=0&amp;query=any,contains,991004056789702656","Catalog Record")</f>
        <v>Catalog Record</v>
      </c>
      <c r="AT274" s="6" t="str">
        <f>HYPERLINK("http://www.worldcat.org/oclc/2227627","WorldCat Record")</f>
        <v>WorldCat Record</v>
      </c>
      <c r="AU274" s="3" t="s">
        <v>3182</v>
      </c>
      <c r="AV274" s="3" t="s">
        <v>3183</v>
      </c>
      <c r="AW274" s="3" t="s">
        <v>3184</v>
      </c>
      <c r="AX274" s="3" t="s">
        <v>3184</v>
      </c>
      <c r="AY274" s="3" t="s">
        <v>3185</v>
      </c>
      <c r="AZ274" s="3" t="s">
        <v>74</v>
      </c>
      <c r="BB274" s="3" t="s">
        <v>3186</v>
      </c>
      <c r="BC274" s="3" t="s">
        <v>3187</v>
      </c>
      <c r="BD274" s="3" t="s">
        <v>3188</v>
      </c>
    </row>
    <row r="275" spans="1:56" ht="57.75" customHeight="1" x14ac:dyDescent="0.25">
      <c r="A275" s="7" t="s">
        <v>59</v>
      </c>
      <c r="B275" s="2" t="s">
        <v>3189</v>
      </c>
      <c r="C275" s="2" t="s">
        <v>3190</v>
      </c>
      <c r="D275" s="2" t="s">
        <v>3191</v>
      </c>
      <c r="F275" s="3" t="s">
        <v>59</v>
      </c>
      <c r="G275" s="3" t="s">
        <v>60</v>
      </c>
      <c r="H275" s="3" t="s">
        <v>59</v>
      </c>
      <c r="I275" s="3" t="s">
        <v>59</v>
      </c>
      <c r="J275" s="3" t="s">
        <v>61</v>
      </c>
      <c r="K275" s="2" t="s">
        <v>2848</v>
      </c>
      <c r="L275" s="2" t="s">
        <v>3192</v>
      </c>
      <c r="M275" s="3" t="s">
        <v>835</v>
      </c>
      <c r="O275" s="3" t="s">
        <v>64</v>
      </c>
      <c r="P275" s="3" t="s">
        <v>467</v>
      </c>
      <c r="Q275" s="2" t="s">
        <v>3193</v>
      </c>
      <c r="R275" s="3" t="s">
        <v>67</v>
      </c>
      <c r="S275" s="4">
        <v>2</v>
      </c>
      <c r="T275" s="4">
        <v>2</v>
      </c>
      <c r="U275" s="5" t="s">
        <v>2827</v>
      </c>
      <c r="V275" s="5" t="s">
        <v>2827</v>
      </c>
      <c r="W275" s="5" t="s">
        <v>1199</v>
      </c>
      <c r="X275" s="5" t="s">
        <v>1199</v>
      </c>
      <c r="Y275" s="4">
        <v>239</v>
      </c>
      <c r="Z275" s="4">
        <v>154</v>
      </c>
      <c r="AA275" s="4">
        <v>161</v>
      </c>
      <c r="AB275" s="4">
        <v>2</v>
      </c>
      <c r="AC275" s="4">
        <v>2</v>
      </c>
      <c r="AD275" s="4">
        <v>7</v>
      </c>
      <c r="AE275" s="4">
        <v>7</v>
      </c>
      <c r="AF275" s="4">
        <v>2</v>
      </c>
      <c r="AG275" s="4">
        <v>2</v>
      </c>
      <c r="AH275" s="4">
        <v>1</v>
      </c>
      <c r="AI275" s="4">
        <v>1</v>
      </c>
      <c r="AJ275" s="4">
        <v>2</v>
      </c>
      <c r="AK275" s="4">
        <v>2</v>
      </c>
      <c r="AL275" s="4">
        <v>2</v>
      </c>
      <c r="AM275" s="4">
        <v>2</v>
      </c>
      <c r="AN275" s="4">
        <v>0</v>
      </c>
      <c r="AO275" s="4">
        <v>0</v>
      </c>
      <c r="AP275" s="3" t="s">
        <v>59</v>
      </c>
      <c r="AQ275" s="3" t="s">
        <v>69</v>
      </c>
      <c r="AR275" s="6" t="str">
        <f>HYPERLINK("http://catalog.hathitrust.org/Record/009518796","HathiTrust Record")</f>
        <v>HathiTrust Record</v>
      </c>
      <c r="AS275" s="6" t="str">
        <f>HYPERLINK("https://creighton-primo.hosted.exlibrisgroup.com/primo-explore/search?tab=default_tab&amp;search_scope=EVERYTHING&amp;vid=01CRU&amp;lang=en_US&amp;offset=0&amp;query=any,contains,991004822509702656","Catalog Record")</f>
        <v>Catalog Record</v>
      </c>
      <c r="AT275" s="6" t="str">
        <f>HYPERLINK("http://www.worldcat.org/oclc/5336830","WorldCat Record")</f>
        <v>WorldCat Record</v>
      </c>
      <c r="AU275" s="3" t="s">
        <v>3194</v>
      </c>
      <c r="AV275" s="3" t="s">
        <v>3195</v>
      </c>
      <c r="AW275" s="3" t="s">
        <v>3196</v>
      </c>
      <c r="AX275" s="3" t="s">
        <v>3196</v>
      </c>
      <c r="AY275" s="3" t="s">
        <v>3197</v>
      </c>
      <c r="AZ275" s="3" t="s">
        <v>74</v>
      </c>
      <c r="BB275" s="3" t="s">
        <v>3198</v>
      </c>
      <c r="BC275" s="3" t="s">
        <v>3199</v>
      </c>
      <c r="BD275" s="3" t="s">
        <v>3200</v>
      </c>
    </row>
    <row r="276" spans="1:56" ht="57.75" customHeight="1" x14ac:dyDescent="0.25">
      <c r="A276" s="7" t="s">
        <v>59</v>
      </c>
      <c r="B276" s="2" t="s">
        <v>3201</v>
      </c>
      <c r="C276" s="2" t="s">
        <v>3202</v>
      </c>
      <c r="D276" s="2" t="s">
        <v>3203</v>
      </c>
      <c r="F276" s="3" t="s">
        <v>59</v>
      </c>
      <c r="G276" s="3" t="s">
        <v>60</v>
      </c>
      <c r="H276" s="3" t="s">
        <v>59</v>
      </c>
      <c r="I276" s="3" t="s">
        <v>59</v>
      </c>
      <c r="J276" s="3" t="s">
        <v>61</v>
      </c>
      <c r="K276" s="2" t="s">
        <v>3204</v>
      </c>
      <c r="L276" s="2" t="s">
        <v>3205</v>
      </c>
      <c r="M276" s="3" t="s">
        <v>3206</v>
      </c>
      <c r="O276" s="3" t="s">
        <v>64</v>
      </c>
      <c r="P276" s="3" t="s">
        <v>932</v>
      </c>
      <c r="R276" s="3" t="s">
        <v>67</v>
      </c>
      <c r="S276" s="4">
        <v>1</v>
      </c>
      <c r="T276" s="4">
        <v>1</v>
      </c>
      <c r="U276" s="5" t="s">
        <v>2060</v>
      </c>
      <c r="V276" s="5" t="s">
        <v>2060</v>
      </c>
      <c r="W276" s="5" t="s">
        <v>2828</v>
      </c>
      <c r="X276" s="5" t="s">
        <v>2828</v>
      </c>
      <c r="Y276" s="4">
        <v>77</v>
      </c>
      <c r="Z276" s="4">
        <v>34</v>
      </c>
      <c r="AA276" s="4">
        <v>86</v>
      </c>
      <c r="AB276" s="4">
        <v>1</v>
      </c>
      <c r="AC276" s="4">
        <v>2</v>
      </c>
      <c r="AD276" s="4">
        <v>0</v>
      </c>
      <c r="AE276" s="4">
        <v>2</v>
      </c>
      <c r="AF276" s="4">
        <v>0</v>
      </c>
      <c r="AG276" s="4">
        <v>0</v>
      </c>
      <c r="AH276" s="4">
        <v>0</v>
      </c>
      <c r="AI276" s="4">
        <v>1</v>
      </c>
      <c r="AJ276" s="4">
        <v>0</v>
      </c>
      <c r="AK276" s="4">
        <v>0</v>
      </c>
      <c r="AL276" s="4">
        <v>0</v>
      </c>
      <c r="AM276" s="4">
        <v>1</v>
      </c>
      <c r="AN276" s="4">
        <v>0</v>
      </c>
      <c r="AO276" s="4">
        <v>0</v>
      </c>
      <c r="AP276" s="3" t="s">
        <v>69</v>
      </c>
      <c r="AQ276" s="3" t="s">
        <v>59</v>
      </c>
      <c r="AR276" s="6" t="str">
        <f>HYPERLINK("http://catalog.hathitrust.org/Record/001499525","HathiTrust Record")</f>
        <v>HathiTrust Record</v>
      </c>
      <c r="AS276" s="6" t="str">
        <f>HYPERLINK("https://creighton-primo.hosted.exlibrisgroup.com/primo-explore/search?tab=default_tab&amp;search_scope=EVERYTHING&amp;vid=01CRU&amp;lang=en_US&amp;offset=0&amp;query=any,contains,991003023189702656","Catalog Record")</f>
        <v>Catalog Record</v>
      </c>
      <c r="AT276" s="6" t="str">
        <f>HYPERLINK("http://www.worldcat.org/oclc/588055","WorldCat Record")</f>
        <v>WorldCat Record</v>
      </c>
      <c r="AU276" s="3" t="s">
        <v>3207</v>
      </c>
      <c r="AV276" s="3" t="s">
        <v>3208</v>
      </c>
      <c r="AW276" s="3" t="s">
        <v>3209</v>
      </c>
      <c r="AX276" s="3" t="s">
        <v>3209</v>
      </c>
      <c r="AY276" s="3" t="s">
        <v>3210</v>
      </c>
      <c r="AZ276" s="3" t="s">
        <v>74</v>
      </c>
      <c r="BC276" s="3" t="s">
        <v>3211</v>
      </c>
      <c r="BD276" s="3" t="s">
        <v>3212</v>
      </c>
    </row>
    <row r="277" spans="1:56" ht="57.75" customHeight="1" x14ac:dyDescent="0.25">
      <c r="A277" s="7" t="s">
        <v>59</v>
      </c>
      <c r="B277" s="2" t="s">
        <v>3213</v>
      </c>
      <c r="C277" s="2" t="s">
        <v>3214</v>
      </c>
      <c r="D277" s="2" t="s">
        <v>3215</v>
      </c>
      <c r="F277" s="3" t="s">
        <v>59</v>
      </c>
      <c r="G277" s="3" t="s">
        <v>60</v>
      </c>
      <c r="H277" s="3" t="s">
        <v>59</v>
      </c>
      <c r="I277" s="3" t="s">
        <v>59</v>
      </c>
      <c r="J277" s="3" t="s">
        <v>61</v>
      </c>
      <c r="K277" s="2" t="s">
        <v>3216</v>
      </c>
      <c r="L277" s="2" t="s">
        <v>2862</v>
      </c>
      <c r="M277" s="3" t="s">
        <v>481</v>
      </c>
      <c r="N277" s="2" t="s">
        <v>3217</v>
      </c>
      <c r="O277" s="3" t="s">
        <v>64</v>
      </c>
      <c r="P277" s="3" t="s">
        <v>405</v>
      </c>
      <c r="Q277" s="2" t="s">
        <v>2863</v>
      </c>
      <c r="R277" s="3" t="s">
        <v>67</v>
      </c>
      <c r="S277" s="4">
        <v>5</v>
      </c>
      <c r="T277" s="4">
        <v>5</v>
      </c>
      <c r="U277" s="5" t="s">
        <v>3218</v>
      </c>
      <c r="V277" s="5" t="s">
        <v>3218</v>
      </c>
      <c r="W277" s="5" t="s">
        <v>2828</v>
      </c>
      <c r="X277" s="5" t="s">
        <v>2828</v>
      </c>
      <c r="Y277" s="4">
        <v>441</v>
      </c>
      <c r="Z277" s="4">
        <v>348</v>
      </c>
      <c r="AA277" s="4">
        <v>699</v>
      </c>
      <c r="AB277" s="4">
        <v>3</v>
      </c>
      <c r="AC277" s="4">
        <v>5</v>
      </c>
      <c r="AD277" s="4">
        <v>10</v>
      </c>
      <c r="AE277" s="4">
        <v>26</v>
      </c>
      <c r="AF277" s="4">
        <v>3</v>
      </c>
      <c r="AG277" s="4">
        <v>8</v>
      </c>
      <c r="AH277" s="4">
        <v>0</v>
      </c>
      <c r="AI277" s="4">
        <v>4</v>
      </c>
      <c r="AJ277" s="4">
        <v>6</v>
      </c>
      <c r="AK277" s="4">
        <v>14</v>
      </c>
      <c r="AL277" s="4">
        <v>2</v>
      </c>
      <c r="AM277" s="4">
        <v>4</v>
      </c>
      <c r="AN277" s="4">
        <v>0</v>
      </c>
      <c r="AO277" s="4">
        <v>0</v>
      </c>
      <c r="AP277" s="3" t="s">
        <v>59</v>
      </c>
      <c r="AQ277" s="3" t="s">
        <v>69</v>
      </c>
      <c r="AR277" s="6" t="str">
        <f>HYPERLINK("http://catalog.hathitrust.org/Record/001499529","HathiTrust Record")</f>
        <v>HathiTrust Record</v>
      </c>
      <c r="AS277" s="6" t="str">
        <f>HYPERLINK("https://creighton-primo.hosted.exlibrisgroup.com/primo-explore/search?tab=default_tab&amp;search_scope=EVERYTHING&amp;vid=01CRU&amp;lang=en_US&amp;offset=0&amp;query=any,contains,991003285269702656","Catalog Record")</f>
        <v>Catalog Record</v>
      </c>
      <c r="AT277" s="6" t="str">
        <f>HYPERLINK("http://www.worldcat.org/oclc/807136","WorldCat Record")</f>
        <v>WorldCat Record</v>
      </c>
      <c r="AU277" s="3" t="s">
        <v>3219</v>
      </c>
      <c r="AV277" s="3" t="s">
        <v>3220</v>
      </c>
      <c r="AW277" s="3" t="s">
        <v>3221</v>
      </c>
      <c r="AX277" s="3" t="s">
        <v>3221</v>
      </c>
      <c r="AY277" s="3" t="s">
        <v>3222</v>
      </c>
      <c r="AZ277" s="3" t="s">
        <v>74</v>
      </c>
      <c r="BC277" s="3" t="s">
        <v>3223</v>
      </c>
      <c r="BD277" s="3" t="s">
        <v>3224</v>
      </c>
    </row>
    <row r="278" spans="1:56" ht="57.75" customHeight="1" x14ac:dyDescent="0.25">
      <c r="A278" s="7" t="s">
        <v>59</v>
      </c>
      <c r="B278" s="2" t="s">
        <v>3225</v>
      </c>
      <c r="C278" s="2" t="s">
        <v>3226</v>
      </c>
      <c r="D278" s="2" t="s">
        <v>3227</v>
      </c>
      <c r="F278" s="3" t="s">
        <v>59</v>
      </c>
      <c r="G278" s="3" t="s">
        <v>60</v>
      </c>
      <c r="H278" s="3" t="s">
        <v>59</v>
      </c>
      <c r="I278" s="3" t="s">
        <v>59</v>
      </c>
      <c r="J278" s="3" t="s">
        <v>61</v>
      </c>
      <c r="K278" s="2" t="s">
        <v>3228</v>
      </c>
      <c r="L278" s="2" t="s">
        <v>3229</v>
      </c>
      <c r="M278" s="3" t="s">
        <v>436</v>
      </c>
      <c r="O278" s="3" t="s">
        <v>64</v>
      </c>
      <c r="P278" s="3" t="s">
        <v>467</v>
      </c>
      <c r="R278" s="3" t="s">
        <v>67</v>
      </c>
      <c r="S278" s="4">
        <v>2</v>
      </c>
      <c r="T278" s="4">
        <v>2</v>
      </c>
      <c r="U278" s="5" t="s">
        <v>3230</v>
      </c>
      <c r="V278" s="5" t="s">
        <v>3230</v>
      </c>
      <c r="W278" s="5" t="s">
        <v>3231</v>
      </c>
      <c r="X278" s="5" t="s">
        <v>3231</v>
      </c>
      <c r="Y278" s="4">
        <v>426</v>
      </c>
      <c r="Z278" s="4">
        <v>397</v>
      </c>
      <c r="AA278" s="4">
        <v>433</v>
      </c>
      <c r="AB278" s="4">
        <v>2</v>
      </c>
      <c r="AC278" s="4">
        <v>4</v>
      </c>
      <c r="AD278" s="4">
        <v>6</v>
      </c>
      <c r="AE278" s="4">
        <v>6</v>
      </c>
      <c r="AF278" s="4">
        <v>3</v>
      </c>
      <c r="AG278" s="4">
        <v>3</v>
      </c>
      <c r="AH278" s="4">
        <v>2</v>
      </c>
      <c r="AI278" s="4">
        <v>2</v>
      </c>
      <c r="AJ278" s="4">
        <v>2</v>
      </c>
      <c r="AK278" s="4">
        <v>2</v>
      </c>
      <c r="AL278" s="4">
        <v>1</v>
      </c>
      <c r="AM278" s="4">
        <v>1</v>
      </c>
      <c r="AN278" s="4">
        <v>0</v>
      </c>
      <c r="AO278" s="4">
        <v>0</v>
      </c>
      <c r="AP278" s="3" t="s">
        <v>59</v>
      </c>
      <c r="AQ278" s="3" t="s">
        <v>69</v>
      </c>
      <c r="AR278" s="6" t="str">
        <f>HYPERLINK("http://catalog.hathitrust.org/Record/008335514","HathiTrust Record")</f>
        <v>HathiTrust Record</v>
      </c>
      <c r="AS278" s="6" t="str">
        <f>HYPERLINK("https://creighton-primo.hosted.exlibrisgroup.com/primo-explore/search?tab=default_tab&amp;search_scope=EVERYTHING&amp;vid=01CRU&amp;lang=en_US&amp;offset=0&amp;query=any,contains,991004425599702656","Catalog Record")</f>
        <v>Catalog Record</v>
      </c>
      <c r="AT278" s="6" t="str">
        <f>HYPERLINK("http://www.worldcat.org/oclc/3397185","WorldCat Record")</f>
        <v>WorldCat Record</v>
      </c>
      <c r="AU278" s="3" t="s">
        <v>3232</v>
      </c>
      <c r="AV278" s="3" t="s">
        <v>3233</v>
      </c>
      <c r="AW278" s="3" t="s">
        <v>3234</v>
      </c>
      <c r="AX278" s="3" t="s">
        <v>3234</v>
      </c>
      <c r="AY278" s="3" t="s">
        <v>3235</v>
      </c>
      <c r="AZ278" s="3" t="s">
        <v>74</v>
      </c>
      <c r="BB278" s="3" t="s">
        <v>3236</v>
      </c>
      <c r="BC278" s="3" t="s">
        <v>3237</v>
      </c>
      <c r="BD278" s="3" t="s">
        <v>3238</v>
      </c>
    </row>
    <row r="279" spans="1:56" ht="57.75" customHeight="1" x14ac:dyDescent="0.25">
      <c r="A279" s="7" t="s">
        <v>59</v>
      </c>
      <c r="B279" s="2" t="s">
        <v>3239</v>
      </c>
      <c r="C279" s="2" t="s">
        <v>3240</v>
      </c>
      <c r="D279" s="2" t="s">
        <v>3241</v>
      </c>
      <c r="F279" s="3" t="s">
        <v>59</v>
      </c>
      <c r="G279" s="3" t="s">
        <v>60</v>
      </c>
      <c r="H279" s="3" t="s">
        <v>59</v>
      </c>
      <c r="I279" s="3" t="s">
        <v>59</v>
      </c>
      <c r="J279" s="3" t="s">
        <v>61</v>
      </c>
      <c r="K279" s="2" t="s">
        <v>3242</v>
      </c>
      <c r="L279" s="2" t="s">
        <v>3243</v>
      </c>
      <c r="M279" s="3" t="s">
        <v>436</v>
      </c>
      <c r="O279" s="3" t="s">
        <v>64</v>
      </c>
      <c r="P279" s="3" t="s">
        <v>1268</v>
      </c>
      <c r="R279" s="3" t="s">
        <v>67</v>
      </c>
      <c r="S279" s="4">
        <v>9</v>
      </c>
      <c r="T279" s="4">
        <v>9</v>
      </c>
      <c r="U279" s="5" t="s">
        <v>3244</v>
      </c>
      <c r="V279" s="5" t="s">
        <v>3244</v>
      </c>
      <c r="W279" s="5" t="s">
        <v>543</v>
      </c>
      <c r="X279" s="5" t="s">
        <v>543</v>
      </c>
      <c r="Y279" s="4">
        <v>544</v>
      </c>
      <c r="Z279" s="4">
        <v>412</v>
      </c>
      <c r="AA279" s="4">
        <v>602</v>
      </c>
      <c r="AB279" s="4">
        <v>4</v>
      </c>
      <c r="AC279" s="4">
        <v>4</v>
      </c>
      <c r="AD279" s="4">
        <v>30</v>
      </c>
      <c r="AE279" s="4">
        <v>35</v>
      </c>
      <c r="AF279" s="4">
        <v>11</v>
      </c>
      <c r="AG279" s="4">
        <v>15</v>
      </c>
      <c r="AH279" s="4">
        <v>9</v>
      </c>
      <c r="AI279" s="4">
        <v>11</v>
      </c>
      <c r="AJ279" s="4">
        <v>18</v>
      </c>
      <c r="AK279" s="4">
        <v>19</v>
      </c>
      <c r="AL279" s="4">
        <v>2</v>
      </c>
      <c r="AM279" s="4">
        <v>2</v>
      </c>
      <c r="AN279" s="4">
        <v>0</v>
      </c>
      <c r="AO279" s="4">
        <v>0</v>
      </c>
      <c r="AP279" s="3" t="s">
        <v>59</v>
      </c>
      <c r="AQ279" s="3" t="s">
        <v>59</v>
      </c>
      <c r="AS279" s="6" t="str">
        <f>HYPERLINK("https://creighton-primo.hosted.exlibrisgroup.com/primo-explore/search?tab=default_tab&amp;search_scope=EVERYTHING&amp;vid=01CRU&amp;lang=en_US&amp;offset=0&amp;query=any,contains,991005371979702656","Catalog Record")</f>
        <v>Catalog Record</v>
      </c>
      <c r="AT279" s="6" t="str">
        <f>HYPERLINK("http://www.worldcat.org/oclc/4005791","WorldCat Record")</f>
        <v>WorldCat Record</v>
      </c>
      <c r="AU279" s="3" t="s">
        <v>3245</v>
      </c>
      <c r="AV279" s="3" t="s">
        <v>3246</v>
      </c>
      <c r="AW279" s="3" t="s">
        <v>3247</v>
      </c>
      <c r="AX279" s="3" t="s">
        <v>3247</v>
      </c>
      <c r="AY279" s="3" t="s">
        <v>3248</v>
      </c>
      <c r="AZ279" s="3" t="s">
        <v>74</v>
      </c>
      <c r="BB279" s="3" t="s">
        <v>3249</v>
      </c>
      <c r="BC279" s="3" t="s">
        <v>3250</v>
      </c>
      <c r="BD279" s="3" t="s">
        <v>3251</v>
      </c>
    </row>
    <row r="280" spans="1:56" ht="57.75" customHeight="1" x14ac:dyDescent="0.25">
      <c r="A280" s="7" t="s">
        <v>59</v>
      </c>
      <c r="B280" s="2" t="s">
        <v>3252</v>
      </c>
      <c r="C280" s="2" t="s">
        <v>3253</v>
      </c>
      <c r="D280" s="2" t="s">
        <v>3254</v>
      </c>
      <c r="F280" s="3" t="s">
        <v>59</v>
      </c>
      <c r="G280" s="3" t="s">
        <v>60</v>
      </c>
      <c r="H280" s="3" t="s">
        <v>59</v>
      </c>
      <c r="I280" s="3" t="s">
        <v>59</v>
      </c>
      <c r="J280" s="3" t="s">
        <v>61</v>
      </c>
      <c r="K280" s="2" t="s">
        <v>3242</v>
      </c>
      <c r="L280" s="2" t="s">
        <v>3255</v>
      </c>
      <c r="M280" s="3" t="s">
        <v>63</v>
      </c>
      <c r="O280" s="3" t="s">
        <v>64</v>
      </c>
      <c r="P280" s="3" t="s">
        <v>405</v>
      </c>
      <c r="Q280" s="2" t="s">
        <v>3256</v>
      </c>
      <c r="R280" s="3" t="s">
        <v>67</v>
      </c>
      <c r="S280" s="4">
        <v>1</v>
      </c>
      <c r="T280" s="4">
        <v>1</v>
      </c>
      <c r="U280" s="5" t="s">
        <v>3257</v>
      </c>
      <c r="V280" s="5" t="s">
        <v>3257</v>
      </c>
      <c r="W280" s="5" t="s">
        <v>3257</v>
      </c>
      <c r="X280" s="5" t="s">
        <v>3257</v>
      </c>
      <c r="Y280" s="4">
        <v>250</v>
      </c>
      <c r="Z280" s="4">
        <v>191</v>
      </c>
      <c r="AA280" s="4">
        <v>1658</v>
      </c>
      <c r="AB280" s="4">
        <v>2</v>
      </c>
      <c r="AC280" s="4">
        <v>22</v>
      </c>
      <c r="AD280" s="4">
        <v>10</v>
      </c>
      <c r="AE280" s="4">
        <v>55</v>
      </c>
      <c r="AF280" s="4">
        <v>2</v>
      </c>
      <c r="AG280" s="4">
        <v>19</v>
      </c>
      <c r="AH280" s="4">
        <v>5</v>
      </c>
      <c r="AI280" s="4">
        <v>11</v>
      </c>
      <c r="AJ280" s="4">
        <v>5</v>
      </c>
      <c r="AK280" s="4">
        <v>18</v>
      </c>
      <c r="AL280" s="4">
        <v>1</v>
      </c>
      <c r="AM280" s="4">
        <v>15</v>
      </c>
      <c r="AN280" s="4">
        <v>0</v>
      </c>
      <c r="AO280" s="4">
        <v>1</v>
      </c>
      <c r="AP280" s="3" t="s">
        <v>59</v>
      </c>
      <c r="AQ280" s="3" t="s">
        <v>59</v>
      </c>
      <c r="AS280" s="6" t="str">
        <f>HYPERLINK("https://creighton-primo.hosted.exlibrisgroup.com/primo-explore/search?tab=default_tab&amp;search_scope=EVERYTHING&amp;vid=01CRU&amp;lang=en_US&amp;offset=0&amp;query=any,contains,991003945769702656","Catalog Record")</f>
        <v>Catalog Record</v>
      </c>
      <c r="AT280" s="6" t="str">
        <f>HYPERLINK("http://www.worldcat.org/oclc/48588337","WorldCat Record")</f>
        <v>WorldCat Record</v>
      </c>
      <c r="AU280" s="3" t="s">
        <v>3258</v>
      </c>
      <c r="AV280" s="3" t="s">
        <v>3259</v>
      </c>
      <c r="AW280" s="3" t="s">
        <v>3260</v>
      </c>
      <c r="AX280" s="3" t="s">
        <v>3260</v>
      </c>
      <c r="AY280" s="3" t="s">
        <v>3261</v>
      </c>
      <c r="AZ280" s="3" t="s">
        <v>74</v>
      </c>
      <c r="BB280" s="3" t="s">
        <v>3262</v>
      </c>
      <c r="BC280" s="3" t="s">
        <v>3263</v>
      </c>
      <c r="BD280" s="3" t="s">
        <v>3264</v>
      </c>
    </row>
    <row r="281" spans="1:56" ht="57.75" customHeight="1" x14ac:dyDescent="0.25">
      <c r="A281" s="7" t="s">
        <v>59</v>
      </c>
      <c r="B281" s="2" t="s">
        <v>3265</v>
      </c>
      <c r="C281" s="2" t="s">
        <v>3266</v>
      </c>
      <c r="D281" s="2" t="s">
        <v>3267</v>
      </c>
      <c r="F281" s="3" t="s">
        <v>59</v>
      </c>
      <c r="G281" s="3" t="s">
        <v>60</v>
      </c>
      <c r="H281" s="3" t="s">
        <v>59</v>
      </c>
      <c r="I281" s="3" t="s">
        <v>59</v>
      </c>
      <c r="J281" s="3" t="s">
        <v>61</v>
      </c>
      <c r="K281" s="2" t="s">
        <v>3242</v>
      </c>
      <c r="L281" s="2" t="s">
        <v>3268</v>
      </c>
      <c r="M281" s="3" t="s">
        <v>2244</v>
      </c>
      <c r="O281" s="3" t="s">
        <v>64</v>
      </c>
      <c r="P281" s="3" t="s">
        <v>630</v>
      </c>
      <c r="Q281" s="2" t="s">
        <v>3269</v>
      </c>
      <c r="R281" s="3" t="s">
        <v>67</v>
      </c>
      <c r="S281" s="4">
        <v>3</v>
      </c>
      <c r="T281" s="4">
        <v>3</v>
      </c>
      <c r="U281" s="5" t="s">
        <v>3270</v>
      </c>
      <c r="V281" s="5" t="s">
        <v>3270</v>
      </c>
      <c r="W281" s="5" t="s">
        <v>3271</v>
      </c>
      <c r="X281" s="5" t="s">
        <v>3271</v>
      </c>
      <c r="Y281" s="4">
        <v>413</v>
      </c>
      <c r="Z281" s="4">
        <v>318</v>
      </c>
      <c r="AA281" s="4">
        <v>320</v>
      </c>
      <c r="AB281" s="4">
        <v>3</v>
      </c>
      <c r="AC281" s="4">
        <v>3</v>
      </c>
      <c r="AD281" s="4">
        <v>20</v>
      </c>
      <c r="AE281" s="4">
        <v>20</v>
      </c>
      <c r="AF281" s="4">
        <v>8</v>
      </c>
      <c r="AG281" s="4">
        <v>8</v>
      </c>
      <c r="AH281" s="4">
        <v>8</v>
      </c>
      <c r="AI281" s="4">
        <v>8</v>
      </c>
      <c r="AJ281" s="4">
        <v>9</v>
      </c>
      <c r="AK281" s="4">
        <v>9</v>
      </c>
      <c r="AL281" s="4">
        <v>2</v>
      </c>
      <c r="AM281" s="4">
        <v>2</v>
      </c>
      <c r="AN281" s="4">
        <v>0</v>
      </c>
      <c r="AO281" s="4">
        <v>0</v>
      </c>
      <c r="AP281" s="3" t="s">
        <v>59</v>
      </c>
      <c r="AQ281" s="3" t="s">
        <v>69</v>
      </c>
      <c r="AR281" s="6" t="str">
        <f>HYPERLINK("http://catalog.hathitrust.org/Record/101936024","HathiTrust Record")</f>
        <v>HathiTrust Record</v>
      </c>
      <c r="AS281" s="6" t="str">
        <f>HYPERLINK("https://creighton-primo.hosted.exlibrisgroup.com/primo-explore/search?tab=default_tab&amp;search_scope=EVERYTHING&amp;vid=01CRU&amp;lang=en_US&amp;offset=0&amp;query=any,contains,991001903649702656","Catalog Record")</f>
        <v>Catalog Record</v>
      </c>
      <c r="AT281" s="6" t="str">
        <f>HYPERLINK("http://www.worldcat.org/oclc/24065350","WorldCat Record")</f>
        <v>WorldCat Record</v>
      </c>
      <c r="AU281" s="3" t="s">
        <v>3272</v>
      </c>
      <c r="AV281" s="3" t="s">
        <v>3273</v>
      </c>
      <c r="AW281" s="3" t="s">
        <v>3274</v>
      </c>
      <c r="AX281" s="3" t="s">
        <v>3274</v>
      </c>
      <c r="AY281" s="3" t="s">
        <v>3275</v>
      </c>
      <c r="AZ281" s="3" t="s">
        <v>74</v>
      </c>
      <c r="BB281" s="3" t="s">
        <v>3276</v>
      </c>
      <c r="BC281" s="3" t="s">
        <v>3277</v>
      </c>
      <c r="BD281" s="3" t="s">
        <v>3278</v>
      </c>
    </row>
    <row r="282" spans="1:56" ht="57.75" customHeight="1" x14ac:dyDescent="0.25">
      <c r="A282" s="7" t="s">
        <v>59</v>
      </c>
      <c r="B282" s="2" t="s">
        <v>3279</v>
      </c>
      <c r="C282" s="2" t="s">
        <v>3280</v>
      </c>
      <c r="D282" s="2" t="s">
        <v>3281</v>
      </c>
      <c r="F282" s="3" t="s">
        <v>59</v>
      </c>
      <c r="G282" s="3" t="s">
        <v>60</v>
      </c>
      <c r="H282" s="3" t="s">
        <v>59</v>
      </c>
      <c r="I282" s="3" t="s">
        <v>59</v>
      </c>
      <c r="J282" s="3" t="s">
        <v>61</v>
      </c>
      <c r="K282" s="2" t="s">
        <v>3282</v>
      </c>
      <c r="L282" s="2" t="s">
        <v>3283</v>
      </c>
      <c r="M282" s="3" t="s">
        <v>670</v>
      </c>
      <c r="O282" s="3" t="s">
        <v>64</v>
      </c>
      <c r="P282" s="3" t="s">
        <v>145</v>
      </c>
      <c r="R282" s="3" t="s">
        <v>67</v>
      </c>
      <c r="S282" s="4">
        <v>2</v>
      </c>
      <c r="T282" s="4">
        <v>2</v>
      </c>
      <c r="U282" s="5" t="s">
        <v>3284</v>
      </c>
      <c r="V282" s="5" t="s">
        <v>3284</v>
      </c>
      <c r="W282" s="5" t="s">
        <v>543</v>
      </c>
      <c r="X282" s="5" t="s">
        <v>543</v>
      </c>
      <c r="Y282" s="4">
        <v>222</v>
      </c>
      <c r="Z282" s="4">
        <v>168</v>
      </c>
      <c r="AA282" s="4">
        <v>170</v>
      </c>
      <c r="AB282" s="4">
        <v>2</v>
      </c>
      <c r="AC282" s="4">
        <v>2</v>
      </c>
      <c r="AD282" s="4">
        <v>16</v>
      </c>
      <c r="AE282" s="4">
        <v>16</v>
      </c>
      <c r="AF282" s="4">
        <v>3</v>
      </c>
      <c r="AG282" s="4">
        <v>3</v>
      </c>
      <c r="AH282" s="4">
        <v>5</v>
      </c>
      <c r="AI282" s="4">
        <v>5</v>
      </c>
      <c r="AJ282" s="4">
        <v>13</v>
      </c>
      <c r="AK282" s="4">
        <v>13</v>
      </c>
      <c r="AL282" s="4">
        <v>1</v>
      </c>
      <c r="AM282" s="4">
        <v>1</v>
      </c>
      <c r="AN282" s="4">
        <v>0</v>
      </c>
      <c r="AO282" s="4">
        <v>0</v>
      </c>
      <c r="AP282" s="3" t="s">
        <v>59</v>
      </c>
      <c r="AQ282" s="3" t="s">
        <v>69</v>
      </c>
      <c r="AR282" s="6" t="str">
        <f>HYPERLINK("http://catalog.hathitrust.org/Record/000117535","HathiTrust Record")</f>
        <v>HathiTrust Record</v>
      </c>
      <c r="AS282" s="6" t="str">
        <f>HYPERLINK("https://creighton-primo.hosted.exlibrisgroup.com/primo-explore/search?tab=default_tab&amp;search_scope=EVERYTHING&amp;vid=01CRU&amp;lang=en_US&amp;offset=0&amp;query=any,contains,991000024269702656","Catalog Record")</f>
        <v>Catalog Record</v>
      </c>
      <c r="AT282" s="6" t="str">
        <f>HYPERLINK("http://www.worldcat.org/oclc/8587796","WorldCat Record")</f>
        <v>WorldCat Record</v>
      </c>
      <c r="AU282" s="3" t="s">
        <v>3285</v>
      </c>
      <c r="AV282" s="3" t="s">
        <v>3286</v>
      </c>
      <c r="AW282" s="3" t="s">
        <v>3287</v>
      </c>
      <c r="AX282" s="3" t="s">
        <v>3287</v>
      </c>
      <c r="AY282" s="3" t="s">
        <v>3288</v>
      </c>
      <c r="AZ282" s="3" t="s">
        <v>74</v>
      </c>
      <c r="BB282" s="3" t="s">
        <v>3289</v>
      </c>
      <c r="BC282" s="3" t="s">
        <v>3290</v>
      </c>
      <c r="BD282" s="3" t="s">
        <v>3291</v>
      </c>
    </row>
    <row r="283" spans="1:56" ht="57.75" customHeight="1" x14ac:dyDescent="0.25">
      <c r="A283" s="7" t="s">
        <v>59</v>
      </c>
      <c r="B283" s="2" t="s">
        <v>3292</v>
      </c>
      <c r="C283" s="2" t="s">
        <v>3293</v>
      </c>
      <c r="D283" s="2" t="s">
        <v>3294</v>
      </c>
      <c r="F283" s="3" t="s">
        <v>59</v>
      </c>
      <c r="G283" s="3" t="s">
        <v>60</v>
      </c>
      <c r="H283" s="3" t="s">
        <v>59</v>
      </c>
      <c r="I283" s="3" t="s">
        <v>59</v>
      </c>
      <c r="J283" s="3" t="s">
        <v>61</v>
      </c>
      <c r="K283" s="2" t="s">
        <v>3295</v>
      </c>
      <c r="L283" s="2" t="s">
        <v>3296</v>
      </c>
      <c r="M283" s="3" t="s">
        <v>571</v>
      </c>
      <c r="O283" s="3" t="s">
        <v>64</v>
      </c>
      <c r="P283" s="3" t="s">
        <v>3297</v>
      </c>
      <c r="R283" s="3" t="s">
        <v>67</v>
      </c>
      <c r="S283" s="4">
        <v>10</v>
      </c>
      <c r="T283" s="4">
        <v>10</v>
      </c>
      <c r="U283" s="5" t="s">
        <v>2392</v>
      </c>
      <c r="V283" s="5" t="s">
        <v>2392</v>
      </c>
      <c r="W283" s="5" t="s">
        <v>1416</v>
      </c>
      <c r="X283" s="5" t="s">
        <v>1416</v>
      </c>
      <c r="Y283" s="4">
        <v>230</v>
      </c>
      <c r="Z283" s="4">
        <v>196</v>
      </c>
      <c r="AA283" s="4">
        <v>198</v>
      </c>
      <c r="AB283" s="4">
        <v>2</v>
      </c>
      <c r="AC283" s="4">
        <v>2</v>
      </c>
      <c r="AD283" s="4">
        <v>7</v>
      </c>
      <c r="AE283" s="4">
        <v>7</v>
      </c>
      <c r="AF283" s="4">
        <v>2</v>
      </c>
      <c r="AG283" s="4">
        <v>2</v>
      </c>
      <c r="AH283" s="4">
        <v>1</v>
      </c>
      <c r="AI283" s="4">
        <v>1</v>
      </c>
      <c r="AJ283" s="4">
        <v>4</v>
      </c>
      <c r="AK283" s="4">
        <v>4</v>
      </c>
      <c r="AL283" s="4">
        <v>1</v>
      </c>
      <c r="AM283" s="4">
        <v>1</v>
      </c>
      <c r="AN283" s="4">
        <v>0</v>
      </c>
      <c r="AO283" s="4">
        <v>0</v>
      </c>
      <c r="AP283" s="3" t="s">
        <v>59</v>
      </c>
      <c r="AQ283" s="3" t="s">
        <v>69</v>
      </c>
      <c r="AR283" s="6" t="str">
        <f>HYPERLINK("http://catalog.hathitrust.org/Record/001499679","HathiTrust Record")</f>
        <v>HathiTrust Record</v>
      </c>
      <c r="AS283" s="6" t="str">
        <f>HYPERLINK("https://creighton-primo.hosted.exlibrisgroup.com/primo-explore/search?tab=default_tab&amp;search_scope=EVERYTHING&amp;vid=01CRU&amp;lang=en_US&amp;offset=0&amp;query=any,contains,991002883389702656","Catalog Record")</f>
        <v>Catalog Record</v>
      </c>
      <c r="AT283" s="6" t="str">
        <f>HYPERLINK("http://www.worldcat.org/oclc/506978","WorldCat Record")</f>
        <v>WorldCat Record</v>
      </c>
      <c r="AU283" s="3" t="s">
        <v>3298</v>
      </c>
      <c r="AV283" s="3" t="s">
        <v>3299</v>
      </c>
      <c r="AW283" s="3" t="s">
        <v>3300</v>
      </c>
      <c r="AX283" s="3" t="s">
        <v>3300</v>
      </c>
      <c r="AY283" s="3" t="s">
        <v>3301</v>
      </c>
      <c r="AZ283" s="3" t="s">
        <v>74</v>
      </c>
      <c r="BC283" s="3" t="s">
        <v>3302</v>
      </c>
      <c r="BD283" s="3" t="s">
        <v>3303</v>
      </c>
    </row>
    <row r="284" spans="1:56" ht="57.75" customHeight="1" x14ac:dyDescent="0.25">
      <c r="A284" s="7" t="s">
        <v>59</v>
      </c>
      <c r="B284" s="2" t="s">
        <v>3304</v>
      </c>
      <c r="C284" s="2" t="s">
        <v>3305</v>
      </c>
      <c r="D284" s="2" t="s">
        <v>3306</v>
      </c>
      <c r="F284" s="3" t="s">
        <v>59</v>
      </c>
      <c r="G284" s="3" t="s">
        <v>60</v>
      </c>
      <c r="H284" s="3" t="s">
        <v>59</v>
      </c>
      <c r="I284" s="3" t="s">
        <v>59</v>
      </c>
      <c r="J284" s="3" t="s">
        <v>61</v>
      </c>
      <c r="K284" s="2" t="s">
        <v>3307</v>
      </c>
      <c r="L284" s="2" t="s">
        <v>3308</v>
      </c>
      <c r="M284" s="3" t="s">
        <v>239</v>
      </c>
      <c r="O284" s="3" t="s">
        <v>64</v>
      </c>
      <c r="P284" s="3" t="s">
        <v>405</v>
      </c>
      <c r="R284" s="3" t="s">
        <v>67</v>
      </c>
      <c r="S284" s="4">
        <v>16</v>
      </c>
      <c r="T284" s="4">
        <v>16</v>
      </c>
      <c r="U284" s="5" t="s">
        <v>3309</v>
      </c>
      <c r="V284" s="5" t="s">
        <v>3309</v>
      </c>
      <c r="W284" s="5" t="s">
        <v>3310</v>
      </c>
      <c r="X284" s="5" t="s">
        <v>3310</v>
      </c>
      <c r="Y284" s="4">
        <v>421</v>
      </c>
      <c r="Z284" s="4">
        <v>333</v>
      </c>
      <c r="AA284" s="4">
        <v>402</v>
      </c>
      <c r="AB284" s="4">
        <v>2</v>
      </c>
      <c r="AC284" s="4">
        <v>2</v>
      </c>
      <c r="AD284" s="4">
        <v>14</v>
      </c>
      <c r="AE284" s="4">
        <v>16</v>
      </c>
      <c r="AF284" s="4">
        <v>4</v>
      </c>
      <c r="AG284" s="4">
        <v>6</v>
      </c>
      <c r="AH284" s="4">
        <v>3</v>
      </c>
      <c r="AI284" s="4">
        <v>3</v>
      </c>
      <c r="AJ284" s="4">
        <v>8</v>
      </c>
      <c r="AK284" s="4">
        <v>10</v>
      </c>
      <c r="AL284" s="4">
        <v>1</v>
      </c>
      <c r="AM284" s="4">
        <v>1</v>
      </c>
      <c r="AN284" s="4">
        <v>0</v>
      </c>
      <c r="AO284" s="4">
        <v>0</v>
      </c>
      <c r="AP284" s="3" t="s">
        <v>59</v>
      </c>
      <c r="AQ284" s="3" t="s">
        <v>59</v>
      </c>
      <c r="AS284" s="6" t="str">
        <f>HYPERLINK("https://creighton-primo.hosted.exlibrisgroup.com/primo-explore/search?tab=default_tab&amp;search_scope=EVERYTHING&amp;vid=01CRU&amp;lang=en_US&amp;offset=0&amp;query=any,contains,991002469119702656","Catalog Record")</f>
        <v>Catalog Record</v>
      </c>
      <c r="AT284" s="6" t="str">
        <f>HYPERLINK("http://www.worldcat.org/oclc/32166973","WorldCat Record")</f>
        <v>WorldCat Record</v>
      </c>
      <c r="AU284" s="3" t="s">
        <v>3311</v>
      </c>
      <c r="AV284" s="3" t="s">
        <v>3312</v>
      </c>
      <c r="AW284" s="3" t="s">
        <v>3313</v>
      </c>
      <c r="AX284" s="3" t="s">
        <v>3313</v>
      </c>
      <c r="AY284" s="3" t="s">
        <v>3314</v>
      </c>
      <c r="AZ284" s="3" t="s">
        <v>74</v>
      </c>
      <c r="BB284" s="3" t="s">
        <v>3315</v>
      </c>
      <c r="BC284" s="3" t="s">
        <v>3316</v>
      </c>
      <c r="BD284" s="3" t="s">
        <v>3317</v>
      </c>
    </row>
    <row r="285" spans="1:56" ht="57.75" customHeight="1" x14ac:dyDescent="0.25">
      <c r="A285" s="7" t="s">
        <v>59</v>
      </c>
      <c r="B285" s="2" t="s">
        <v>3318</v>
      </c>
      <c r="C285" s="2" t="s">
        <v>3319</v>
      </c>
      <c r="D285" s="2" t="s">
        <v>3320</v>
      </c>
      <c r="F285" s="3" t="s">
        <v>59</v>
      </c>
      <c r="G285" s="3" t="s">
        <v>60</v>
      </c>
      <c r="H285" s="3" t="s">
        <v>59</v>
      </c>
      <c r="I285" s="3" t="s">
        <v>59</v>
      </c>
      <c r="J285" s="3" t="s">
        <v>61</v>
      </c>
      <c r="K285" s="2" t="s">
        <v>889</v>
      </c>
      <c r="L285" s="2" t="s">
        <v>3321</v>
      </c>
      <c r="M285" s="3" t="s">
        <v>656</v>
      </c>
      <c r="O285" s="3" t="s">
        <v>64</v>
      </c>
      <c r="P285" s="3" t="s">
        <v>1078</v>
      </c>
      <c r="Q285" s="2" t="s">
        <v>3322</v>
      </c>
      <c r="R285" s="3" t="s">
        <v>67</v>
      </c>
      <c r="S285" s="4">
        <v>15</v>
      </c>
      <c r="T285" s="4">
        <v>15</v>
      </c>
      <c r="U285" s="5" t="s">
        <v>2392</v>
      </c>
      <c r="V285" s="5" t="s">
        <v>2392</v>
      </c>
      <c r="W285" s="5" t="s">
        <v>1416</v>
      </c>
      <c r="X285" s="5" t="s">
        <v>1416</v>
      </c>
      <c r="Y285" s="4">
        <v>437</v>
      </c>
      <c r="Z285" s="4">
        <v>365</v>
      </c>
      <c r="AA285" s="4">
        <v>377</v>
      </c>
      <c r="AB285" s="4">
        <v>3</v>
      </c>
      <c r="AC285" s="4">
        <v>3</v>
      </c>
      <c r="AD285" s="4">
        <v>18</v>
      </c>
      <c r="AE285" s="4">
        <v>19</v>
      </c>
      <c r="AF285" s="4">
        <v>5</v>
      </c>
      <c r="AG285" s="4">
        <v>5</v>
      </c>
      <c r="AH285" s="4">
        <v>3</v>
      </c>
      <c r="AI285" s="4">
        <v>4</v>
      </c>
      <c r="AJ285" s="4">
        <v>10</v>
      </c>
      <c r="AK285" s="4">
        <v>11</v>
      </c>
      <c r="AL285" s="4">
        <v>2</v>
      </c>
      <c r="AM285" s="4">
        <v>2</v>
      </c>
      <c r="AN285" s="4">
        <v>0</v>
      </c>
      <c r="AO285" s="4">
        <v>0</v>
      </c>
      <c r="AP285" s="3" t="s">
        <v>59</v>
      </c>
      <c r="AQ285" s="3" t="s">
        <v>69</v>
      </c>
      <c r="AR285" s="6" t="str">
        <f>HYPERLINK("http://catalog.hathitrust.org/Record/001499684","HathiTrust Record")</f>
        <v>HathiTrust Record</v>
      </c>
      <c r="AS285" s="6" t="str">
        <f>HYPERLINK("https://creighton-primo.hosted.exlibrisgroup.com/primo-explore/search?tab=default_tab&amp;search_scope=EVERYTHING&amp;vid=01CRU&amp;lang=en_US&amp;offset=0&amp;query=any,contains,991002995969702656","Catalog Record")</f>
        <v>Catalog Record</v>
      </c>
      <c r="AT285" s="6" t="str">
        <f>HYPERLINK("http://www.worldcat.org/oclc/564338","WorldCat Record")</f>
        <v>WorldCat Record</v>
      </c>
      <c r="AU285" s="3" t="s">
        <v>3323</v>
      </c>
      <c r="AV285" s="3" t="s">
        <v>3324</v>
      </c>
      <c r="AW285" s="3" t="s">
        <v>3325</v>
      </c>
      <c r="AX285" s="3" t="s">
        <v>3325</v>
      </c>
      <c r="AY285" s="3" t="s">
        <v>3326</v>
      </c>
      <c r="AZ285" s="3" t="s">
        <v>74</v>
      </c>
      <c r="BC285" s="3" t="s">
        <v>3327</v>
      </c>
      <c r="BD285" s="3" t="s">
        <v>3328</v>
      </c>
    </row>
    <row r="286" spans="1:56" ht="57.75" customHeight="1" x14ac:dyDescent="0.25">
      <c r="A286" s="7" t="s">
        <v>59</v>
      </c>
      <c r="B286" s="2" t="s">
        <v>3329</v>
      </c>
      <c r="C286" s="2" t="s">
        <v>3330</v>
      </c>
      <c r="D286" s="2" t="s">
        <v>3331</v>
      </c>
      <c r="F286" s="3" t="s">
        <v>59</v>
      </c>
      <c r="G286" s="3" t="s">
        <v>60</v>
      </c>
      <c r="H286" s="3" t="s">
        <v>59</v>
      </c>
      <c r="I286" s="3" t="s">
        <v>59</v>
      </c>
      <c r="J286" s="3" t="s">
        <v>61</v>
      </c>
      <c r="K286" s="2" t="s">
        <v>804</v>
      </c>
      <c r="L286" s="2" t="s">
        <v>3332</v>
      </c>
      <c r="M286" s="3" t="s">
        <v>255</v>
      </c>
      <c r="O286" s="3" t="s">
        <v>64</v>
      </c>
      <c r="P286" s="3" t="s">
        <v>467</v>
      </c>
      <c r="R286" s="3" t="s">
        <v>67</v>
      </c>
      <c r="S286" s="4">
        <v>10</v>
      </c>
      <c r="T286" s="4">
        <v>10</v>
      </c>
      <c r="U286" s="5" t="s">
        <v>3333</v>
      </c>
      <c r="V286" s="5" t="s">
        <v>3333</v>
      </c>
      <c r="W286" s="5" t="s">
        <v>3334</v>
      </c>
      <c r="X286" s="5" t="s">
        <v>3334</v>
      </c>
      <c r="Y286" s="4">
        <v>758</v>
      </c>
      <c r="Z286" s="4">
        <v>712</v>
      </c>
      <c r="AA286" s="4">
        <v>863</v>
      </c>
      <c r="AB286" s="4">
        <v>6</v>
      </c>
      <c r="AC286" s="4">
        <v>6</v>
      </c>
      <c r="AD286" s="4">
        <v>14</v>
      </c>
      <c r="AE286" s="4">
        <v>16</v>
      </c>
      <c r="AF286" s="4">
        <v>5</v>
      </c>
      <c r="AG286" s="4">
        <v>5</v>
      </c>
      <c r="AH286" s="4">
        <v>2</v>
      </c>
      <c r="AI286" s="4">
        <v>4</v>
      </c>
      <c r="AJ286" s="4">
        <v>6</v>
      </c>
      <c r="AK286" s="4">
        <v>7</v>
      </c>
      <c r="AL286" s="4">
        <v>4</v>
      </c>
      <c r="AM286" s="4">
        <v>4</v>
      </c>
      <c r="AN286" s="4">
        <v>0</v>
      </c>
      <c r="AO286" s="4">
        <v>0</v>
      </c>
      <c r="AP286" s="3" t="s">
        <v>59</v>
      </c>
      <c r="AQ286" s="3" t="s">
        <v>69</v>
      </c>
      <c r="AR286" s="6" t="str">
        <f>HYPERLINK("http://catalog.hathitrust.org/Record/008335849","HathiTrust Record")</f>
        <v>HathiTrust Record</v>
      </c>
      <c r="AS286" s="6" t="str">
        <f>HYPERLINK("https://creighton-primo.hosted.exlibrisgroup.com/primo-explore/search?tab=default_tab&amp;search_scope=EVERYTHING&amp;vid=01CRU&amp;lang=en_US&amp;offset=0&amp;query=any,contains,991002903919702656","Catalog Record")</f>
        <v>Catalog Record</v>
      </c>
      <c r="AT286" s="6" t="str">
        <f>HYPERLINK("http://www.worldcat.org/oclc/38295200","WorldCat Record")</f>
        <v>WorldCat Record</v>
      </c>
      <c r="AU286" s="3" t="s">
        <v>3335</v>
      </c>
      <c r="AV286" s="3" t="s">
        <v>3336</v>
      </c>
      <c r="AW286" s="3" t="s">
        <v>3337</v>
      </c>
      <c r="AX286" s="3" t="s">
        <v>3337</v>
      </c>
      <c r="AY286" s="3" t="s">
        <v>3338</v>
      </c>
      <c r="AZ286" s="3" t="s">
        <v>74</v>
      </c>
      <c r="BB286" s="3" t="s">
        <v>3339</v>
      </c>
      <c r="BC286" s="3" t="s">
        <v>3340</v>
      </c>
      <c r="BD286" s="3" t="s">
        <v>3341</v>
      </c>
    </row>
    <row r="287" spans="1:56" ht="57.75" customHeight="1" x14ac:dyDescent="0.25">
      <c r="A287" s="7" t="s">
        <v>59</v>
      </c>
      <c r="B287" s="2" t="s">
        <v>3342</v>
      </c>
      <c r="C287" s="2" t="s">
        <v>3343</v>
      </c>
      <c r="D287" s="2" t="s">
        <v>3344</v>
      </c>
      <c r="F287" s="3" t="s">
        <v>59</v>
      </c>
      <c r="G287" s="3" t="s">
        <v>60</v>
      </c>
      <c r="H287" s="3" t="s">
        <v>59</v>
      </c>
      <c r="I287" s="3" t="s">
        <v>59</v>
      </c>
      <c r="J287" s="3" t="s">
        <v>61</v>
      </c>
      <c r="K287" s="2" t="s">
        <v>3345</v>
      </c>
      <c r="L287" s="2" t="s">
        <v>3346</v>
      </c>
      <c r="M287" s="3" t="s">
        <v>864</v>
      </c>
      <c r="O287" s="3" t="s">
        <v>64</v>
      </c>
      <c r="P287" s="3" t="s">
        <v>405</v>
      </c>
      <c r="R287" s="3" t="s">
        <v>67</v>
      </c>
      <c r="S287" s="4">
        <v>4</v>
      </c>
      <c r="T287" s="4">
        <v>4</v>
      </c>
      <c r="U287" s="5" t="s">
        <v>3347</v>
      </c>
      <c r="V287" s="5" t="s">
        <v>3347</v>
      </c>
      <c r="W287" s="5" t="s">
        <v>2828</v>
      </c>
      <c r="X287" s="5" t="s">
        <v>2828</v>
      </c>
      <c r="Y287" s="4">
        <v>300</v>
      </c>
      <c r="Z287" s="4">
        <v>181</v>
      </c>
      <c r="AA287" s="4">
        <v>181</v>
      </c>
      <c r="AB287" s="4">
        <v>2</v>
      </c>
      <c r="AC287" s="4">
        <v>2</v>
      </c>
      <c r="AD287" s="4">
        <v>9</v>
      </c>
      <c r="AE287" s="4">
        <v>9</v>
      </c>
      <c r="AF287" s="4">
        <v>4</v>
      </c>
      <c r="AG287" s="4">
        <v>4</v>
      </c>
      <c r="AH287" s="4">
        <v>1</v>
      </c>
      <c r="AI287" s="4">
        <v>1</v>
      </c>
      <c r="AJ287" s="4">
        <v>7</v>
      </c>
      <c r="AK287" s="4">
        <v>7</v>
      </c>
      <c r="AL287" s="4">
        <v>1</v>
      </c>
      <c r="AM287" s="4">
        <v>1</v>
      </c>
      <c r="AN287" s="4">
        <v>0</v>
      </c>
      <c r="AO287" s="4">
        <v>0</v>
      </c>
      <c r="AP287" s="3" t="s">
        <v>59</v>
      </c>
      <c r="AQ287" s="3" t="s">
        <v>59</v>
      </c>
      <c r="AS287" s="6" t="str">
        <f>HYPERLINK("https://creighton-primo.hosted.exlibrisgroup.com/primo-explore/search?tab=default_tab&amp;search_scope=EVERYTHING&amp;vid=01CRU&amp;lang=en_US&amp;offset=0&amp;query=any,contains,991000850479702656","Catalog Record")</f>
        <v>Catalog Record</v>
      </c>
      <c r="AT287" s="6" t="str">
        <f>HYPERLINK("http://www.worldcat.org/oclc/149019","WorldCat Record")</f>
        <v>WorldCat Record</v>
      </c>
      <c r="AU287" s="3" t="s">
        <v>3348</v>
      </c>
      <c r="AV287" s="3" t="s">
        <v>3349</v>
      </c>
      <c r="AW287" s="3" t="s">
        <v>3350</v>
      </c>
      <c r="AX287" s="3" t="s">
        <v>3350</v>
      </c>
      <c r="AY287" s="3" t="s">
        <v>3351</v>
      </c>
      <c r="AZ287" s="3" t="s">
        <v>74</v>
      </c>
      <c r="BB287" s="3" t="s">
        <v>3352</v>
      </c>
      <c r="BC287" s="3" t="s">
        <v>3353</v>
      </c>
      <c r="BD287" s="3" t="s">
        <v>3354</v>
      </c>
    </row>
    <row r="288" spans="1:56" ht="57.75" customHeight="1" x14ac:dyDescent="0.25">
      <c r="A288" s="7" t="s">
        <v>59</v>
      </c>
      <c r="B288" s="2" t="s">
        <v>3355</v>
      </c>
      <c r="C288" s="2" t="s">
        <v>3356</v>
      </c>
      <c r="D288" s="2" t="s">
        <v>3357</v>
      </c>
      <c r="F288" s="3" t="s">
        <v>59</v>
      </c>
      <c r="G288" s="3" t="s">
        <v>60</v>
      </c>
      <c r="H288" s="3" t="s">
        <v>59</v>
      </c>
      <c r="I288" s="3" t="s">
        <v>59</v>
      </c>
      <c r="J288" s="3" t="s">
        <v>61</v>
      </c>
      <c r="K288" s="2" t="s">
        <v>3358</v>
      </c>
      <c r="L288" s="2" t="s">
        <v>3359</v>
      </c>
      <c r="M288" s="3" t="s">
        <v>452</v>
      </c>
      <c r="N288" s="2" t="s">
        <v>3360</v>
      </c>
      <c r="O288" s="3" t="s">
        <v>64</v>
      </c>
      <c r="P288" s="3" t="s">
        <v>405</v>
      </c>
      <c r="Q288" s="2" t="s">
        <v>3361</v>
      </c>
      <c r="R288" s="3" t="s">
        <v>67</v>
      </c>
      <c r="S288" s="4">
        <v>2</v>
      </c>
      <c r="T288" s="4">
        <v>2</v>
      </c>
      <c r="U288" s="5" t="s">
        <v>3362</v>
      </c>
      <c r="V288" s="5" t="s">
        <v>3362</v>
      </c>
      <c r="W288" s="5" t="s">
        <v>2828</v>
      </c>
      <c r="X288" s="5" t="s">
        <v>2828</v>
      </c>
      <c r="Y288" s="4">
        <v>302</v>
      </c>
      <c r="Z288" s="4">
        <v>243</v>
      </c>
      <c r="AA288" s="4">
        <v>470</v>
      </c>
      <c r="AB288" s="4">
        <v>3</v>
      </c>
      <c r="AC288" s="4">
        <v>3</v>
      </c>
      <c r="AD288" s="4">
        <v>7</v>
      </c>
      <c r="AE288" s="4">
        <v>21</v>
      </c>
      <c r="AF288" s="4">
        <v>3</v>
      </c>
      <c r="AG288" s="4">
        <v>9</v>
      </c>
      <c r="AH288" s="4">
        <v>1</v>
      </c>
      <c r="AI288" s="4">
        <v>5</v>
      </c>
      <c r="AJ288" s="4">
        <v>3</v>
      </c>
      <c r="AK288" s="4">
        <v>9</v>
      </c>
      <c r="AL288" s="4">
        <v>2</v>
      </c>
      <c r="AM288" s="4">
        <v>2</v>
      </c>
      <c r="AN288" s="4">
        <v>0</v>
      </c>
      <c r="AO288" s="4">
        <v>0</v>
      </c>
      <c r="AP288" s="3" t="s">
        <v>59</v>
      </c>
      <c r="AQ288" s="3" t="s">
        <v>69</v>
      </c>
      <c r="AR288" s="6" t="str">
        <f>HYPERLINK("http://catalog.hathitrust.org/Record/001499763","HathiTrust Record")</f>
        <v>HathiTrust Record</v>
      </c>
      <c r="AS288" s="6" t="str">
        <f>HYPERLINK("https://creighton-primo.hosted.exlibrisgroup.com/primo-explore/search?tab=default_tab&amp;search_scope=EVERYTHING&amp;vid=01CRU&amp;lang=en_US&amp;offset=0&amp;query=any,contains,991001157569702656","Catalog Record")</f>
        <v>Catalog Record</v>
      </c>
      <c r="AT288" s="6" t="str">
        <f>HYPERLINK("http://www.worldcat.org/oclc/185996","WorldCat Record")</f>
        <v>WorldCat Record</v>
      </c>
      <c r="AU288" s="3" t="s">
        <v>3363</v>
      </c>
      <c r="AV288" s="3" t="s">
        <v>3364</v>
      </c>
      <c r="AW288" s="3" t="s">
        <v>3365</v>
      </c>
      <c r="AX288" s="3" t="s">
        <v>3365</v>
      </c>
      <c r="AY288" s="3" t="s">
        <v>3366</v>
      </c>
      <c r="AZ288" s="3" t="s">
        <v>74</v>
      </c>
      <c r="BC288" s="3" t="s">
        <v>3367</v>
      </c>
      <c r="BD288" s="3" t="s">
        <v>3368</v>
      </c>
    </row>
    <row r="289" spans="1:56" ht="57.75" customHeight="1" x14ac:dyDescent="0.25">
      <c r="A289" s="7" t="s">
        <v>59</v>
      </c>
      <c r="B289" s="2" t="s">
        <v>3369</v>
      </c>
      <c r="C289" s="2" t="s">
        <v>3370</v>
      </c>
      <c r="D289" s="2" t="s">
        <v>3371</v>
      </c>
      <c r="E289" s="3" t="s">
        <v>917</v>
      </c>
      <c r="F289" s="3" t="s">
        <v>69</v>
      </c>
      <c r="G289" s="3" t="s">
        <v>60</v>
      </c>
      <c r="H289" s="3" t="s">
        <v>59</v>
      </c>
      <c r="I289" s="3" t="s">
        <v>59</v>
      </c>
      <c r="J289" s="3" t="s">
        <v>61</v>
      </c>
      <c r="K289" s="2" t="s">
        <v>3372</v>
      </c>
      <c r="L289" s="2" t="s">
        <v>3373</v>
      </c>
      <c r="M289" s="3" t="s">
        <v>738</v>
      </c>
      <c r="O289" s="3" t="s">
        <v>64</v>
      </c>
      <c r="P289" s="3" t="s">
        <v>467</v>
      </c>
      <c r="R289" s="3" t="s">
        <v>67</v>
      </c>
      <c r="S289" s="4">
        <v>6</v>
      </c>
      <c r="T289" s="4">
        <v>12</v>
      </c>
      <c r="U289" s="5" t="s">
        <v>407</v>
      </c>
      <c r="V289" s="5" t="s">
        <v>407</v>
      </c>
      <c r="W289" s="5" t="s">
        <v>2828</v>
      </c>
      <c r="X289" s="5" t="s">
        <v>2828</v>
      </c>
      <c r="Y289" s="4">
        <v>764</v>
      </c>
      <c r="Z289" s="4">
        <v>601</v>
      </c>
      <c r="AA289" s="4">
        <v>620</v>
      </c>
      <c r="AB289" s="4">
        <v>5</v>
      </c>
      <c r="AC289" s="4">
        <v>5</v>
      </c>
      <c r="AD289" s="4">
        <v>24</v>
      </c>
      <c r="AE289" s="4">
        <v>26</v>
      </c>
      <c r="AF289" s="4">
        <v>12</v>
      </c>
      <c r="AG289" s="4">
        <v>13</v>
      </c>
      <c r="AH289" s="4">
        <v>4</v>
      </c>
      <c r="AI289" s="4">
        <v>5</v>
      </c>
      <c r="AJ289" s="4">
        <v>11</v>
      </c>
      <c r="AK289" s="4">
        <v>11</v>
      </c>
      <c r="AL289" s="4">
        <v>4</v>
      </c>
      <c r="AM289" s="4">
        <v>4</v>
      </c>
      <c r="AN289" s="4">
        <v>0</v>
      </c>
      <c r="AO289" s="4">
        <v>0</v>
      </c>
      <c r="AP289" s="3" t="s">
        <v>59</v>
      </c>
      <c r="AQ289" s="3" t="s">
        <v>69</v>
      </c>
      <c r="AR289" s="6" t="str">
        <f>HYPERLINK("http://catalog.hathitrust.org/Record/001499768","HathiTrust Record")</f>
        <v>HathiTrust Record</v>
      </c>
      <c r="AS289" s="6" t="str">
        <f>HYPERLINK("https://creighton-primo.hosted.exlibrisgroup.com/primo-explore/search?tab=default_tab&amp;search_scope=EVERYTHING&amp;vid=01CRU&amp;lang=en_US&amp;offset=0&amp;query=any,contains,991001379719702656","Catalog Record")</f>
        <v>Catalog Record</v>
      </c>
      <c r="AT289" s="6" t="str">
        <f>HYPERLINK("http://www.worldcat.org/oclc/225922","WorldCat Record")</f>
        <v>WorldCat Record</v>
      </c>
      <c r="AU289" s="3" t="s">
        <v>3374</v>
      </c>
      <c r="AV289" s="3" t="s">
        <v>3375</v>
      </c>
      <c r="AW289" s="3" t="s">
        <v>3376</v>
      </c>
      <c r="AX289" s="3" t="s">
        <v>3376</v>
      </c>
      <c r="AY289" s="3" t="s">
        <v>3377</v>
      </c>
      <c r="AZ289" s="3" t="s">
        <v>74</v>
      </c>
      <c r="BC289" s="3" t="s">
        <v>3378</v>
      </c>
      <c r="BD289" s="3" t="s">
        <v>3379</v>
      </c>
    </row>
    <row r="290" spans="1:56" ht="57.75" customHeight="1" x14ac:dyDescent="0.25">
      <c r="A290" s="7" t="s">
        <v>59</v>
      </c>
      <c r="B290" s="2" t="s">
        <v>3369</v>
      </c>
      <c r="C290" s="2" t="s">
        <v>3370</v>
      </c>
      <c r="D290" s="2" t="s">
        <v>3371</v>
      </c>
      <c r="E290" s="3" t="s">
        <v>923</v>
      </c>
      <c r="F290" s="3" t="s">
        <v>69</v>
      </c>
      <c r="G290" s="3" t="s">
        <v>60</v>
      </c>
      <c r="H290" s="3" t="s">
        <v>59</v>
      </c>
      <c r="I290" s="3" t="s">
        <v>59</v>
      </c>
      <c r="J290" s="3" t="s">
        <v>61</v>
      </c>
      <c r="K290" s="2" t="s">
        <v>3372</v>
      </c>
      <c r="L290" s="2" t="s">
        <v>3373</v>
      </c>
      <c r="M290" s="3" t="s">
        <v>738</v>
      </c>
      <c r="O290" s="3" t="s">
        <v>64</v>
      </c>
      <c r="P290" s="3" t="s">
        <v>467</v>
      </c>
      <c r="R290" s="3" t="s">
        <v>67</v>
      </c>
      <c r="S290" s="4">
        <v>6</v>
      </c>
      <c r="T290" s="4">
        <v>12</v>
      </c>
      <c r="U290" s="5" t="s">
        <v>3380</v>
      </c>
      <c r="V290" s="5" t="s">
        <v>407</v>
      </c>
      <c r="W290" s="5" t="s">
        <v>2828</v>
      </c>
      <c r="X290" s="5" t="s">
        <v>2828</v>
      </c>
      <c r="Y290" s="4">
        <v>764</v>
      </c>
      <c r="Z290" s="4">
        <v>601</v>
      </c>
      <c r="AA290" s="4">
        <v>620</v>
      </c>
      <c r="AB290" s="4">
        <v>5</v>
      </c>
      <c r="AC290" s="4">
        <v>5</v>
      </c>
      <c r="AD290" s="4">
        <v>24</v>
      </c>
      <c r="AE290" s="4">
        <v>26</v>
      </c>
      <c r="AF290" s="4">
        <v>12</v>
      </c>
      <c r="AG290" s="4">
        <v>13</v>
      </c>
      <c r="AH290" s="4">
        <v>4</v>
      </c>
      <c r="AI290" s="4">
        <v>5</v>
      </c>
      <c r="AJ290" s="4">
        <v>11</v>
      </c>
      <c r="AK290" s="4">
        <v>11</v>
      </c>
      <c r="AL290" s="4">
        <v>4</v>
      </c>
      <c r="AM290" s="4">
        <v>4</v>
      </c>
      <c r="AN290" s="4">
        <v>0</v>
      </c>
      <c r="AO290" s="4">
        <v>0</v>
      </c>
      <c r="AP290" s="3" t="s">
        <v>59</v>
      </c>
      <c r="AQ290" s="3" t="s">
        <v>69</v>
      </c>
      <c r="AR290" s="6" t="str">
        <f>HYPERLINK("http://catalog.hathitrust.org/Record/001499768","HathiTrust Record")</f>
        <v>HathiTrust Record</v>
      </c>
      <c r="AS290" s="6" t="str">
        <f>HYPERLINK("https://creighton-primo.hosted.exlibrisgroup.com/primo-explore/search?tab=default_tab&amp;search_scope=EVERYTHING&amp;vid=01CRU&amp;lang=en_US&amp;offset=0&amp;query=any,contains,991001379719702656","Catalog Record")</f>
        <v>Catalog Record</v>
      </c>
      <c r="AT290" s="6" t="str">
        <f>HYPERLINK("http://www.worldcat.org/oclc/225922","WorldCat Record")</f>
        <v>WorldCat Record</v>
      </c>
      <c r="AU290" s="3" t="s">
        <v>3374</v>
      </c>
      <c r="AV290" s="3" t="s">
        <v>3375</v>
      </c>
      <c r="AW290" s="3" t="s">
        <v>3376</v>
      </c>
      <c r="AX290" s="3" t="s">
        <v>3376</v>
      </c>
      <c r="AY290" s="3" t="s">
        <v>3377</v>
      </c>
      <c r="AZ290" s="3" t="s">
        <v>74</v>
      </c>
      <c r="BC290" s="3" t="s">
        <v>3381</v>
      </c>
      <c r="BD290" s="3" t="s">
        <v>3382</v>
      </c>
    </row>
    <row r="291" spans="1:56" ht="57.75" customHeight="1" x14ac:dyDescent="0.25">
      <c r="A291" s="7" t="s">
        <v>59</v>
      </c>
      <c r="B291" s="2" t="s">
        <v>3383</v>
      </c>
      <c r="C291" s="2" t="s">
        <v>3384</v>
      </c>
      <c r="D291" s="2" t="s">
        <v>3385</v>
      </c>
      <c r="F291" s="3" t="s">
        <v>59</v>
      </c>
      <c r="G291" s="3" t="s">
        <v>60</v>
      </c>
      <c r="H291" s="3" t="s">
        <v>59</v>
      </c>
      <c r="I291" s="3" t="s">
        <v>59</v>
      </c>
      <c r="J291" s="3" t="s">
        <v>61</v>
      </c>
      <c r="K291" s="2" t="s">
        <v>3386</v>
      </c>
      <c r="L291" s="2" t="s">
        <v>3387</v>
      </c>
      <c r="M291" s="3" t="s">
        <v>571</v>
      </c>
      <c r="O291" s="3" t="s">
        <v>64</v>
      </c>
      <c r="P291" s="3" t="s">
        <v>1078</v>
      </c>
      <c r="Q291" s="2" t="s">
        <v>2951</v>
      </c>
      <c r="R291" s="3" t="s">
        <v>67</v>
      </c>
      <c r="S291" s="4">
        <v>6</v>
      </c>
      <c r="T291" s="4">
        <v>6</v>
      </c>
      <c r="U291" s="5" t="s">
        <v>3388</v>
      </c>
      <c r="V291" s="5" t="s">
        <v>3388</v>
      </c>
      <c r="W291" s="5" t="s">
        <v>3389</v>
      </c>
      <c r="X291" s="5" t="s">
        <v>3389</v>
      </c>
      <c r="Y291" s="4">
        <v>559</v>
      </c>
      <c r="Z291" s="4">
        <v>508</v>
      </c>
      <c r="AA291" s="4">
        <v>634</v>
      </c>
      <c r="AB291" s="4">
        <v>5</v>
      </c>
      <c r="AC291" s="4">
        <v>6</v>
      </c>
      <c r="AD291" s="4">
        <v>20</v>
      </c>
      <c r="AE291" s="4">
        <v>23</v>
      </c>
      <c r="AF291" s="4">
        <v>7</v>
      </c>
      <c r="AG291" s="4">
        <v>7</v>
      </c>
      <c r="AH291" s="4">
        <v>4</v>
      </c>
      <c r="AI291" s="4">
        <v>5</v>
      </c>
      <c r="AJ291" s="4">
        <v>10</v>
      </c>
      <c r="AK291" s="4">
        <v>11</v>
      </c>
      <c r="AL291" s="4">
        <v>4</v>
      </c>
      <c r="AM291" s="4">
        <v>5</v>
      </c>
      <c r="AN291" s="4">
        <v>0</v>
      </c>
      <c r="AO291" s="4">
        <v>0</v>
      </c>
      <c r="AP291" s="3" t="s">
        <v>59</v>
      </c>
      <c r="AQ291" s="3" t="s">
        <v>59</v>
      </c>
      <c r="AS291" s="6" t="str">
        <f>HYPERLINK("https://creighton-primo.hosted.exlibrisgroup.com/primo-explore/search?tab=default_tab&amp;search_scope=EVERYTHING&amp;vid=01CRU&amp;lang=en_US&amp;offset=0&amp;query=any,contains,991002985059702656","Catalog Record")</f>
        <v>Catalog Record</v>
      </c>
      <c r="AT291" s="6" t="str">
        <f>HYPERLINK("http://www.worldcat.org/oclc/557139","WorldCat Record")</f>
        <v>WorldCat Record</v>
      </c>
      <c r="AU291" s="3" t="s">
        <v>3390</v>
      </c>
      <c r="AV291" s="3" t="s">
        <v>3391</v>
      </c>
      <c r="AW291" s="3" t="s">
        <v>3392</v>
      </c>
      <c r="AX291" s="3" t="s">
        <v>3392</v>
      </c>
      <c r="AY291" s="3" t="s">
        <v>3393</v>
      </c>
      <c r="AZ291" s="3" t="s">
        <v>74</v>
      </c>
      <c r="BC291" s="3" t="s">
        <v>3394</v>
      </c>
      <c r="BD291" s="3" t="s">
        <v>3395</v>
      </c>
    </row>
    <row r="292" spans="1:56" ht="57.75" customHeight="1" x14ac:dyDescent="0.25">
      <c r="A292" s="7" t="s">
        <v>59</v>
      </c>
      <c r="B292" s="2" t="s">
        <v>3396</v>
      </c>
      <c r="C292" s="2" t="s">
        <v>3397</v>
      </c>
      <c r="D292" s="2" t="s">
        <v>3398</v>
      </c>
      <c r="F292" s="3" t="s">
        <v>59</v>
      </c>
      <c r="G292" s="3" t="s">
        <v>60</v>
      </c>
      <c r="H292" s="3" t="s">
        <v>59</v>
      </c>
      <c r="I292" s="3" t="s">
        <v>59</v>
      </c>
      <c r="J292" s="3" t="s">
        <v>61</v>
      </c>
      <c r="K292" s="2" t="s">
        <v>3399</v>
      </c>
      <c r="L292" s="2" t="s">
        <v>3400</v>
      </c>
      <c r="M292" s="3" t="s">
        <v>931</v>
      </c>
      <c r="O292" s="3" t="s">
        <v>64</v>
      </c>
      <c r="P292" s="3" t="s">
        <v>467</v>
      </c>
      <c r="Q292" s="2" t="s">
        <v>3401</v>
      </c>
      <c r="R292" s="3" t="s">
        <v>67</v>
      </c>
      <c r="S292" s="4">
        <v>3</v>
      </c>
      <c r="T292" s="4">
        <v>3</v>
      </c>
      <c r="U292" s="5" t="s">
        <v>3402</v>
      </c>
      <c r="V292" s="5" t="s">
        <v>3402</v>
      </c>
      <c r="W292" s="5" t="s">
        <v>3403</v>
      </c>
      <c r="X292" s="5" t="s">
        <v>3403</v>
      </c>
      <c r="Y292" s="4">
        <v>485</v>
      </c>
      <c r="Z292" s="4">
        <v>467</v>
      </c>
      <c r="AA292" s="4">
        <v>582</v>
      </c>
      <c r="AB292" s="4">
        <v>6</v>
      </c>
      <c r="AC292" s="4">
        <v>7</v>
      </c>
      <c r="AD292" s="4">
        <v>26</v>
      </c>
      <c r="AE292" s="4">
        <v>29</v>
      </c>
      <c r="AF292" s="4">
        <v>10</v>
      </c>
      <c r="AG292" s="4">
        <v>11</v>
      </c>
      <c r="AH292" s="4">
        <v>4</v>
      </c>
      <c r="AI292" s="4">
        <v>5</v>
      </c>
      <c r="AJ292" s="4">
        <v>12</v>
      </c>
      <c r="AK292" s="4">
        <v>13</v>
      </c>
      <c r="AL292" s="4">
        <v>5</v>
      </c>
      <c r="AM292" s="4">
        <v>6</v>
      </c>
      <c r="AN292" s="4">
        <v>0</v>
      </c>
      <c r="AO292" s="4">
        <v>0</v>
      </c>
      <c r="AP292" s="3" t="s">
        <v>59</v>
      </c>
      <c r="AQ292" s="3" t="s">
        <v>69</v>
      </c>
      <c r="AR292" s="6" t="str">
        <f>HYPERLINK("http://catalog.hathitrust.org/Record/001499775","HathiTrust Record")</f>
        <v>HathiTrust Record</v>
      </c>
      <c r="AS292" s="6" t="str">
        <f>HYPERLINK("https://creighton-primo.hosted.exlibrisgroup.com/primo-explore/search?tab=default_tab&amp;search_scope=EVERYTHING&amp;vid=01CRU&amp;lang=en_US&amp;offset=0&amp;query=any,contains,991003274149702656","Catalog Record")</f>
        <v>Catalog Record</v>
      </c>
      <c r="AT292" s="6" t="str">
        <f>HYPERLINK("http://www.worldcat.org/oclc/798929","WorldCat Record")</f>
        <v>WorldCat Record</v>
      </c>
      <c r="AU292" s="3" t="s">
        <v>3404</v>
      </c>
      <c r="AV292" s="3" t="s">
        <v>3405</v>
      </c>
      <c r="AW292" s="3" t="s">
        <v>3406</v>
      </c>
      <c r="AX292" s="3" t="s">
        <v>3406</v>
      </c>
      <c r="AY292" s="3" t="s">
        <v>3407</v>
      </c>
      <c r="AZ292" s="3" t="s">
        <v>74</v>
      </c>
      <c r="BB292" s="3" t="s">
        <v>3408</v>
      </c>
      <c r="BC292" s="3" t="s">
        <v>3409</v>
      </c>
      <c r="BD292" s="3" t="s">
        <v>3410</v>
      </c>
    </row>
    <row r="293" spans="1:56" ht="57.75" customHeight="1" x14ac:dyDescent="0.25">
      <c r="A293" s="7" t="s">
        <v>59</v>
      </c>
      <c r="B293" s="2" t="s">
        <v>3411</v>
      </c>
      <c r="C293" s="2" t="s">
        <v>3412</v>
      </c>
      <c r="D293" s="2" t="s">
        <v>3413</v>
      </c>
      <c r="F293" s="3" t="s">
        <v>59</v>
      </c>
      <c r="G293" s="3" t="s">
        <v>60</v>
      </c>
      <c r="H293" s="3" t="s">
        <v>59</v>
      </c>
      <c r="I293" s="3" t="s">
        <v>59</v>
      </c>
      <c r="J293" s="3" t="s">
        <v>61</v>
      </c>
      <c r="K293" s="2" t="s">
        <v>3414</v>
      </c>
      <c r="L293" s="2" t="s">
        <v>3415</v>
      </c>
      <c r="M293" s="3" t="s">
        <v>1701</v>
      </c>
      <c r="O293" s="3" t="s">
        <v>64</v>
      </c>
      <c r="P293" s="3" t="s">
        <v>405</v>
      </c>
      <c r="R293" s="3" t="s">
        <v>67</v>
      </c>
      <c r="S293" s="4">
        <v>8</v>
      </c>
      <c r="T293" s="4">
        <v>8</v>
      </c>
      <c r="U293" s="5" t="s">
        <v>3388</v>
      </c>
      <c r="V293" s="5" t="s">
        <v>3388</v>
      </c>
      <c r="W293" s="5" t="s">
        <v>3416</v>
      </c>
      <c r="X293" s="5" t="s">
        <v>3416</v>
      </c>
      <c r="Y293" s="4">
        <v>598</v>
      </c>
      <c r="Z293" s="4">
        <v>424</v>
      </c>
      <c r="AA293" s="4">
        <v>425</v>
      </c>
      <c r="AB293" s="4">
        <v>6</v>
      </c>
      <c r="AC293" s="4">
        <v>6</v>
      </c>
      <c r="AD293" s="4">
        <v>25</v>
      </c>
      <c r="AE293" s="4">
        <v>25</v>
      </c>
      <c r="AF293" s="4">
        <v>8</v>
      </c>
      <c r="AG293" s="4">
        <v>8</v>
      </c>
      <c r="AH293" s="4">
        <v>7</v>
      </c>
      <c r="AI293" s="4">
        <v>7</v>
      </c>
      <c r="AJ293" s="4">
        <v>12</v>
      </c>
      <c r="AK293" s="4">
        <v>12</v>
      </c>
      <c r="AL293" s="4">
        <v>5</v>
      </c>
      <c r="AM293" s="4">
        <v>5</v>
      </c>
      <c r="AN293" s="4">
        <v>0</v>
      </c>
      <c r="AO293" s="4">
        <v>0</v>
      </c>
      <c r="AP293" s="3" t="s">
        <v>59</v>
      </c>
      <c r="AQ293" s="3" t="s">
        <v>69</v>
      </c>
      <c r="AR293" s="6" t="str">
        <f>HYPERLINK("http://catalog.hathitrust.org/Record/000735197","HathiTrust Record")</f>
        <v>HathiTrust Record</v>
      </c>
      <c r="AS293" s="6" t="str">
        <f>HYPERLINK("https://creighton-primo.hosted.exlibrisgroup.com/primo-explore/search?tab=default_tab&amp;search_scope=EVERYTHING&amp;vid=01CRU&amp;lang=en_US&amp;offset=0&amp;query=any,contains,991004277359702656","Catalog Record")</f>
        <v>Catalog Record</v>
      </c>
      <c r="AT293" s="6" t="str">
        <f>HYPERLINK("http://www.worldcat.org/oclc/2896202","WorldCat Record")</f>
        <v>WorldCat Record</v>
      </c>
      <c r="AU293" s="3" t="s">
        <v>3417</v>
      </c>
      <c r="AV293" s="3" t="s">
        <v>3418</v>
      </c>
      <c r="AW293" s="3" t="s">
        <v>3419</v>
      </c>
      <c r="AX293" s="3" t="s">
        <v>3419</v>
      </c>
      <c r="AY293" s="3" t="s">
        <v>3420</v>
      </c>
      <c r="AZ293" s="3" t="s">
        <v>74</v>
      </c>
      <c r="BB293" s="3" t="s">
        <v>3421</v>
      </c>
      <c r="BC293" s="3" t="s">
        <v>3422</v>
      </c>
      <c r="BD293" s="3" t="s">
        <v>3423</v>
      </c>
    </row>
    <row r="294" spans="1:56" ht="57.75" customHeight="1" x14ac:dyDescent="0.25">
      <c r="A294" s="7" t="s">
        <v>59</v>
      </c>
      <c r="B294" s="2" t="s">
        <v>3424</v>
      </c>
      <c r="C294" s="2" t="s">
        <v>3425</v>
      </c>
      <c r="D294" s="2" t="s">
        <v>3426</v>
      </c>
      <c r="F294" s="3" t="s">
        <v>59</v>
      </c>
      <c r="G294" s="3" t="s">
        <v>60</v>
      </c>
      <c r="H294" s="3" t="s">
        <v>59</v>
      </c>
      <c r="I294" s="3" t="s">
        <v>59</v>
      </c>
      <c r="J294" s="3" t="s">
        <v>61</v>
      </c>
      <c r="L294" s="2" t="s">
        <v>3427</v>
      </c>
      <c r="M294" s="3" t="s">
        <v>835</v>
      </c>
      <c r="O294" s="3" t="s">
        <v>64</v>
      </c>
      <c r="P294" s="3" t="s">
        <v>467</v>
      </c>
      <c r="R294" s="3" t="s">
        <v>67</v>
      </c>
      <c r="S294" s="4">
        <v>8</v>
      </c>
      <c r="T294" s="4">
        <v>8</v>
      </c>
      <c r="U294" s="5" t="s">
        <v>1950</v>
      </c>
      <c r="V294" s="5" t="s">
        <v>1950</v>
      </c>
      <c r="W294" s="5" t="s">
        <v>3416</v>
      </c>
      <c r="X294" s="5" t="s">
        <v>3416</v>
      </c>
      <c r="Y294" s="4">
        <v>482</v>
      </c>
      <c r="Z294" s="4">
        <v>371</v>
      </c>
      <c r="AA294" s="4">
        <v>381</v>
      </c>
      <c r="AB294" s="4">
        <v>5</v>
      </c>
      <c r="AC294" s="4">
        <v>5</v>
      </c>
      <c r="AD294" s="4">
        <v>15</v>
      </c>
      <c r="AE294" s="4">
        <v>15</v>
      </c>
      <c r="AF294" s="4">
        <v>4</v>
      </c>
      <c r="AG294" s="4">
        <v>4</v>
      </c>
      <c r="AH294" s="4">
        <v>4</v>
      </c>
      <c r="AI294" s="4">
        <v>4</v>
      </c>
      <c r="AJ294" s="4">
        <v>9</v>
      </c>
      <c r="AK294" s="4">
        <v>9</v>
      </c>
      <c r="AL294" s="4">
        <v>4</v>
      </c>
      <c r="AM294" s="4">
        <v>4</v>
      </c>
      <c r="AN294" s="4">
        <v>0</v>
      </c>
      <c r="AO294" s="4">
        <v>0</v>
      </c>
      <c r="AP294" s="3" t="s">
        <v>59</v>
      </c>
      <c r="AQ294" s="3" t="s">
        <v>69</v>
      </c>
      <c r="AR294" s="6" t="str">
        <f>HYPERLINK("http://catalog.hathitrust.org/Record/000177792","HathiTrust Record")</f>
        <v>HathiTrust Record</v>
      </c>
      <c r="AS294" s="6" t="str">
        <f>HYPERLINK("https://creighton-primo.hosted.exlibrisgroup.com/primo-explore/search?tab=default_tab&amp;search_scope=EVERYTHING&amp;vid=01CRU&amp;lang=en_US&amp;offset=0&amp;query=any,contains,991004572689702656","Catalog Record")</f>
        <v>Catalog Record</v>
      </c>
      <c r="AT294" s="6" t="str">
        <f>HYPERLINK("http://www.worldcat.org/oclc/4036530","WorldCat Record")</f>
        <v>WorldCat Record</v>
      </c>
      <c r="AU294" s="3" t="s">
        <v>3428</v>
      </c>
      <c r="AV294" s="3" t="s">
        <v>3429</v>
      </c>
      <c r="AW294" s="3" t="s">
        <v>3430</v>
      </c>
      <c r="AX294" s="3" t="s">
        <v>3430</v>
      </c>
      <c r="AY294" s="3" t="s">
        <v>3431</v>
      </c>
      <c r="AZ294" s="3" t="s">
        <v>74</v>
      </c>
      <c r="BB294" s="3" t="s">
        <v>3432</v>
      </c>
      <c r="BC294" s="3" t="s">
        <v>3433</v>
      </c>
      <c r="BD294" s="3" t="s">
        <v>3434</v>
      </c>
    </row>
    <row r="295" spans="1:56" ht="57.75" customHeight="1" x14ac:dyDescent="0.25">
      <c r="A295" s="7" t="s">
        <v>59</v>
      </c>
      <c r="B295" s="2" t="s">
        <v>3435</v>
      </c>
      <c r="C295" s="2" t="s">
        <v>3436</v>
      </c>
      <c r="D295" s="2" t="s">
        <v>3437</v>
      </c>
      <c r="F295" s="3" t="s">
        <v>59</v>
      </c>
      <c r="G295" s="3" t="s">
        <v>60</v>
      </c>
      <c r="H295" s="3" t="s">
        <v>59</v>
      </c>
      <c r="I295" s="3" t="s">
        <v>59</v>
      </c>
      <c r="J295" s="3" t="s">
        <v>61</v>
      </c>
      <c r="L295" s="2" t="s">
        <v>3438</v>
      </c>
      <c r="M295" s="3" t="s">
        <v>540</v>
      </c>
      <c r="O295" s="3" t="s">
        <v>64</v>
      </c>
      <c r="P295" s="3" t="s">
        <v>467</v>
      </c>
      <c r="R295" s="3" t="s">
        <v>67</v>
      </c>
      <c r="S295" s="4">
        <v>5</v>
      </c>
      <c r="T295" s="4">
        <v>5</v>
      </c>
      <c r="U295" s="5" t="s">
        <v>3388</v>
      </c>
      <c r="V295" s="5" t="s">
        <v>3388</v>
      </c>
      <c r="W295" s="5" t="s">
        <v>3416</v>
      </c>
      <c r="X295" s="5" t="s">
        <v>3416</v>
      </c>
      <c r="Y295" s="4">
        <v>311</v>
      </c>
      <c r="Z295" s="4">
        <v>228</v>
      </c>
      <c r="AA295" s="4">
        <v>250</v>
      </c>
      <c r="AB295" s="4">
        <v>2</v>
      </c>
      <c r="AC295" s="4">
        <v>2</v>
      </c>
      <c r="AD295" s="4">
        <v>6</v>
      </c>
      <c r="AE295" s="4">
        <v>7</v>
      </c>
      <c r="AF295" s="4">
        <v>0</v>
      </c>
      <c r="AG295" s="4">
        <v>1</v>
      </c>
      <c r="AH295" s="4">
        <v>4</v>
      </c>
      <c r="AI295" s="4">
        <v>4</v>
      </c>
      <c r="AJ295" s="4">
        <v>4</v>
      </c>
      <c r="AK295" s="4">
        <v>5</v>
      </c>
      <c r="AL295" s="4">
        <v>1</v>
      </c>
      <c r="AM295" s="4">
        <v>1</v>
      </c>
      <c r="AN295" s="4">
        <v>0</v>
      </c>
      <c r="AO295" s="4">
        <v>0</v>
      </c>
      <c r="AP295" s="3" t="s">
        <v>59</v>
      </c>
      <c r="AQ295" s="3" t="s">
        <v>69</v>
      </c>
      <c r="AR295" s="6" t="str">
        <f>HYPERLINK("http://catalog.hathitrust.org/Record/000151260","HathiTrust Record")</f>
        <v>HathiTrust Record</v>
      </c>
      <c r="AS295" s="6" t="str">
        <f>HYPERLINK("https://creighton-primo.hosted.exlibrisgroup.com/primo-explore/search?tab=default_tab&amp;search_scope=EVERYTHING&amp;vid=01CRU&amp;lang=en_US&amp;offset=0&amp;query=any,contains,991005151779702656","Catalog Record")</f>
        <v>Catalog Record</v>
      </c>
      <c r="AT295" s="6" t="str">
        <f>HYPERLINK("http://www.worldcat.org/oclc/7733216","WorldCat Record")</f>
        <v>WorldCat Record</v>
      </c>
      <c r="AU295" s="3" t="s">
        <v>3439</v>
      </c>
      <c r="AV295" s="3" t="s">
        <v>3440</v>
      </c>
      <c r="AW295" s="3" t="s">
        <v>3441</v>
      </c>
      <c r="AX295" s="3" t="s">
        <v>3441</v>
      </c>
      <c r="AY295" s="3" t="s">
        <v>3442</v>
      </c>
      <c r="AZ295" s="3" t="s">
        <v>74</v>
      </c>
      <c r="BB295" s="3" t="s">
        <v>3443</v>
      </c>
      <c r="BC295" s="3" t="s">
        <v>3444</v>
      </c>
      <c r="BD295" s="3" t="s">
        <v>3445</v>
      </c>
    </row>
    <row r="296" spans="1:56" ht="57.75" customHeight="1" x14ac:dyDescent="0.25">
      <c r="A296" s="7" t="s">
        <v>59</v>
      </c>
      <c r="B296" s="2" t="s">
        <v>3446</v>
      </c>
      <c r="C296" s="2" t="s">
        <v>3447</v>
      </c>
      <c r="D296" s="2" t="s">
        <v>3448</v>
      </c>
      <c r="F296" s="3" t="s">
        <v>59</v>
      </c>
      <c r="G296" s="3" t="s">
        <v>60</v>
      </c>
      <c r="H296" s="3" t="s">
        <v>59</v>
      </c>
      <c r="I296" s="3" t="s">
        <v>59</v>
      </c>
      <c r="J296" s="3" t="s">
        <v>61</v>
      </c>
      <c r="K296" s="2" t="s">
        <v>3449</v>
      </c>
      <c r="L296" s="2" t="s">
        <v>3450</v>
      </c>
      <c r="M296" s="3" t="s">
        <v>436</v>
      </c>
      <c r="O296" s="3" t="s">
        <v>64</v>
      </c>
      <c r="P296" s="3" t="s">
        <v>1268</v>
      </c>
      <c r="Q296" s="2" t="s">
        <v>3451</v>
      </c>
      <c r="R296" s="3" t="s">
        <v>67</v>
      </c>
      <c r="S296" s="4">
        <v>8</v>
      </c>
      <c r="T296" s="4">
        <v>8</v>
      </c>
      <c r="U296" s="5" t="s">
        <v>1458</v>
      </c>
      <c r="V296" s="5" t="s">
        <v>1458</v>
      </c>
      <c r="W296" s="5" t="s">
        <v>3416</v>
      </c>
      <c r="X296" s="5" t="s">
        <v>3416</v>
      </c>
      <c r="Y296" s="4">
        <v>536</v>
      </c>
      <c r="Z296" s="4">
        <v>376</v>
      </c>
      <c r="AA296" s="4">
        <v>547</v>
      </c>
      <c r="AB296" s="4">
        <v>4</v>
      </c>
      <c r="AC296" s="4">
        <v>5</v>
      </c>
      <c r="AD296" s="4">
        <v>15</v>
      </c>
      <c r="AE296" s="4">
        <v>26</v>
      </c>
      <c r="AF296" s="4">
        <v>3</v>
      </c>
      <c r="AG296" s="4">
        <v>10</v>
      </c>
      <c r="AH296" s="4">
        <v>4</v>
      </c>
      <c r="AI296" s="4">
        <v>6</v>
      </c>
      <c r="AJ296" s="4">
        <v>7</v>
      </c>
      <c r="AK296" s="4">
        <v>12</v>
      </c>
      <c r="AL296" s="4">
        <v>3</v>
      </c>
      <c r="AM296" s="4">
        <v>4</v>
      </c>
      <c r="AN296" s="4">
        <v>0</v>
      </c>
      <c r="AO296" s="4">
        <v>0</v>
      </c>
      <c r="AP296" s="3" t="s">
        <v>59</v>
      </c>
      <c r="AQ296" s="3" t="s">
        <v>59</v>
      </c>
      <c r="AS296" s="6" t="str">
        <f>HYPERLINK("https://creighton-primo.hosted.exlibrisgroup.com/primo-explore/search?tab=default_tab&amp;search_scope=EVERYTHING&amp;vid=01CRU&amp;lang=en_US&amp;offset=0&amp;query=any,contains,991004528529702656","Catalog Record")</f>
        <v>Catalog Record</v>
      </c>
      <c r="AT296" s="6" t="str">
        <f>HYPERLINK("http://www.worldcat.org/oclc/3844383","WorldCat Record")</f>
        <v>WorldCat Record</v>
      </c>
      <c r="AU296" s="3" t="s">
        <v>3452</v>
      </c>
      <c r="AV296" s="3" t="s">
        <v>3453</v>
      </c>
      <c r="AW296" s="3" t="s">
        <v>3454</v>
      </c>
      <c r="AX296" s="3" t="s">
        <v>3454</v>
      </c>
      <c r="AY296" s="3" t="s">
        <v>3455</v>
      </c>
      <c r="AZ296" s="3" t="s">
        <v>74</v>
      </c>
      <c r="BB296" s="3" t="s">
        <v>3456</v>
      </c>
      <c r="BC296" s="3" t="s">
        <v>3457</v>
      </c>
      <c r="BD296" s="3" t="s">
        <v>3458</v>
      </c>
    </row>
    <row r="297" spans="1:56" ht="57.75" customHeight="1" x14ac:dyDescent="0.25">
      <c r="A297" s="7" t="s">
        <v>59</v>
      </c>
      <c r="B297" s="2" t="s">
        <v>3459</v>
      </c>
      <c r="C297" s="2" t="s">
        <v>3460</v>
      </c>
      <c r="D297" s="2" t="s">
        <v>3461</v>
      </c>
      <c r="E297" s="3" t="s">
        <v>2257</v>
      </c>
      <c r="F297" s="3" t="s">
        <v>59</v>
      </c>
      <c r="G297" s="3" t="s">
        <v>60</v>
      </c>
      <c r="H297" s="3" t="s">
        <v>59</v>
      </c>
      <c r="I297" s="3" t="s">
        <v>59</v>
      </c>
      <c r="J297" s="3" t="s">
        <v>61</v>
      </c>
      <c r="L297" s="2" t="s">
        <v>3462</v>
      </c>
      <c r="M297" s="3" t="s">
        <v>2073</v>
      </c>
      <c r="O297" s="3" t="s">
        <v>64</v>
      </c>
      <c r="P297" s="3" t="s">
        <v>467</v>
      </c>
      <c r="Q297" s="2" t="s">
        <v>3463</v>
      </c>
      <c r="R297" s="3" t="s">
        <v>67</v>
      </c>
      <c r="S297" s="4">
        <v>7</v>
      </c>
      <c r="T297" s="4">
        <v>7</v>
      </c>
      <c r="U297" s="5" t="s">
        <v>3464</v>
      </c>
      <c r="V297" s="5" t="s">
        <v>3464</v>
      </c>
      <c r="W297" s="5" t="s">
        <v>2181</v>
      </c>
      <c r="X297" s="5" t="s">
        <v>2181</v>
      </c>
      <c r="Y297" s="4">
        <v>176</v>
      </c>
      <c r="Z297" s="4">
        <v>119</v>
      </c>
      <c r="AA297" s="4">
        <v>140</v>
      </c>
      <c r="AB297" s="4">
        <v>1</v>
      </c>
      <c r="AC297" s="4">
        <v>2</v>
      </c>
      <c r="AD297" s="4">
        <v>2</v>
      </c>
      <c r="AE297" s="4">
        <v>4</v>
      </c>
      <c r="AF297" s="4">
        <v>1</v>
      </c>
      <c r="AG297" s="4">
        <v>2</v>
      </c>
      <c r="AH297" s="4">
        <v>0</v>
      </c>
      <c r="AI297" s="4">
        <v>1</v>
      </c>
      <c r="AJ297" s="4">
        <v>1</v>
      </c>
      <c r="AK297" s="4">
        <v>1</v>
      </c>
      <c r="AL297" s="4">
        <v>0</v>
      </c>
      <c r="AM297" s="4">
        <v>1</v>
      </c>
      <c r="AN297" s="4">
        <v>0</v>
      </c>
      <c r="AO297" s="4">
        <v>0</v>
      </c>
      <c r="AP297" s="3" t="s">
        <v>59</v>
      </c>
      <c r="AQ297" s="3" t="s">
        <v>69</v>
      </c>
      <c r="AR297" s="6" t="str">
        <f>HYPERLINK("http://catalog.hathitrust.org/Record/008335957","HathiTrust Record")</f>
        <v>HathiTrust Record</v>
      </c>
      <c r="AS297" s="6" t="str">
        <f>HYPERLINK("https://creighton-primo.hosted.exlibrisgroup.com/primo-explore/search?tab=default_tab&amp;search_scope=EVERYTHING&amp;vid=01CRU&amp;lang=en_US&amp;offset=0&amp;query=any,contains,991000085809702656","Catalog Record")</f>
        <v>Catalog Record</v>
      </c>
      <c r="AT297" s="6" t="str">
        <f>HYPERLINK("http://www.worldcat.org/oclc/8865383","WorldCat Record")</f>
        <v>WorldCat Record</v>
      </c>
      <c r="AU297" s="3" t="s">
        <v>3465</v>
      </c>
      <c r="AV297" s="3" t="s">
        <v>3466</v>
      </c>
      <c r="AW297" s="3" t="s">
        <v>3467</v>
      </c>
      <c r="AX297" s="3" t="s">
        <v>3467</v>
      </c>
      <c r="AY297" s="3" t="s">
        <v>3468</v>
      </c>
      <c r="AZ297" s="3" t="s">
        <v>74</v>
      </c>
      <c r="BB297" s="3" t="s">
        <v>3469</v>
      </c>
      <c r="BC297" s="3" t="s">
        <v>3470</v>
      </c>
      <c r="BD297" s="3" t="s">
        <v>3471</v>
      </c>
    </row>
    <row r="298" spans="1:56" ht="57.75" customHeight="1" x14ac:dyDescent="0.25">
      <c r="A298" s="7" t="s">
        <v>59</v>
      </c>
      <c r="B298" s="2" t="s">
        <v>3472</v>
      </c>
      <c r="C298" s="2" t="s">
        <v>3473</v>
      </c>
      <c r="D298" s="2" t="s">
        <v>3474</v>
      </c>
      <c r="F298" s="3" t="s">
        <v>59</v>
      </c>
      <c r="G298" s="3" t="s">
        <v>60</v>
      </c>
      <c r="H298" s="3" t="s">
        <v>59</v>
      </c>
      <c r="I298" s="3" t="s">
        <v>59</v>
      </c>
      <c r="J298" s="3" t="s">
        <v>61</v>
      </c>
      <c r="K298" s="2" t="s">
        <v>3475</v>
      </c>
      <c r="L298" s="2" t="s">
        <v>3476</v>
      </c>
      <c r="M298" s="3" t="s">
        <v>2202</v>
      </c>
      <c r="N298" s="2" t="s">
        <v>3477</v>
      </c>
      <c r="O298" s="3" t="s">
        <v>64</v>
      </c>
      <c r="P298" s="3" t="s">
        <v>541</v>
      </c>
      <c r="Q298" s="2" t="s">
        <v>3478</v>
      </c>
      <c r="R298" s="3" t="s">
        <v>67</v>
      </c>
      <c r="S298" s="4">
        <v>1</v>
      </c>
      <c r="T298" s="4">
        <v>1</v>
      </c>
      <c r="U298" s="5" t="s">
        <v>3009</v>
      </c>
      <c r="V298" s="5" t="s">
        <v>3009</v>
      </c>
      <c r="W298" s="5" t="s">
        <v>2828</v>
      </c>
      <c r="X298" s="5" t="s">
        <v>2828</v>
      </c>
      <c r="Y298" s="4">
        <v>92</v>
      </c>
      <c r="Z298" s="4">
        <v>80</v>
      </c>
      <c r="AA298" s="4">
        <v>81</v>
      </c>
      <c r="AB298" s="4">
        <v>1</v>
      </c>
      <c r="AC298" s="4">
        <v>1</v>
      </c>
      <c r="AD298" s="4">
        <v>1</v>
      </c>
      <c r="AE298" s="4">
        <v>1</v>
      </c>
      <c r="AF298" s="4">
        <v>0</v>
      </c>
      <c r="AG298" s="4">
        <v>0</v>
      </c>
      <c r="AH298" s="4">
        <v>1</v>
      </c>
      <c r="AI298" s="4">
        <v>1</v>
      </c>
      <c r="AJ298" s="4">
        <v>1</v>
      </c>
      <c r="AK298" s="4">
        <v>1</v>
      </c>
      <c r="AL298" s="4">
        <v>0</v>
      </c>
      <c r="AM298" s="4">
        <v>0</v>
      </c>
      <c r="AN298" s="4">
        <v>0</v>
      </c>
      <c r="AO298" s="4">
        <v>0</v>
      </c>
      <c r="AP298" s="3" t="s">
        <v>59</v>
      </c>
      <c r="AQ298" s="3" t="s">
        <v>69</v>
      </c>
      <c r="AR298" s="6" t="str">
        <f>HYPERLINK("http://catalog.hathitrust.org/Record/008335994","HathiTrust Record")</f>
        <v>HathiTrust Record</v>
      </c>
      <c r="AS298" s="6" t="str">
        <f>HYPERLINK("https://creighton-primo.hosted.exlibrisgroup.com/primo-explore/search?tab=default_tab&amp;search_scope=EVERYTHING&amp;vid=01CRU&amp;lang=en_US&amp;offset=0&amp;query=any,contains,991000599189702656","Catalog Record")</f>
        <v>Catalog Record</v>
      </c>
      <c r="AT298" s="6" t="str">
        <f>HYPERLINK("http://www.worldcat.org/oclc/98030","WorldCat Record")</f>
        <v>WorldCat Record</v>
      </c>
      <c r="AU298" s="3" t="s">
        <v>3479</v>
      </c>
      <c r="AV298" s="3" t="s">
        <v>3480</v>
      </c>
      <c r="AW298" s="3" t="s">
        <v>3481</v>
      </c>
      <c r="AX298" s="3" t="s">
        <v>3481</v>
      </c>
      <c r="AY298" s="3" t="s">
        <v>3482</v>
      </c>
      <c r="AZ298" s="3" t="s">
        <v>74</v>
      </c>
      <c r="BC298" s="3" t="s">
        <v>3483</v>
      </c>
      <c r="BD298" s="3" t="s">
        <v>3484</v>
      </c>
    </row>
    <row r="299" spans="1:56" ht="57.75" customHeight="1" x14ac:dyDescent="0.25">
      <c r="A299" s="7" t="s">
        <v>59</v>
      </c>
      <c r="B299" s="2" t="s">
        <v>3485</v>
      </c>
      <c r="C299" s="2" t="s">
        <v>3486</v>
      </c>
      <c r="D299" s="2" t="s">
        <v>3487</v>
      </c>
      <c r="F299" s="3" t="s">
        <v>59</v>
      </c>
      <c r="G299" s="3" t="s">
        <v>60</v>
      </c>
      <c r="H299" s="3" t="s">
        <v>59</v>
      </c>
      <c r="I299" s="3" t="s">
        <v>59</v>
      </c>
      <c r="J299" s="3" t="s">
        <v>61</v>
      </c>
      <c r="K299" s="2" t="s">
        <v>3488</v>
      </c>
      <c r="L299" s="2" t="s">
        <v>3489</v>
      </c>
      <c r="M299" s="3" t="s">
        <v>1102</v>
      </c>
      <c r="O299" s="3" t="s">
        <v>64</v>
      </c>
      <c r="P299" s="3" t="s">
        <v>467</v>
      </c>
      <c r="Q299" s="2" t="s">
        <v>3490</v>
      </c>
      <c r="R299" s="3" t="s">
        <v>67</v>
      </c>
      <c r="S299" s="4">
        <v>2</v>
      </c>
      <c r="T299" s="4">
        <v>2</v>
      </c>
      <c r="U299" s="5" t="s">
        <v>3491</v>
      </c>
      <c r="V299" s="5" t="s">
        <v>3491</v>
      </c>
      <c r="W299" s="5" t="s">
        <v>3492</v>
      </c>
      <c r="X299" s="5" t="s">
        <v>3492</v>
      </c>
      <c r="Y299" s="4">
        <v>150</v>
      </c>
      <c r="Z299" s="4">
        <v>115</v>
      </c>
      <c r="AA299" s="4">
        <v>132</v>
      </c>
      <c r="AB299" s="4">
        <v>1</v>
      </c>
      <c r="AC299" s="4">
        <v>1</v>
      </c>
      <c r="AD299" s="4">
        <v>5</v>
      </c>
      <c r="AE299" s="4">
        <v>6</v>
      </c>
      <c r="AF299" s="4">
        <v>1</v>
      </c>
      <c r="AG299" s="4">
        <v>2</v>
      </c>
      <c r="AH299" s="4">
        <v>1</v>
      </c>
      <c r="AI299" s="4">
        <v>1</v>
      </c>
      <c r="AJ299" s="4">
        <v>3</v>
      </c>
      <c r="AK299" s="4">
        <v>4</v>
      </c>
      <c r="AL299" s="4">
        <v>0</v>
      </c>
      <c r="AM299" s="4">
        <v>0</v>
      </c>
      <c r="AN299" s="4">
        <v>0</v>
      </c>
      <c r="AO299" s="4">
        <v>0</v>
      </c>
      <c r="AP299" s="3" t="s">
        <v>59</v>
      </c>
      <c r="AQ299" s="3" t="s">
        <v>69</v>
      </c>
      <c r="AR299" s="6" t="str">
        <f>HYPERLINK("http://catalog.hathitrust.org/Record/008335965","HathiTrust Record")</f>
        <v>HathiTrust Record</v>
      </c>
      <c r="AS299" s="6" t="str">
        <f>HYPERLINK("https://creighton-primo.hosted.exlibrisgroup.com/primo-explore/search?tab=default_tab&amp;search_scope=EVERYTHING&amp;vid=01CRU&amp;lang=en_US&amp;offset=0&amp;query=any,contains,991001525909702656","Catalog Record")</f>
        <v>Catalog Record</v>
      </c>
      <c r="AT299" s="6" t="str">
        <f>HYPERLINK("http://www.worldcat.org/oclc/20012655","WorldCat Record")</f>
        <v>WorldCat Record</v>
      </c>
      <c r="AU299" s="3" t="s">
        <v>3493</v>
      </c>
      <c r="AV299" s="3" t="s">
        <v>3494</v>
      </c>
      <c r="AW299" s="3" t="s">
        <v>3495</v>
      </c>
      <c r="AX299" s="3" t="s">
        <v>3495</v>
      </c>
      <c r="AY299" s="3" t="s">
        <v>3496</v>
      </c>
      <c r="AZ299" s="3" t="s">
        <v>74</v>
      </c>
      <c r="BB299" s="3" t="s">
        <v>3497</v>
      </c>
      <c r="BC299" s="3" t="s">
        <v>3498</v>
      </c>
      <c r="BD299" s="3" t="s">
        <v>3499</v>
      </c>
    </row>
    <row r="300" spans="1:56" ht="57.75" customHeight="1" x14ac:dyDescent="0.25">
      <c r="A300" s="7" t="s">
        <v>59</v>
      </c>
      <c r="B300" s="2" t="s">
        <v>3500</v>
      </c>
      <c r="C300" s="2" t="s">
        <v>3501</v>
      </c>
      <c r="D300" s="2" t="s">
        <v>3502</v>
      </c>
      <c r="F300" s="3" t="s">
        <v>59</v>
      </c>
      <c r="G300" s="3" t="s">
        <v>60</v>
      </c>
      <c r="H300" s="3" t="s">
        <v>59</v>
      </c>
      <c r="I300" s="3" t="s">
        <v>59</v>
      </c>
      <c r="J300" s="3" t="s">
        <v>61</v>
      </c>
      <c r="K300" s="2" t="s">
        <v>3503</v>
      </c>
      <c r="L300" s="2" t="s">
        <v>3504</v>
      </c>
      <c r="M300" s="3" t="s">
        <v>931</v>
      </c>
      <c r="O300" s="3" t="s">
        <v>64</v>
      </c>
      <c r="P300" s="3" t="s">
        <v>932</v>
      </c>
      <c r="R300" s="3" t="s">
        <v>67</v>
      </c>
      <c r="S300" s="4">
        <v>2</v>
      </c>
      <c r="T300" s="4">
        <v>2</v>
      </c>
      <c r="U300" s="5" t="s">
        <v>3505</v>
      </c>
      <c r="V300" s="5" t="s">
        <v>3505</v>
      </c>
      <c r="W300" s="5" t="s">
        <v>2828</v>
      </c>
      <c r="X300" s="5" t="s">
        <v>2828</v>
      </c>
      <c r="Y300" s="4">
        <v>121</v>
      </c>
      <c r="Z300" s="4">
        <v>118</v>
      </c>
      <c r="AA300" s="4">
        <v>139</v>
      </c>
      <c r="AB300" s="4">
        <v>3</v>
      </c>
      <c r="AC300" s="4">
        <v>3</v>
      </c>
      <c r="AD300" s="4">
        <v>4</v>
      </c>
      <c r="AE300" s="4">
        <v>5</v>
      </c>
      <c r="AF300" s="4">
        <v>1</v>
      </c>
      <c r="AG300" s="4">
        <v>2</v>
      </c>
      <c r="AH300" s="4">
        <v>0</v>
      </c>
      <c r="AI300" s="4">
        <v>0</v>
      </c>
      <c r="AJ300" s="4">
        <v>2</v>
      </c>
      <c r="AK300" s="4">
        <v>2</v>
      </c>
      <c r="AL300" s="4">
        <v>2</v>
      </c>
      <c r="AM300" s="4">
        <v>2</v>
      </c>
      <c r="AN300" s="4">
        <v>0</v>
      </c>
      <c r="AO300" s="4">
        <v>0</v>
      </c>
      <c r="AP300" s="3" t="s">
        <v>59</v>
      </c>
      <c r="AQ300" s="3" t="s">
        <v>69</v>
      </c>
      <c r="AR300" s="6" t="str">
        <f>HYPERLINK("http://catalog.hathitrust.org/Record/000034290","HathiTrust Record")</f>
        <v>HathiTrust Record</v>
      </c>
      <c r="AS300" s="6" t="str">
        <f>HYPERLINK("https://creighton-primo.hosted.exlibrisgroup.com/primo-explore/search?tab=default_tab&amp;search_scope=EVERYTHING&amp;vid=01CRU&amp;lang=en_US&amp;offset=0&amp;query=any,contains,991003507559702656","Catalog Record")</f>
        <v>Catalog Record</v>
      </c>
      <c r="AT300" s="6" t="str">
        <f>HYPERLINK("http://www.worldcat.org/oclc/1318593","WorldCat Record")</f>
        <v>WorldCat Record</v>
      </c>
      <c r="AU300" s="3" t="s">
        <v>3506</v>
      </c>
      <c r="AV300" s="3" t="s">
        <v>3507</v>
      </c>
      <c r="AW300" s="3" t="s">
        <v>3508</v>
      </c>
      <c r="AX300" s="3" t="s">
        <v>3508</v>
      </c>
      <c r="AY300" s="3" t="s">
        <v>3509</v>
      </c>
      <c r="AZ300" s="3" t="s">
        <v>74</v>
      </c>
      <c r="BC300" s="3" t="s">
        <v>3510</v>
      </c>
      <c r="BD300" s="3" t="s">
        <v>3511</v>
      </c>
    </row>
    <row r="301" spans="1:56" ht="57.75" customHeight="1" x14ac:dyDescent="0.25">
      <c r="A301" s="7" t="s">
        <v>59</v>
      </c>
      <c r="B301" s="2" t="s">
        <v>3512</v>
      </c>
      <c r="C301" s="2" t="s">
        <v>3513</v>
      </c>
      <c r="D301" s="2" t="s">
        <v>3514</v>
      </c>
      <c r="F301" s="3" t="s">
        <v>59</v>
      </c>
      <c r="G301" s="3" t="s">
        <v>60</v>
      </c>
      <c r="H301" s="3" t="s">
        <v>59</v>
      </c>
      <c r="I301" s="3" t="s">
        <v>59</v>
      </c>
      <c r="J301" s="3" t="s">
        <v>61</v>
      </c>
      <c r="K301" s="2" t="s">
        <v>3515</v>
      </c>
      <c r="L301" s="2" t="s">
        <v>3516</v>
      </c>
      <c r="M301" s="3" t="s">
        <v>1430</v>
      </c>
      <c r="O301" s="3" t="s">
        <v>64</v>
      </c>
      <c r="P301" s="3" t="s">
        <v>145</v>
      </c>
      <c r="R301" s="3" t="s">
        <v>67</v>
      </c>
      <c r="S301" s="4">
        <v>4</v>
      </c>
      <c r="T301" s="4">
        <v>4</v>
      </c>
      <c r="U301" s="5" t="s">
        <v>3009</v>
      </c>
      <c r="V301" s="5" t="s">
        <v>3009</v>
      </c>
      <c r="W301" s="5" t="s">
        <v>3517</v>
      </c>
      <c r="X301" s="5" t="s">
        <v>3517</v>
      </c>
      <c r="Y301" s="4">
        <v>454</v>
      </c>
      <c r="Z301" s="4">
        <v>413</v>
      </c>
      <c r="AA301" s="4">
        <v>415</v>
      </c>
      <c r="AB301" s="4">
        <v>3</v>
      </c>
      <c r="AC301" s="4">
        <v>3</v>
      </c>
      <c r="AD301" s="4">
        <v>10</v>
      </c>
      <c r="AE301" s="4">
        <v>10</v>
      </c>
      <c r="AF301" s="4">
        <v>4</v>
      </c>
      <c r="AG301" s="4">
        <v>4</v>
      </c>
      <c r="AH301" s="4">
        <v>2</v>
      </c>
      <c r="AI301" s="4">
        <v>2</v>
      </c>
      <c r="AJ301" s="4">
        <v>5</v>
      </c>
      <c r="AK301" s="4">
        <v>5</v>
      </c>
      <c r="AL301" s="4">
        <v>2</v>
      </c>
      <c r="AM301" s="4">
        <v>2</v>
      </c>
      <c r="AN301" s="4">
        <v>0</v>
      </c>
      <c r="AO301" s="4">
        <v>0</v>
      </c>
      <c r="AP301" s="3" t="s">
        <v>59</v>
      </c>
      <c r="AQ301" s="3" t="s">
        <v>69</v>
      </c>
      <c r="AR301" s="6" t="str">
        <f>HYPERLINK("http://catalog.hathitrust.org/Record/000287437","HathiTrust Record")</f>
        <v>HathiTrust Record</v>
      </c>
      <c r="AS301" s="6" t="str">
        <f>HYPERLINK("https://creighton-primo.hosted.exlibrisgroup.com/primo-explore/search?tab=default_tab&amp;search_scope=EVERYTHING&amp;vid=01CRU&amp;lang=en_US&amp;offset=0&amp;query=any,contains,991000205939702656","Catalog Record")</f>
        <v>Catalog Record</v>
      </c>
      <c r="AT301" s="6" t="str">
        <f>HYPERLINK("http://www.worldcat.org/oclc/9489284","WorldCat Record")</f>
        <v>WorldCat Record</v>
      </c>
      <c r="AU301" s="3" t="s">
        <v>3518</v>
      </c>
      <c r="AV301" s="3" t="s">
        <v>3519</v>
      </c>
      <c r="AW301" s="3" t="s">
        <v>3520</v>
      </c>
      <c r="AX301" s="3" t="s">
        <v>3520</v>
      </c>
      <c r="AY301" s="3" t="s">
        <v>3521</v>
      </c>
      <c r="AZ301" s="3" t="s">
        <v>74</v>
      </c>
      <c r="BC301" s="3" t="s">
        <v>3522</v>
      </c>
      <c r="BD301" s="3" t="s">
        <v>3523</v>
      </c>
    </row>
    <row r="302" spans="1:56" ht="57.75" customHeight="1" x14ac:dyDescent="0.25">
      <c r="A302" s="7" t="s">
        <v>59</v>
      </c>
      <c r="B302" s="2" t="s">
        <v>3524</v>
      </c>
      <c r="C302" s="2" t="s">
        <v>3525</v>
      </c>
      <c r="D302" s="2" t="s">
        <v>3526</v>
      </c>
      <c r="F302" s="3" t="s">
        <v>59</v>
      </c>
      <c r="G302" s="3" t="s">
        <v>60</v>
      </c>
      <c r="H302" s="3" t="s">
        <v>59</v>
      </c>
      <c r="I302" s="3" t="s">
        <v>59</v>
      </c>
      <c r="J302" s="3" t="s">
        <v>61</v>
      </c>
      <c r="K302" s="2" t="s">
        <v>3527</v>
      </c>
      <c r="L302" s="2" t="s">
        <v>3528</v>
      </c>
      <c r="M302" s="3" t="s">
        <v>2044</v>
      </c>
      <c r="O302" s="3" t="s">
        <v>64</v>
      </c>
      <c r="P302" s="3" t="s">
        <v>405</v>
      </c>
      <c r="Q302" s="2" t="s">
        <v>3529</v>
      </c>
      <c r="R302" s="3" t="s">
        <v>67</v>
      </c>
      <c r="S302" s="4">
        <v>1</v>
      </c>
      <c r="T302" s="4">
        <v>1</v>
      </c>
      <c r="U302" s="5" t="s">
        <v>3505</v>
      </c>
      <c r="V302" s="5" t="s">
        <v>3505</v>
      </c>
      <c r="W302" s="5" t="s">
        <v>2828</v>
      </c>
      <c r="X302" s="5" t="s">
        <v>2828</v>
      </c>
      <c r="Y302" s="4">
        <v>445</v>
      </c>
      <c r="Z302" s="4">
        <v>325</v>
      </c>
      <c r="AA302" s="4">
        <v>328</v>
      </c>
      <c r="AB302" s="4">
        <v>3</v>
      </c>
      <c r="AC302" s="4">
        <v>3</v>
      </c>
      <c r="AD302" s="4">
        <v>14</v>
      </c>
      <c r="AE302" s="4">
        <v>14</v>
      </c>
      <c r="AF302" s="4">
        <v>5</v>
      </c>
      <c r="AG302" s="4">
        <v>5</v>
      </c>
      <c r="AH302" s="4">
        <v>3</v>
      </c>
      <c r="AI302" s="4">
        <v>3</v>
      </c>
      <c r="AJ302" s="4">
        <v>8</v>
      </c>
      <c r="AK302" s="4">
        <v>8</v>
      </c>
      <c r="AL302" s="4">
        <v>2</v>
      </c>
      <c r="AM302" s="4">
        <v>2</v>
      </c>
      <c r="AN302" s="4">
        <v>0</v>
      </c>
      <c r="AO302" s="4">
        <v>0</v>
      </c>
      <c r="AP302" s="3" t="s">
        <v>59</v>
      </c>
      <c r="AQ302" s="3" t="s">
        <v>69</v>
      </c>
      <c r="AR302" s="6" t="str">
        <f>HYPERLINK("http://catalog.hathitrust.org/Record/001638599","HathiTrust Record")</f>
        <v>HathiTrust Record</v>
      </c>
      <c r="AS302" s="6" t="str">
        <f>HYPERLINK("https://creighton-primo.hosted.exlibrisgroup.com/primo-explore/search?tab=default_tab&amp;search_scope=EVERYTHING&amp;vid=01CRU&amp;lang=en_US&amp;offset=0&amp;query=any,contains,991002987529702656","Catalog Record")</f>
        <v>Catalog Record</v>
      </c>
      <c r="AT302" s="6" t="str">
        <f>HYPERLINK("http://www.worldcat.org/oclc/558420","WorldCat Record")</f>
        <v>WorldCat Record</v>
      </c>
      <c r="AU302" s="3" t="s">
        <v>3530</v>
      </c>
      <c r="AV302" s="3" t="s">
        <v>3531</v>
      </c>
      <c r="AW302" s="3" t="s">
        <v>3532</v>
      </c>
      <c r="AX302" s="3" t="s">
        <v>3532</v>
      </c>
      <c r="AY302" s="3" t="s">
        <v>3533</v>
      </c>
      <c r="AZ302" s="3" t="s">
        <v>74</v>
      </c>
      <c r="BC302" s="3" t="s">
        <v>3534</v>
      </c>
      <c r="BD302" s="3" t="s">
        <v>3535</v>
      </c>
    </row>
    <row r="303" spans="1:56" ht="57.75" customHeight="1" x14ac:dyDescent="0.25">
      <c r="A303" s="7" t="s">
        <v>59</v>
      </c>
      <c r="B303" s="2" t="s">
        <v>3536</v>
      </c>
      <c r="C303" s="2" t="s">
        <v>3537</v>
      </c>
      <c r="D303" s="2" t="s">
        <v>3538</v>
      </c>
      <c r="F303" s="3" t="s">
        <v>59</v>
      </c>
      <c r="G303" s="3" t="s">
        <v>60</v>
      </c>
      <c r="H303" s="3" t="s">
        <v>59</v>
      </c>
      <c r="I303" s="3" t="s">
        <v>59</v>
      </c>
      <c r="J303" s="3" t="s">
        <v>61</v>
      </c>
      <c r="K303" s="2" t="s">
        <v>3539</v>
      </c>
      <c r="L303" s="2" t="s">
        <v>3540</v>
      </c>
      <c r="M303" s="3" t="s">
        <v>404</v>
      </c>
      <c r="O303" s="3" t="s">
        <v>64</v>
      </c>
      <c r="P303" s="3" t="s">
        <v>2203</v>
      </c>
      <c r="Q303" s="2" t="s">
        <v>3541</v>
      </c>
      <c r="R303" s="3" t="s">
        <v>67</v>
      </c>
      <c r="S303" s="4">
        <v>4</v>
      </c>
      <c r="T303" s="4">
        <v>4</v>
      </c>
      <c r="U303" s="5" t="s">
        <v>3505</v>
      </c>
      <c r="V303" s="5" t="s">
        <v>3505</v>
      </c>
      <c r="W303" s="5" t="s">
        <v>3542</v>
      </c>
      <c r="X303" s="5" t="s">
        <v>3542</v>
      </c>
      <c r="Y303" s="4">
        <v>147</v>
      </c>
      <c r="Z303" s="4">
        <v>33</v>
      </c>
      <c r="AA303" s="4">
        <v>508</v>
      </c>
      <c r="AB303" s="4">
        <v>1</v>
      </c>
      <c r="AC303" s="4">
        <v>4</v>
      </c>
      <c r="AD303" s="4">
        <v>0</v>
      </c>
      <c r="AE303" s="4">
        <v>19</v>
      </c>
      <c r="AF303" s="4">
        <v>0</v>
      </c>
      <c r="AG303" s="4">
        <v>5</v>
      </c>
      <c r="AH303" s="4">
        <v>0</v>
      </c>
      <c r="AI303" s="4">
        <v>4</v>
      </c>
      <c r="AJ303" s="4">
        <v>0</v>
      </c>
      <c r="AK303" s="4">
        <v>12</v>
      </c>
      <c r="AL303" s="4">
        <v>0</v>
      </c>
      <c r="AM303" s="4">
        <v>3</v>
      </c>
      <c r="AN303" s="4">
        <v>0</v>
      </c>
      <c r="AO303" s="4">
        <v>0</v>
      </c>
      <c r="AP303" s="3" t="s">
        <v>59</v>
      </c>
      <c r="AQ303" s="3" t="s">
        <v>69</v>
      </c>
      <c r="AR303" s="6" t="str">
        <f>HYPERLINK("http://catalog.hathitrust.org/Record/009170726","HathiTrust Record")</f>
        <v>HathiTrust Record</v>
      </c>
      <c r="AS303" s="6" t="str">
        <f>HYPERLINK("https://creighton-primo.hosted.exlibrisgroup.com/primo-explore/search?tab=default_tab&amp;search_scope=EVERYTHING&amp;vid=01CRU&amp;lang=en_US&amp;offset=0&amp;query=any,contains,991002823099702656","Catalog Record")</f>
        <v>Catalog Record</v>
      </c>
      <c r="AT303" s="6" t="str">
        <f>HYPERLINK("http://www.worldcat.org/oclc/468584","WorldCat Record")</f>
        <v>WorldCat Record</v>
      </c>
      <c r="AU303" s="3" t="s">
        <v>3543</v>
      </c>
      <c r="AV303" s="3" t="s">
        <v>3544</v>
      </c>
      <c r="AW303" s="3" t="s">
        <v>3545</v>
      </c>
      <c r="AX303" s="3" t="s">
        <v>3545</v>
      </c>
      <c r="AY303" s="3" t="s">
        <v>3546</v>
      </c>
      <c r="AZ303" s="3" t="s">
        <v>74</v>
      </c>
      <c r="BC303" s="3" t="s">
        <v>3547</v>
      </c>
      <c r="BD303" s="3" t="s">
        <v>3548</v>
      </c>
    </row>
    <row r="304" spans="1:56" ht="57.75" customHeight="1" x14ac:dyDescent="0.25">
      <c r="A304" s="7" t="s">
        <v>59</v>
      </c>
      <c r="B304" s="2" t="s">
        <v>3549</v>
      </c>
      <c r="C304" s="2" t="s">
        <v>3550</v>
      </c>
      <c r="D304" s="2" t="s">
        <v>3551</v>
      </c>
      <c r="F304" s="3" t="s">
        <v>59</v>
      </c>
      <c r="G304" s="3" t="s">
        <v>60</v>
      </c>
      <c r="H304" s="3" t="s">
        <v>59</v>
      </c>
      <c r="I304" s="3" t="s">
        <v>59</v>
      </c>
      <c r="J304" s="3" t="s">
        <v>61</v>
      </c>
      <c r="K304" s="2" t="s">
        <v>3552</v>
      </c>
      <c r="L304" s="2" t="s">
        <v>3553</v>
      </c>
      <c r="M304" s="3" t="s">
        <v>712</v>
      </c>
      <c r="O304" s="3" t="s">
        <v>64</v>
      </c>
      <c r="P304" s="3" t="s">
        <v>405</v>
      </c>
      <c r="R304" s="3" t="s">
        <v>67</v>
      </c>
      <c r="S304" s="4">
        <v>2</v>
      </c>
      <c r="T304" s="4">
        <v>2</v>
      </c>
      <c r="U304" s="5" t="s">
        <v>3554</v>
      </c>
      <c r="V304" s="5" t="s">
        <v>3554</v>
      </c>
      <c r="W304" s="5" t="s">
        <v>3555</v>
      </c>
      <c r="X304" s="5" t="s">
        <v>3555</v>
      </c>
      <c r="Y304" s="4">
        <v>222</v>
      </c>
      <c r="Z304" s="4">
        <v>180</v>
      </c>
      <c r="AA304" s="4">
        <v>216</v>
      </c>
      <c r="AB304" s="4">
        <v>3</v>
      </c>
      <c r="AC304" s="4">
        <v>3</v>
      </c>
      <c r="AD304" s="4">
        <v>9</v>
      </c>
      <c r="AE304" s="4">
        <v>10</v>
      </c>
      <c r="AF304" s="4">
        <v>3</v>
      </c>
      <c r="AG304" s="4">
        <v>3</v>
      </c>
      <c r="AH304" s="4">
        <v>1</v>
      </c>
      <c r="AI304" s="4">
        <v>2</v>
      </c>
      <c r="AJ304" s="4">
        <v>4</v>
      </c>
      <c r="AK304" s="4">
        <v>4</v>
      </c>
      <c r="AL304" s="4">
        <v>2</v>
      </c>
      <c r="AM304" s="4">
        <v>2</v>
      </c>
      <c r="AN304" s="4">
        <v>0</v>
      </c>
      <c r="AO304" s="4">
        <v>0</v>
      </c>
      <c r="AP304" s="3" t="s">
        <v>59</v>
      </c>
      <c r="AQ304" s="3" t="s">
        <v>69</v>
      </c>
      <c r="AR304" s="6" t="str">
        <f>HYPERLINK("http://catalog.hathitrust.org/Record/003038019","HathiTrust Record")</f>
        <v>HathiTrust Record</v>
      </c>
      <c r="AS304" s="6" t="str">
        <f>HYPERLINK("https://creighton-primo.hosted.exlibrisgroup.com/primo-explore/search?tab=default_tab&amp;search_scope=EVERYTHING&amp;vid=01CRU&amp;lang=en_US&amp;offset=0&amp;query=any,contains,991002398329702656","Catalog Record")</f>
        <v>Catalog Record</v>
      </c>
      <c r="AT304" s="6" t="str">
        <f>HYPERLINK("http://www.worldcat.org/oclc/258889944","WorldCat Record")</f>
        <v>WorldCat Record</v>
      </c>
      <c r="AU304" s="3" t="s">
        <v>3556</v>
      </c>
      <c r="AV304" s="3" t="s">
        <v>3557</v>
      </c>
      <c r="AW304" s="3" t="s">
        <v>3558</v>
      </c>
      <c r="AX304" s="3" t="s">
        <v>3558</v>
      </c>
      <c r="AY304" s="3" t="s">
        <v>3559</v>
      </c>
      <c r="AZ304" s="3" t="s">
        <v>74</v>
      </c>
      <c r="BB304" s="3" t="s">
        <v>3560</v>
      </c>
      <c r="BC304" s="3" t="s">
        <v>3561</v>
      </c>
      <c r="BD304" s="3" t="s">
        <v>3562</v>
      </c>
    </row>
    <row r="305" spans="1:56" ht="57.75" customHeight="1" x14ac:dyDescent="0.25">
      <c r="A305" s="7" t="s">
        <v>59</v>
      </c>
      <c r="B305" s="2" t="s">
        <v>3563</v>
      </c>
      <c r="C305" s="2" t="s">
        <v>3564</v>
      </c>
      <c r="D305" s="2" t="s">
        <v>3565</v>
      </c>
      <c r="F305" s="3" t="s">
        <v>59</v>
      </c>
      <c r="G305" s="3" t="s">
        <v>60</v>
      </c>
      <c r="H305" s="3" t="s">
        <v>59</v>
      </c>
      <c r="I305" s="3" t="s">
        <v>59</v>
      </c>
      <c r="J305" s="3" t="s">
        <v>61</v>
      </c>
      <c r="L305" s="2" t="s">
        <v>3566</v>
      </c>
      <c r="M305" s="3" t="s">
        <v>670</v>
      </c>
      <c r="O305" s="3" t="s">
        <v>64</v>
      </c>
      <c r="P305" s="3" t="s">
        <v>467</v>
      </c>
      <c r="Q305" s="2" t="s">
        <v>3567</v>
      </c>
      <c r="R305" s="3" t="s">
        <v>67</v>
      </c>
      <c r="S305" s="4">
        <v>5</v>
      </c>
      <c r="T305" s="4">
        <v>5</v>
      </c>
      <c r="U305" s="5" t="s">
        <v>1513</v>
      </c>
      <c r="V305" s="5" t="s">
        <v>1513</v>
      </c>
      <c r="W305" s="5" t="s">
        <v>3416</v>
      </c>
      <c r="X305" s="5" t="s">
        <v>3416</v>
      </c>
      <c r="Y305" s="4">
        <v>225</v>
      </c>
      <c r="Z305" s="4">
        <v>188</v>
      </c>
      <c r="AA305" s="4">
        <v>190</v>
      </c>
      <c r="AB305" s="4">
        <v>3</v>
      </c>
      <c r="AC305" s="4">
        <v>3</v>
      </c>
      <c r="AD305" s="4">
        <v>7</v>
      </c>
      <c r="AE305" s="4">
        <v>7</v>
      </c>
      <c r="AF305" s="4">
        <v>1</v>
      </c>
      <c r="AG305" s="4">
        <v>1</v>
      </c>
      <c r="AH305" s="4">
        <v>1</v>
      </c>
      <c r="AI305" s="4">
        <v>1</v>
      </c>
      <c r="AJ305" s="4">
        <v>5</v>
      </c>
      <c r="AK305" s="4">
        <v>5</v>
      </c>
      <c r="AL305" s="4">
        <v>2</v>
      </c>
      <c r="AM305" s="4">
        <v>2</v>
      </c>
      <c r="AN305" s="4">
        <v>0</v>
      </c>
      <c r="AO305" s="4">
        <v>0</v>
      </c>
      <c r="AP305" s="3" t="s">
        <v>59</v>
      </c>
      <c r="AQ305" s="3" t="s">
        <v>69</v>
      </c>
      <c r="AR305" s="6" t="str">
        <f>HYPERLINK("http://catalog.hathitrust.org/Record/000104779","HathiTrust Record")</f>
        <v>HathiTrust Record</v>
      </c>
      <c r="AS305" s="6" t="str">
        <f>HYPERLINK("https://creighton-primo.hosted.exlibrisgroup.com/primo-explore/search?tab=default_tab&amp;search_scope=EVERYTHING&amp;vid=01CRU&amp;lang=en_US&amp;offset=0&amp;query=any,contains,991005220499702656","Catalog Record")</f>
        <v>Catalog Record</v>
      </c>
      <c r="AT305" s="6" t="str">
        <f>HYPERLINK("http://www.worldcat.org/oclc/8221841","WorldCat Record")</f>
        <v>WorldCat Record</v>
      </c>
      <c r="AU305" s="3" t="s">
        <v>3568</v>
      </c>
      <c r="AV305" s="3" t="s">
        <v>3569</v>
      </c>
      <c r="AW305" s="3" t="s">
        <v>3570</v>
      </c>
      <c r="AX305" s="3" t="s">
        <v>3570</v>
      </c>
      <c r="AY305" s="3" t="s">
        <v>3571</v>
      </c>
      <c r="AZ305" s="3" t="s">
        <v>74</v>
      </c>
      <c r="BB305" s="3" t="s">
        <v>3572</v>
      </c>
      <c r="BC305" s="3" t="s">
        <v>3573</v>
      </c>
      <c r="BD305" s="3" t="s">
        <v>3574</v>
      </c>
    </row>
    <row r="306" spans="1:56" ht="57.75" customHeight="1" x14ac:dyDescent="0.25">
      <c r="A306" s="7" t="s">
        <v>59</v>
      </c>
      <c r="B306" s="2" t="s">
        <v>3575</v>
      </c>
      <c r="C306" s="2" t="s">
        <v>3576</v>
      </c>
      <c r="D306" s="2" t="s">
        <v>3577</v>
      </c>
      <c r="F306" s="3" t="s">
        <v>59</v>
      </c>
      <c r="G306" s="3" t="s">
        <v>60</v>
      </c>
      <c r="H306" s="3" t="s">
        <v>59</v>
      </c>
      <c r="I306" s="3" t="s">
        <v>59</v>
      </c>
      <c r="J306" s="3" t="s">
        <v>61</v>
      </c>
      <c r="K306" s="2" t="s">
        <v>3578</v>
      </c>
      <c r="L306" s="2" t="s">
        <v>3579</v>
      </c>
      <c r="M306" s="3" t="s">
        <v>540</v>
      </c>
      <c r="O306" s="3" t="s">
        <v>64</v>
      </c>
      <c r="P306" s="3" t="s">
        <v>405</v>
      </c>
      <c r="R306" s="3" t="s">
        <v>67</v>
      </c>
      <c r="S306" s="4">
        <v>3</v>
      </c>
      <c r="T306" s="4">
        <v>3</v>
      </c>
      <c r="U306" s="5" t="s">
        <v>3580</v>
      </c>
      <c r="V306" s="5" t="s">
        <v>3580</v>
      </c>
      <c r="W306" s="5" t="s">
        <v>3416</v>
      </c>
      <c r="X306" s="5" t="s">
        <v>3416</v>
      </c>
      <c r="Y306" s="4">
        <v>427</v>
      </c>
      <c r="Z306" s="4">
        <v>323</v>
      </c>
      <c r="AA306" s="4">
        <v>337</v>
      </c>
      <c r="AB306" s="4">
        <v>3</v>
      </c>
      <c r="AC306" s="4">
        <v>3</v>
      </c>
      <c r="AD306" s="4">
        <v>10</v>
      </c>
      <c r="AE306" s="4">
        <v>10</v>
      </c>
      <c r="AF306" s="4">
        <v>4</v>
      </c>
      <c r="AG306" s="4">
        <v>4</v>
      </c>
      <c r="AH306" s="4">
        <v>3</v>
      </c>
      <c r="AI306" s="4">
        <v>3</v>
      </c>
      <c r="AJ306" s="4">
        <v>4</v>
      </c>
      <c r="AK306" s="4">
        <v>4</v>
      </c>
      <c r="AL306" s="4">
        <v>2</v>
      </c>
      <c r="AM306" s="4">
        <v>2</v>
      </c>
      <c r="AN306" s="4">
        <v>0</v>
      </c>
      <c r="AO306" s="4">
        <v>0</v>
      </c>
      <c r="AP306" s="3" t="s">
        <v>59</v>
      </c>
      <c r="AQ306" s="3" t="s">
        <v>59</v>
      </c>
      <c r="AS306" s="6" t="str">
        <f>HYPERLINK("https://creighton-primo.hosted.exlibrisgroup.com/primo-explore/search?tab=default_tab&amp;search_scope=EVERYTHING&amp;vid=01CRU&amp;lang=en_US&amp;offset=0&amp;query=any,contains,991005011279702656","Catalog Record")</f>
        <v>Catalog Record</v>
      </c>
      <c r="AT306" s="6" t="str">
        <f>HYPERLINK("http://www.worldcat.org/oclc/6602857","WorldCat Record")</f>
        <v>WorldCat Record</v>
      </c>
      <c r="AU306" s="3" t="s">
        <v>3581</v>
      </c>
      <c r="AV306" s="3" t="s">
        <v>3582</v>
      </c>
      <c r="AW306" s="3" t="s">
        <v>3583</v>
      </c>
      <c r="AX306" s="3" t="s">
        <v>3583</v>
      </c>
      <c r="AY306" s="3" t="s">
        <v>3584</v>
      </c>
      <c r="AZ306" s="3" t="s">
        <v>74</v>
      </c>
      <c r="BB306" s="3" t="s">
        <v>3585</v>
      </c>
      <c r="BC306" s="3" t="s">
        <v>3586</v>
      </c>
      <c r="BD306" s="3" t="s">
        <v>3587</v>
      </c>
    </row>
    <row r="307" spans="1:56" ht="57.75" customHeight="1" x14ac:dyDescent="0.25">
      <c r="A307" s="7" t="s">
        <v>59</v>
      </c>
      <c r="B307" s="2" t="s">
        <v>3588</v>
      </c>
      <c r="C307" s="2" t="s">
        <v>3589</v>
      </c>
      <c r="D307" s="2" t="s">
        <v>3590</v>
      </c>
      <c r="F307" s="3" t="s">
        <v>59</v>
      </c>
      <c r="G307" s="3" t="s">
        <v>60</v>
      </c>
      <c r="H307" s="3" t="s">
        <v>59</v>
      </c>
      <c r="I307" s="3" t="s">
        <v>59</v>
      </c>
      <c r="J307" s="3" t="s">
        <v>61</v>
      </c>
      <c r="K307" s="2" t="s">
        <v>3591</v>
      </c>
      <c r="L307" s="2" t="s">
        <v>3592</v>
      </c>
      <c r="M307" s="3" t="s">
        <v>3593</v>
      </c>
      <c r="O307" s="3" t="s">
        <v>64</v>
      </c>
      <c r="P307" s="3" t="s">
        <v>467</v>
      </c>
      <c r="R307" s="3" t="s">
        <v>67</v>
      </c>
      <c r="S307" s="4">
        <v>6</v>
      </c>
      <c r="T307" s="4">
        <v>6</v>
      </c>
      <c r="U307" s="5" t="s">
        <v>3594</v>
      </c>
      <c r="V307" s="5" t="s">
        <v>3594</v>
      </c>
      <c r="W307" s="5" t="s">
        <v>2828</v>
      </c>
      <c r="X307" s="5" t="s">
        <v>2828</v>
      </c>
      <c r="Y307" s="4">
        <v>352</v>
      </c>
      <c r="Z307" s="4">
        <v>320</v>
      </c>
      <c r="AA307" s="4">
        <v>1098</v>
      </c>
      <c r="AB307" s="4">
        <v>2</v>
      </c>
      <c r="AC307" s="4">
        <v>9</v>
      </c>
      <c r="AD307" s="4">
        <v>12</v>
      </c>
      <c r="AE307" s="4">
        <v>43</v>
      </c>
      <c r="AF307" s="4">
        <v>4</v>
      </c>
      <c r="AG307" s="4">
        <v>19</v>
      </c>
      <c r="AH307" s="4">
        <v>4</v>
      </c>
      <c r="AI307" s="4">
        <v>9</v>
      </c>
      <c r="AJ307" s="4">
        <v>6</v>
      </c>
      <c r="AK307" s="4">
        <v>19</v>
      </c>
      <c r="AL307" s="4">
        <v>1</v>
      </c>
      <c r="AM307" s="4">
        <v>7</v>
      </c>
      <c r="AN307" s="4">
        <v>0</v>
      </c>
      <c r="AO307" s="4">
        <v>0</v>
      </c>
      <c r="AP307" s="3" t="s">
        <v>69</v>
      </c>
      <c r="AQ307" s="3" t="s">
        <v>59</v>
      </c>
      <c r="AR307" s="6" t="str">
        <f>HYPERLINK("http://catalog.hathitrust.org/Record/001499878","HathiTrust Record")</f>
        <v>HathiTrust Record</v>
      </c>
      <c r="AS307" s="6" t="str">
        <f>HYPERLINK("https://creighton-primo.hosted.exlibrisgroup.com/primo-explore/search?tab=default_tab&amp;search_scope=EVERYTHING&amp;vid=01CRU&amp;lang=en_US&amp;offset=0&amp;query=any,contains,991003722839702656","Catalog Record")</f>
        <v>Catalog Record</v>
      </c>
      <c r="AT307" s="6" t="str">
        <f>HYPERLINK("http://www.worldcat.org/oclc/1367211","WorldCat Record")</f>
        <v>WorldCat Record</v>
      </c>
      <c r="AU307" s="3" t="s">
        <v>3595</v>
      </c>
      <c r="AV307" s="3" t="s">
        <v>3596</v>
      </c>
      <c r="AW307" s="3" t="s">
        <v>3597</v>
      </c>
      <c r="AX307" s="3" t="s">
        <v>3597</v>
      </c>
      <c r="AY307" s="3" t="s">
        <v>3598</v>
      </c>
      <c r="AZ307" s="3" t="s">
        <v>74</v>
      </c>
      <c r="BC307" s="3" t="s">
        <v>3599</v>
      </c>
      <c r="BD307" s="3" t="s">
        <v>3600</v>
      </c>
    </row>
    <row r="308" spans="1:56" ht="57.75" customHeight="1" x14ac:dyDescent="0.25">
      <c r="A308" s="7" t="s">
        <v>59</v>
      </c>
      <c r="B308" s="2" t="s">
        <v>3601</v>
      </c>
      <c r="C308" s="2" t="s">
        <v>3602</v>
      </c>
      <c r="D308" s="2" t="s">
        <v>3603</v>
      </c>
      <c r="F308" s="3" t="s">
        <v>59</v>
      </c>
      <c r="G308" s="3" t="s">
        <v>60</v>
      </c>
      <c r="H308" s="3" t="s">
        <v>59</v>
      </c>
      <c r="I308" s="3" t="s">
        <v>59</v>
      </c>
      <c r="J308" s="3" t="s">
        <v>61</v>
      </c>
      <c r="K308" s="2" t="s">
        <v>3604</v>
      </c>
      <c r="L308" s="2" t="s">
        <v>3605</v>
      </c>
      <c r="M308" s="3" t="s">
        <v>2044</v>
      </c>
      <c r="O308" s="3" t="s">
        <v>64</v>
      </c>
      <c r="P308" s="3" t="s">
        <v>145</v>
      </c>
      <c r="R308" s="3" t="s">
        <v>67</v>
      </c>
      <c r="S308" s="4">
        <v>3</v>
      </c>
      <c r="T308" s="4">
        <v>3</v>
      </c>
      <c r="U308" s="5" t="s">
        <v>725</v>
      </c>
      <c r="V308" s="5" t="s">
        <v>725</v>
      </c>
      <c r="W308" s="5" t="s">
        <v>2828</v>
      </c>
      <c r="X308" s="5" t="s">
        <v>2828</v>
      </c>
      <c r="Y308" s="4">
        <v>5</v>
      </c>
      <c r="Z308" s="4">
        <v>5</v>
      </c>
      <c r="AA308" s="4">
        <v>5</v>
      </c>
      <c r="AB308" s="4">
        <v>1</v>
      </c>
      <c r="AC308" s="4">
        <v>1</v>
      </c>
      <c r="AD308" s="4">
        <v>0</v>
      </c>
      <c r="AE308" s="4">
        <v>0</v>
      </c>
      <c r="AF308" s="4">
        <v>0</v>
      </c>
      <c r="AG308" s="4">
        <v>0</v>
      </c>
      <c r="AH308" s="4">
        <v>0</v>
      </c>
      <c r="AI308" s="4">
        <v>0</v>
      </c>
      <c r="AJ308" s="4">
        <v>0</v>
      </c>
      <c r="AK308" s="4">
        <v>0</v>
      </c>
      <c r="AL308" s="4">
        <v>0</v>
      </c>
      <c r="AM308" s="4">
        <v>0</v>
      </c>
      <c r="AN308" s="4">
        <v>0</v>
      </c>
      <c r="AO308" s="4">
        <v>0</v>
      </c>
      <c r="AP308" s="3" t="s">
        <v>59</v>
      </c>
      <c r="AQ308" s="3" t="s">
        <v>59</v>
      </c>
      <c r="AS308" s="6" t="str">
        <f>HYPERLINK("https://creighton-primo.hosted.exlibrisgroup.com/primo-explore/search?tab=default_tab&amp;search_scope=EVERYTHING&amp;vid=01CRU&amp;lang=en_US&amp;offset=0&amp;query=any,contains,991002544279702656","Catalog Record")</f>
        <v>Catalog Record</v>
      </c>
      <c r="AT308" s="6" t="str">
        <f>HYPERLINK("http://www.worldcat.org/oclc/33060996","WorldCat Record")</f>
        <v>WorldCat Record</v>
      </c>
      <c r="AU308" s="3" t="s">
        <v>3606</v>
      </c>
      <c r="AV308" s="3" t="s">
        <v>3607</v>
      </c>
      <c r="AW308" s="3" t="s">
        <v>3608</v>
      </c>
      <c r="AX308" s="3" t="s">
        <v>3608</v>
      </c>
      <c r="AY308" s="3" t="s">
        <v>3609</v>
      </c>
      <c r="AZ308" s="3" t="s">
        <v>74</v>
      </c>
      <c r="BC308" s="3" t="s">
        <v>3610</v>
      </c>
      <c r="BD308" s="3" t="s">
        <v>3611</v>
      </c>
    </row>
    <row r="309" spans="1:56" ht="57.75" customHeight="1" x14ac:dyDescent="0.25">
      <c r="A309" s="7" t="s">
        <v>59</v>
      </c>
      <c r="B309" s="2" t="s">
        <v>3612</v>
      </c>
      <c r="C309" s="2" t="s">
        <v>3613</v>
      </c>
      <c r="D309" s="2" t="s">
        <v>3614</v>
      </c>
      <c r="F309" s="3" t="s">
        <v>59</v>
      </c>
      <c r="G309" s="3" t="s">
        <v>60</v>
      </c>
      <c r="H309" s="3" t="s">
        <v>59</v>
      </c>
      <c r="I309" s="3" t="s">
        <v>59</v>
      </c>
      <c r="J309" s="3" t="s">
        <v>61</v>
      </c>
      <c r="K309" s="2" t="s">
        <v>3615</v>
      </c>
      <c r="L309" s="2" t="s">
        <v>3616</v>
      </c>
      <c r="M309" s="3" t="s">
        <v>835</v>
      </c>
      <c r="N309" s="2" t="s">
        <v>2005</v>
      </c>
      <c r="O309" s="3" t="s">
        <v>64</v>
      </c>
      <c r="P309" s="3" t="s">
        <v>467</v>
      </c>
      <c r="R309" s="3" t="s">
        <v>67</v>
      </c>
      <c r="S309" s="4">
        <v>20</v>
      </c>
      <c r="T309" s="4">
        <v>20</v>
      </c>
      <c r="U309" s="5" t="s">
        <v>3309</v>
      </c>
      <c r="V309" s="5" t="s">
        <v>3309</v>
      </c>
      <c r="W309" s="5" t="s">
        <v>3617</v>
      </c>
      <c r="X309" s="5" t="s">
        <v>3617</v>
      </c>
      <c r="Y309" s="4">
        <v>902</v>
      </c>
      <c r="Z309" s="4">
        <v>827</v>
      </c>
      <c r="AA309" s="4">
        <v>1251</v>
      </c>
      <c r="AB309" s="4">
        <v>8</v>
      </c>
      <c r="AC309" s="4">
        <v>10</v>
      </c>
      <c r="AD309" s="4">
        <v>21</v>
      </c>
      <c r="AE309" s="4">
        <v>33</v>
      </c>
      <c r="AF309" s="4">
        <v>6</v>
      </c>
      <c r="AG309" s="4">
        <v>13</v>
      </c>
      <c r="AH309" s="4">
        <v>3</v>
      </c>
      <c r="AI309" s="4">
        <v>5</v>
      </c>
      <c r="AJ309" s="4">
        <v>11</v>
      </c>
      <c r="AK309" s="4">
        <v>17</v>
      </c>
      <c r="AL309" s="4">
        <v>6</v>
      </c>
      <c r="AM309" s="4">
        <v>7</v>
      </c>
      <c r="AN309" s="4">
        <v>0</v>
      </c>
      <c r="AO309" s="4">
        <v>0</v>
      </c>
      <c r="AP309" s="3" t="s">
        <v>59</v>
      </c>
      <c r="AQ309" s="3" t="s">
        <v>69</v>
      </c>
      <c r="AR309" s="6" t="str">
        <f>HYPERLINK("http://catalog.hathitrust.org/Record/000041153","HathiTrust Record")</f>
        <v>HathiTrust Record</v>
      </c>
      <c r="AS309" s="6" t="str">
        <f>HYPERLINK("https://creighton-primo.hosted.exlibrisgroup.com/primo-explore/search?tab=default_tab&amp;search_scope=EVERYTHING&amp;vid=01CRU&amp;lang=en_US&amp;offset=0&amp;query=any,contains,991004527879702656","Catalog Record")</f>
        <v>Catalog Record</v>
      </c>
      <c r="AT309" s="6" t="str">
        <f>HYPERLINK("http://www.worldcat.org/oclc/3844201","WorldCat Record")</f>
        <v>WorldCat Record</v>
      </c>
      <c r="AU309" s="3" t="s">
        <v>3618</v>
      </c>
      <c r="AV309" s="3" t="s">
        <v>3619</v>
      </c>
      <c r="AW309" s="3" t="s">
        <v>3620</v>
      </c>
      <c r="AX309" s="3" t="s">
        <v>3620</v>
      </c>
      <c r="AY309" s="3" t="s">
        <v>3621</v>
      </c>
      <c r="AZ309" s="3" t="s">
        <v>74</v>
      </c>
      <c r="BB309" s="3" t="s">
        <v>3622</v>
      </c>
      <c r="BC309" s="3" t="s">
        <v>3623</v>
      </c>
      <c r="BD309" s="3" t="s">
        <v>3624</v>
      </c>
    </row>
    <row r="310" spans="1:56" ht="57.75" customHeight="1" x14ac:dyDescent="0.25">
      <c r="A310" s="7" t="s">
        <v>59</v>
      </c>
      <c r="B310" s="2" t="s">
        <v>3625</v>
      </c>
      <c r="C310" s="2" t="s">
        <v>3626</v>
      </c>
      <c r="D310" s="2" t="s">
        <v>3627</v>
      </c>
      <c r="F310" s="3" t="s">
        <v>59</v>
      </c>
      <c r="G310" s="3" t="s">
        <v>60</v>
      </c>
      <c r="H310" s="3" t="s">
        <v>59</v>
      </c>
      <c r="I310" s="3" t="s">
        <v>59</v>
      </c>
      <c r="J310" s="3" t="s">
        <v>61</v>
      </c>
      <c r="K310" s="2" t="s">
        <v>3628</v>
      </c>
      <c r="L310" s="2" t="s">
        <v>3629</v>
      </c>
      <c r="M310" s="3" t="s">
        <v>224</v>
      </c>
      <c r="O310" s="3" t="s">
        <v>64</v>
      </c>
      <c r="P310" s="3" t="s">
        <v>630</v>
      </c>
      <c r="R310" s="3" t="s">
        <v>67</v>
      </c>
      <c r="S310" s="4">
        <v>2</v>
      </c>
      <c r="T310" s="4">
        <v>2</v>
      </c>
      <c r="U310" s="5" t="s">
        <v>3630</v>
      </c>
      <c r="V310" s="5" t="s">
        <v>3630</v>
      </c>
      <c r="W310" s="5" t="s">
        <v>3631</v>
      </c>
      <c r="X310" s="5" t="s">
        <v>3631</v>
      </c>
      <c r="Y310" s="4">
        <v>264</v>
      </c>
      <c r="Z310" s="4">
        <v>216</v>
      </c>
      <c r="AA310" s="4">
        <v>221</v>
      </c>
      <c r="AB310" s="4">
        <v>2</v>
      </c>
      <c r="AC310" s="4">
        <v>2</v>
      </c>
      <c r="AD310" s="4">
        <v>9</v>
      </c>
      <c r="AE310" s="4">
        <v>9</v>
      </c>
      <c r="AF310" s="4">
        <v>3</v>
      </c>
      <c r="AG310" s="4">
        <v>3</v>
      </c>
      <c r="AH310" s="4">
        <v>2</v>
      </c>
      <c r="AI310" s="4">
        <v>2</v>
      </c>
      <c r="AJ310" s="4">
        <v>5</v>
      </c>
      <c r="AK310" s="4">
        <v>5</v>
      </c>
      <c r="AL310" s="4">
        <v>1</v>
      </c>
      <c r="AM310" s="4">
        <v>1</v>
      </c>
      <c r="AN310" s="4">
        <v>0</v>
      </c>
      <c r="AO310" s="4">
        <v>0</v>
      </c>
      <c r="AP310" s="3" t="s">
        <v>59</v>
      </c>
      <c r="AQ310" s="3" t="s">
        <v>59</v>
      </c>
      <c r="AS310" s="6" t="str">
        <f>HYPERLINK("https://creighton-primo.hosted.exlibrisgroup.com/primo-explore/search?tab=default_tab&amp;search_scope=EVERYTHING&amp;vid=01CRU&amp;lang=en_US&amp;offset=0&amp;query=any,contains,991005183539702656","Catalog Record")</f>
        <v>Catalog Record</v>
      </c>
      <c r="AT310" s="6" t="str">
        <f>HYPERLINK("http://www.worldcat.org/oclc/80181392","WorldCat Record")</f>
        <v>WorldCat Record</v>
      </c>
      <c r="AU310" s="3" t="s">
        <v>3632</v>
      </c>
      <c r="AV310" s="3" t="s">
        <v>3633</v>
      </c>
      <c r="AW310" s="3" t="s">
        <v>3634</v>
      </c>
      <c r="AX310" s="3" t="s">
        <v>3634</v>
      </c>
      <c r="AY310" s="3" t="s">
        <v>3635</v>
      </c>
      <c r="AZ310" s="3" t="s">
        <v>74</v>
      </c>
      <c r="BB310" s="3" t="s">
        <v>3636</v>
      </c>
      <c r="BC310" s="3" t="s">
        <v>3637</v>
      </c>
      <c r="BD310" s="3" t="s">
        <v>3638</v>
      </c>
    </row>
    <row r="311" spans="1:56" ht="57.75" customHeight="1" x14ac:dyDescent="0.25">
      <c r="A311" s="7" t="s">
        <v>59</v>
      </c>
      <c r="B311" s="2" t="s">
        <v>3639</v>
      </c>
      <c r="C311" s="2" t="s">
        <v>3640</v>
      </c>
      <c r="D311" s="2" t="s">
        <v>3641</v>
      </c>
      <c r="F311" s="3" t="s">
        <v>59</v>
      </c>
      <c r="G311" s="3" t="s">
        <v>60</v>
      </c>
      <c r="H311" s="3" t="s">
        <v>59</v>
      </c>
      <c r="I311" s="3" t="s">
        <v>59</v>
      </c>
      <c r="J311" s="3" t="s">
        <v>61</v>
      </c>
      <c r="L311" s="2" t="s">
        <v>3642</v>
      </c>
      <c r="M311" s="3" t="s">
        <v>224</v>
      </c>
      <c r="O311" s="3" t="s">
        <v>64</v>
      </c>
      <c r="P311" s="3" t="s">
        <v>630</v>
      </c>
      <c r="R311" s="3" t="s">
        <v>67</v>
      </c>
      <c r="S311" s="4">
        <v>1</v>
      </c>
      <c r="T311" s="4">
        <v>1</v>
      </c>
      <c r="U311" s="5" t="s">
        <v>3643</v>
      </c>
      <c r="V311" s="5" t="s">
        <v>3643</v>
      </c>
      <c r="W311" s="5" t="s">
        <v>3643</v>
      </c>
      <c r="X311" s="5" t="s">
        <v>3643</v>
      </c>
      <c r="Y311" s="4">
        <v>252</v>
      </c>
      <c r="Z311" s="4">
        <v>204</v>
      </c>
      <c r="AA311" s="4">
        <v>205</v>
      </c>
      <c r="AB311" s="4">
        <v>2</v>
      </c>
      <c r="AC311" s="4">
        <v>2</v>
      </c>
      <c r="AD311" s="4">
        <v>8</v>
      </c>
      <c r="AE311" s="4">
        <v>8</v>
      </c>
      <c r="AF311" s="4">
        <v>3</v>
      </c>
      <c r="AG311" s="4">
        <v>3</v>
      </c>
      <c r="AH311" s="4">
        <v>2</v>
      </c>
      <c r="AI311" s="4">
        <v>2</v>
      </c>
      <c r="AJ311" s="4">
        <v>4</v>
      </c>
      <c r="AK311" s="4">
        <v>4</v>
      </c>
      <c r="AL311" s="4">
        <v>1</v>
      </c>
      <c r="AM311" s="4">
        <v>1</v>
      </c>
      <c r="AN311" s="4">
        <v>0</v>
      </c>
      <c r="AO311" s="4">
        <v>0</v>
      </c>
      <c r="AP311" s="3" t="s">
        <v>59</v>
      </c>
      <c r="AQ311" s="3" t="s">
        <v>59</v>
      </c>
      <c r="AS311" s="6" t="str">
        <f>HYPERLINK("https://creighton-primo.hosted.exlibrisgroup.com/primo-explore/search?tab=default_tab&amp;search_scope=EVERYTHING&amp;vid=01CRU&amp;lang=en_US&amp;offset=0&amp;query=any,contains,991005131519702656","Catalog Record")</f>
        <v>Catalog Record</v>
      </c>
      <c r="AT311" s="6" t="str">
        <f>HYPERLINK("http://www.worldcat.org/oclc/70063057","WorldCat Record")</f>
        <v>WorldCat Record</v>
      </c>
      <c r="AU311" s="3" t="s">
        <v>3644</v>
      </c>
      <c r="AV311" s="3" t="s">
        <v>3645</v>
      </c>
      <c r="AW311" s="3" t="s">
        <v>3646</v>
      </c>
      <c r="AX311" s="3" t="s">
        <v>3646</v>
      </c>
      <c r="AY311" s="3" t="s">
        <v>3647</v>
      </c>
      <c r="AZ311" s="3" t="s">
        <v>74</v>
      </c>
      <c r="BB311" s="3" t="s">
        <v>3648</v>
      </c>
      <c r="BC311" s="3" t="s">
        <v>3649</v>
      </c>
      <c r="BD311" s="3" t="s">
        <v>3650</v>
      </c>
    </row>
    <row r="312" spans="1:56" ht="57.75" customHeight="1" x14ac:dyDescent="0.25">
      <c r="A312" s="7" t="s">
        <v>59</v>
      </c>
      <c r="B312" s="2" t="s">
        <v>3651</v>
      </c>
      <c r="C312" s="2" t="s">
        <v>3652</v>
      </c>
      <c r="D312" s="2" t="s">
        <v>3653</v>
      </c>
      <c r="E312" s="3" t="s">
        <v>917</v>
      </c>
      <c r="F312" s="3" t="s">
        <v>59</v>
      </c>
      <c r="G312" s="3" t="s">
        <v>60</v>
      </c>
      <c r="H312" s="3" t="s">
        <v>59</v>
      </c>
      <c r="I312" s="3" t="s">
        <v>59</v>
      </c>
      <c r="J312" s="3" t="s">
        <v>61</v>
      </c>
      <c r="K312" s="2" t="s">
        <v>3654</v>
      </c>
      <c r="L312" s="2" t="s">
        <v>3655</v>
      </c>
      <c r="M312" s="3" t="s">
        <v>864</v>
      </c>
      <c r="O312" s="3" t="s">
        <v>64</v>
      </c>
      <c r="P312" s="3" t="s">
        <v>3656</v>
      </c>
      <c r="Q312" s="2" t="s">
        <v>3657</v>
      </c>
      <c r="R312" s="3" t="s">
        <v>67</v>
      </c>
      <c r="S312" s="4">
        <v>2</v>
      </c>
      <c r="T312" s="4">
        <v>2</v>
      </c>
      <c r="U312" s="5" t="s">
        <v>3658</v>
      </c>
      <c r="V312" s="5" t="s">
        <v>3658</v>
      </c>
      <c r="W312" s="5" t="s">
        <v>3416</v>
      </c>
      <c r="X312" s="5" t="s">
        <v>3416</v>
      </c>
      <c r="Y312" s="4">
        <v>153</v>
      </c>
      <c r="Z312" s="4">
        <v>122</v>
      </c>
      <c r="AA312" s="4">
        <v>126</v>
      </c>
      <c r="AB312" s="4">
        <v>1</v>
      </c>
      <c r="AC312" s="4">
        <v>1</v>
      </c>
      <c r="AD312" s="4">
        <v>0</v>
      </c>
      <c r="AE312" s="4">
        <v>0</v>
      </c>
      <c r="AF312" s="4">
        <v>0</v>
      </c>
      <c r="AG312" s="4">
        <v>0</v>
      </c>
      <c r="AH312" s="4">
        <v>0</v>
      </c>
      <c r="AI312" s="4">
        <v>0</v>
      </c>
      <c r="AJ312" s="4">
        <v>0</v>
      </c>
      <c r="AK312" s="4">
        <v>0</v>
      </c>
      <c r="AL312" s="4">
        <v>0</v>
      </c>
      <c r="AM312" s="4">
        <v>0</v>
      </c>
      <c r="AN312" s="4">
        <v>0</v>
      </c>
      <c r="AO312" s="4">
        <v>0</v>
      </c>
      <c r="AP312" s="3" t="s">
        <v>59</v>
      </c>
      <c r="AQ312" s="3" t="s">
        <v>69</v>
      </c>
      <c r="AR312" s="6" t="str">
        <f>HYPERLINK("http://catalog.hathitrust.org/Record/000773638","HathiTrust Record")</f>
        <v>HathiTrust Record</v>
      </c>
      <c r="AS312" s="6" t="str">
        <f>HYPERLINK("https://creighton-primo.hosted.exlibrisgroup.com/primo-explore/search?tab=default_tab&amp;search_scope=EVERYTHING&amp;vid=01CRU&amp;lang=en_US&amp;offset=0&amp;query=any,contains,991002840569702656","Catalog Record")</f>
        <v>Catalog Record</v>
      </c>
      <c r="AT312" s="6" t="str">
        <f>HYPERLINK("http://www.worldcat.org/oclc/482132","WorldCat Record")</f>
        <v>WorldCat Record</v>
      </c>
      <c r="AU312" s="3" t="s">
        <v>3659</v>
      </c>
      <c r="AV312" s="3" t="s">
        <v>3660</v>
      </c>
      <c r="AW312" s="3" t="s">
        <v>3661</v>
      </c>
      <c r="AX312" s="3" t="s">
        <v>3661</v>
      </c>
      <c r="AY312" s="3" t="s">
        <v>3662</v>
      </c>
      <c r="AZ312" s="3" t="s">
        <v>74</v>
      </c>
      <c r="BC312" s="3" t="s">
        <v>3663</v>
      </c>
      <c r="BD312" s="3" t="s">
        <v>3664</v>
      </c>
    </row>
    <row r="313" spans="1:56" ht="57.75" customHeight="1" x14ac:dyDescent="0.25">
      <c r="A313" s="7" t="s">
        <v>59</v>
      </c>
      <c r="B313" s="2" t="s">
        <v>3665</v>
      </c>
      <c r="C313" s="2" t="s">
        <v>3666</v>
      </c>
      <c r="D313" s="2" t="s">
        <v>3667</v>
      </c>
      <c r="F313" s="3" t="s">
        <v>59</v>
      </c>
      <c r="G313" s="3" t="s">
        <v>60</v>
      </c>
      <c r="H313" s="3" t="s">
        <v>59</v>
      </c>
      <c r="I313" s="3" t="s">
        <v>59</v>
      </c>
      <c r="J313" s="3" t="s">
        <v>61</v>
      </c>
      <c r="K313" s="2" t="s">
        <v>3668</v>
      </c>
      <c r="L313" s="2" t="s">
        <v>3669</v>
      </c>
      <c r="M313" s="3" t="s">
        <v>571</v>
      </c>
      <c r="O313" s="3" t="s">
        <v>64</v>
      </c>
      <c r="P313" s="3" t="s">
        <v>3670</v>
      </c>
      <c r="Q313" s="2" t="s">
        <v>3671</v>
      </c>
      <c r="R313" s="3" t="s">
        <v>67</v>
      </c>
      <c r="S313" s="4">
        <v>4</v>
      </c>
      <c r="T313" s="4">
        <v>4</v>
      </c>
      <c r="U313" s="5" t="s">
        <v>3594</v>
      </c>
      <c r="V313" s="5" t="s">
        <v>3594</v>
      </c>
      <c r="W313" s="5" t="s">
        <v>2828</v>
      </c>
      <c r="X313" s="5" t="s">
        <v>2828</v>
      </c>
      <c r="Y313" s="4">
        <v>40</v>
      </c>
      <c r="Z313" s="4">
        <v>35</v>
      </c>
      <c r="AA313" s="4">
        <v>58</v>
      </c>
      <c r="AB313" s="4">
        <v>1</v>
      </c>
      <c r="AC313" s="4">
        <v>1</v>
      </c>
      <c r="AD313" s="4">
        <v>1</v>
      </c>
      <c r="AE313" s="4">
        <v>1</v>
      </c>
      <c r="AF313" s="4">
        <v>0</v>
      </c>
      <c r="AG313" s="4">
        <v>0</v>
      </c>
      <c r="AH313" s="4">
        <v>0</v>
      </c>
      <c r="AI313" s="4">
        <v>0</v>
      </c>
      <c r="AJ313" s="4">
        <v>1</v>
      </c>
      <c r="AK313" s="4">
        <v>1</v>
      </c>
      <c r="AL313" s="4">
        <v>0</v>
      </c>
      <c r="AM313" s="4">
        <v>0</v>
      </c>
      <c r="AN313" s="4">
        <v>0</v>
      </c>
      <c r="AO313" s="4">
        <v>0</v>
      </c>
      <c r="AP313" s="3" t="s">
        <v>59</v>
      </c>
      <c r="AQ313" s="3" t="s">
        <v>69</v>
      </c>
      <c r="AR313" s="6" t="str">
        <f>HYPERLINK("http://catalog.hathitrust.org/Record/100780983","HathiTrust Record")</f>
        <v>HathiTrust Record</v>
      </c>
      <c r="AS313" s="6" t="str">
        <f>HYPERLINK("https://creighton-primo.hosted.exlibrisgroup.com/primo-explore/search?tab=default_tab&amp;search_scope=EVERYTHING&amp;vid=01CRU&amp;lang=en_US&amp;offset=0&amp;query=any,contains,991002985519702656","Catalog Record")</f>
        <v>Catalog Record</v>
      </c>
      <c r="AT313" s="6" t="str">
        <f>HYPERLINK("http://www.worldcat.org/oclc/557318","WorldCat Record")</f>
        <v>WorldCat Record</v>
      </c>
      <c r="AU313" s="3" t="s">
        <v>3672</v>
      </c>
      <c r="AV313" s="3" t="s">
        <v>3673</v>
      </c>
      <c r="AW313" s="3" t="s">
        <v>3674</v>
      </c>
      <c r="AX313" s="3" t="s">
        <v>3674</v>
      </c>
      <c r="AY313" s="3" t="s">
        <v>3675</v>
      </c>
      <c r="AZ313" s="3" t="s">
        <v>74</v>
      </c>
      <c r="BC313" s="3" t="s">
        <v>3676</v>
      </c>
      <c r="BD313" s="3" t="s">
        <v>3677</v>
      </c>
    </row>
    <row r="314" spans="1:56" ht="57.75" customHeight="1" x14ac:dyDescent="0.25">
      <c r="A314" s="7" t="s">
        <v>59</v>
      </c>
      <c r="B314" s="2" t="s">
        <v>3678</v>
      </c>
      <c r="C314" s="2" t="s">
        <v>3679</v>
      </c>
      <c r="D314" s="2" t="s">
        <v>3680</v>
      </c>
      <c r="F314" s="3" t="s">
        <v>59</v>
      </c>
      <c r="G314" s="3" t="s">
        <v>60</v>
      </c>
      <c r="H314" s="3" t="s">
        <v>59</v>
      </c>
      <c r="I314" s="3" t="s">
        <v>59</v>
      </c>
      <c r="J314" s="3" t="s">
        <v>61</v>
      </c>
      <c r="K314" s="2" t="s">
        <v>3681</v>
      </c>
      <c r="L314" s="2" t="s">
        <v>3682</v>
      </c>
      <c r="M314" s="3" t="s">
        <v>738</v>
      </c>
      <c r="O314" s="3" t="s">
        <v>64</v>
      </c>
      <c r="P314" s="3" t="s">
        <v>3297</v>
      </c>
      <c r="Q314" s="2" t="s">
        <v>3683</v>
      </c>
      <c r="R314" s="3" t="s">
        <v>67</v>
      </c>
      <c r="S314" s="4">
        <v>4</v>
      </c>
      <c r="T314" s="4">
        <v>4</v>
      </c>
      <c r="U314" s="5" t="s">
        <v>3594</v>
      </c>
      <c r="V314" s="5" t="s">
        <v>3594</v>
      </c>
      <c r="W314" s="5" t="s">
        <v>2828</v>
      </c>
      <c r="X314" s="5" t="s">
        <v>2828</v>
      </c>
      <c r="Y314" s="4">
        <v>26</v>
      </c>
      <c r="Z314" s="4">
        <v>19</v>
      </c>
      <c r="AA314" s="4">
        <v>19</v>
      </c>
      <c r="AB314" s="4">
        <v>1</v>
      </c>
      <c r="AC314" s="4">
        <v>1</v>
      </c>
      <c r="AD314" s="4">
        <v>2</v>
      </c>
      <c r="AE314" s="4">
        <v>2</v>
      </c>
      <c r="AF314" s="4">
        <v>1</v>
      </c>
      <c r="AG314" s="4">
        <v>1</v>
      </c>
      <c r="AH314" s="4">
        <v>0</v>
      </c>
      <c r="AI314" s="4">
        <v>0</v>
      </c>
      <c r="AJ314" s="4">
        <v>2</v>
      </c>
      <c r="AK314" s="4">
        <v>2</v>
      </c>
      <c r="AL314" s="4">
        <v>0</v>
      </c>
      <c r="AM314" s="4">
        <v>0</v>
      </c>
      <c r="AN314" s="4">
        <v>0</v>
      </c>
      <c r="AO314" s="4">
        <v>0</v>
      </c>
      <c r="AP314" s="3" t="s">
        <v>59</v>
      </c>
      <c r="AQ314" s="3" t="s">
        <v>59</v>
      </c>
      <c r="AS314" s="6" t="str">
        <f>HYPERLINK("https://creighton-primo.hosted.exlibrisgroup.com/primo-explore/search?tab=default_tab&amp;search_scope=EVERYTHING&amp;vid=01CRU&amp;lang=en_US&amp;offset=0&amp;query=any,contains,991000223899702656","Catalog Record")</f>
        <v>Catalog Record</v>
      </c>
      <c r="AT314" s="6" t="str">
        <f>HYPERLINK("http://www.worldcat.org/oclc/9597510","WorldCat Record")</f>
        <v>WorldCat Record</v>
      </c>
      <c r="AU314" s="3" t="s">
        <v>3684</v>
      </c>
      <c r="AV314" s="3" t="s">
        <v>3685</v>
      </c>
      <c r="AW314" s="3" t="s">
        <v>3686</v>
      </c>
      <c r="AX314" s="3" t="s">
        <v>3686</v>
      </c>
      <c r="AY314" s="3" t="s">
        <v>3687</v>
      </c>
      <c r="AZ314" s="3" t="s">
        <v>74</v>
      </c>
      <c r="BC314" s="3" t="s">
        <v>3688</v>
      </c>
      <c r="BD314" s="3" t="s">
        <v>3689</v>
      </c>
    </row>
    <row r="315" spans="1:56" ht="57.75" customHeight="1" x14ac:dyDescent="0.25">
      <c r="A315" s="7" t="s">
        <v>59</v>
      </c>
      <c r="B315" s="2" t="s">
        <v>3690</v>
      </c>
      <c r="C315" s="2" t="s">
        <v>3691</v>
      </c>
      <c r="D315" s="2" t="s">
        <v>3692</v>
      </c>
      <c r="F315" s="3" t="s">
        <v>59</v>
      </c>
      <c r="G315" s="3" t="s">
        <v>60</v>
      </c>
      <c r="H315" s="3" t="s">
        <v>59</v>
      </c>
      <c r="I315" s="3" t="s">
        <v>59</v>
      </c>
      <c r="J315" s="3" t="s">
        <v>61</v>
      </c>
      <c r="K315" s="2" t="s">
        <v>3693</v>
      </c>
      <c r="L315" s="2" t="s">
        <v>3694</v>
      </c>
      <c r="M315" s="3" t="s">
        <v>404</v>
      </c>
      <c r="O315" s="3" t="s">
        <v>64</v>
      </c>
      <c r="P315" s="3" t="s">
        <v>541</v>
      </c>
      <c r="R315" s="3" t="s">
        <v>67</v>
      </c>
      <c r="S315" s="4">
        <v>17</v>
      </c>
      <c r="T315" s="4">
        <v>17</v>
      </c>
      <c r="U315" s="5" t="s">
        <v>1853</v>
      </c>
      <c r="V315" s="5" t="s">
        <v>1853</v>
      </c>
      <c r="W315" s="5" t="s">
        <v>3695</v>
      </c>
      <c r="X315" s="5" t="s">
        <v>3695</v>
      </c>
      <c r="Y315" s="4">
        <v>471</v>
      </c>
      <c r="Z315" s="4">
        <v>381</v>
      </c>
      <c r="AA315" s="4">
        <v>401</v>
      </c>
      <c r="AB315" s="4">
        <v>3</v>
      </c>
      <c r="AC315" s="4">
        <v>3</v>
      </c>
      <c r="AD315" s="4">
        <v>14</v>
      </c>
      <c r="AE315" s="4">
        <v>15</v>
      </c>
      <c r="AF315" s="4">
        <v>7</v>
      </c>
      <c r="AG315" s="4">
        <v>8</v>
      </c>
      <c r="AH315" s="4">
        <v>2</v>
      </c>
      <c r="AI315" s="4">
        <v>2</v>
      </c>
      <c r="AJ315" s="4">
        <v>6</v>
      </c>
      <c r="AK315" s="4">
        <v>7</v>
      </c>
      <c r="AL315" s="4">
        <v>2</v>
      </c>
      <c r="AM315" s="4">
        <v>2</v>
      </c>
      <c r="AN315" s="4">
        <v>0</v>
      </c>
      <c r="AO315" s="4">
        <v>0</v>
      </c>
      <c r="AP315" s="3" t="s">
        <v>59</v>
      </c>
      <c r="AQ315" s="3" t="s">
        <v>69</v>
      </c>
      <c r="AR315" s="6" t="str">
        <f>HYPERLINK("http://catalog.hathitrust.org/Record/001499923","HathiTrust Record")</f>
        <v>HathiTrust Record</v>
      </c>
      <c r="AS315" s="6" t="str">
        <f>HYPERLINK("https://creighton-primo.hosted.exlibrisgroup.com/primo-explore/search?tab=default_tab&amp;search_scope=EVERYTHING&amp;vid=01CRU&amp;lang=en_US&amp;offset=0&amp;query=any,contains,991003227209702656","Catalog Record")</f>
        <v>Catalog Record</v>
      </c>
      <c r="AT315" s="6" t="str">
        <f>HYPERLINK("http://www.worldcat.org/oclc/752147","WorldCat Record")</f>
        <v>WorldCat Record</v>
      </c>
      <c r="AU315" s="3" t="s">
        <v>3696</v>
      </c>
      <c r="AV315" s="3" t="s">
        <v>3697</v>
      </c>
      <c r="AW315" s="3" t="s">
        <v>3698</v>
      </c>
      <c r="AX315" s="3" t="s">
        <v>3698</v>
      </c>
      <c r="AY315" s="3" t="s">
        <v>3699</v>
      </c>
      <c r="AZ315" s="3" t="s">
        <v>74</v>
      </c>
      <c r="BC315" s="3" t="s">
        <v>3700</v>
      </c>
      <c r="BD315" s="3" t="s">
        <v>3701</v>
      </c>
    </row>
    <row r="316" spans="1:56" ht="57.75" customHeight="1" x14ac:dyDescent="0.25">
      <c r="A316" s="7" t="s">
        <v>59</v>
      </c>
      <c r="B316" s="2" t="s">
        <v>3702</v>
      </c>
      <c r="C316" s="2" t="s">
        <v>3703</v>
      </c>
      <c r="D316" s="2" t="s">
        <v>3704</v>
      </c>
      <c r="F316" s="3" t="s">
        <v>59</v>
      </c>
      <c r="G316" s="3" t="s">
        <v>60</v>
      </c>
      <c r="H316" s="3" t="s">
        <v>59</v>
      </c>
      <c r="I316" s="3" t="s">
        <v>59</v>
      </c>
      <c r="J316" s="3" t="s">
        <v>61</v>
      </c>
      <c r="K316" s="2" t="s">
        <v>3705</v>
      </c>
      <c r="L316" s="2" t="s">
        <v>3706</v>
      </c>
      <c r="M316" s="3" t="s">
        <v>130</v>
      </c>
      <c r="O316" s="3" t="s">
        <v>64</v>
      </c>
      <c r="P316" s="3" t="s">
        <v>541</v>
      </c>
      <c r="R316" s="3" t="s">
        <v>67</v>
      </c>
      <c r="S316" s="4">
        <v>1</v>
      </c>
      <c r="T316" s="4">
        <v>1</v>
      </c>
      <c r="U316" s="5" t="s">
        <v>3707</v>
      </c>
      <c r="V316" s="5" t="s">
        <v>3707</v>
      </c>
      <c r="W316" s="5" t="s">
        <v>3707</v>
      </c>
      <c r="X316" s="5" t="s">
        <v>3707</v>
      </c>
      <c r="Y316" s="4">
        <v>298</v>
      </c>
      <c r="Z316" s="4">
        <v>215</v>
      </c>
      <c r="AA316" s="4">
        <v>253</v>
      </c>
      <c r="AB316" s="4">
        <v>2</v>
      </c>
      <c r="AC316" s="4">
        <v>2</v>
      </c>
      <c r="AD316" s="4">
        <v>8</v>
      </c>
      <c r="AE316" s="4">
        <v>9</v>
      </c>
      <c r="AF316" s="4">
        <v>1</v>
      </c>
      <c r="AG316" s="4">
        <v>1</v>
      </c>
      <c r="AH316" s="4">
        <v>3</v>
      </c>
      <c r="AI316" s="4">
        <v>3</v>
      </c>
      <c r="AJ316" s="4">
        <v>5</v>
      </c>
      <c r="AK316" s="4">
        <v>6</v>
      </c>
      <c r="AL316" s="4">
        <v>1</v>
      </c>
      <c r="AM316" s="4">
        <v>1</v>
      </c>
      <c r="AN316" s="4">
        <v>0</v>
      </c>
      <c r="AO316" s="4">
        <v>0</v>
      </c>
      <c r="AP316" s="3" t="s">
        <v>59</v>
      </c>
      <c r="AQ316" s="3" t="s">
        <v>59</v>
      </c>
      <c r="AS316" s="6" t="str">
        <f>HYPERLINK("https://creighton-primo.hosted.exlibrisgroup.com/primo-explore/search?tab=default_tab&amp;search_scope=EVERYTHING&amp;vid=01CRU&amp;lang=en_US&amp;offset=0&amp;query=any,contains,991004319999702656","Catalog Record")</f>
        <v>Catalog Record</v>
      </c>
      <c r="AT316" s="6" t="str">
        <f>HYPERLINK("http://www.worldcat.org/oclc/54029510","WorldCat Record")</f>
        <v>WorldCat Record</v>
      </c>
      <c r="AU316" s="3" t="s">
        <v>3708</v>
      </c>
      <c r="AV316" s="3" t="s">
        <v>3709</v>
      </c>
      <c r="AW316" s="3" t="s">
        <v>3710</v>
      </c>
      <c r="AX316" s="3" t="s">
        <v>3710</v>
      </c>
      <c r="AY316" s="3" t="s">
        <v>3711</v>
      </c>
      <c r="AZ316" s="3" t="s">
        <v>74</v>
      </c>
      <c r="BB316" s="3" t="s">
        <v>3712</v>
      </c>
      <c r="BC316" s="3" t="s">
        <v>3713</v>
      </c>
      <c r="BD316" s="3" t="s">
        <v>3714</v>
      </c>
    </row>
    <row r="317" spans="1:56" ht="57.75" customHeight="1" x14ac:dyDescent="0.25">
      <c r="A317" s="7" t="s">
        <v>59</v>
      </c>
      <c r="B317" s="2" t="s">
        <v>3715</v>
      </c>
      <c r="C317" s="2" t="s">
        <v>3716</v>
      </c>
      <c r="D317" s="2" t="s">
        <v>3717</v>
      </c>
      <c r="F317" s="3" t="s">
        <v>59</v>
      </c>
      <c r="G317" s="3" t="s">
        <v>60</v>
      </c>
      <c r="H317" s="3" t="s">
        <v>59</v>
      </c>
      <c r="I317" s="3" t="s">
        <v>59</v>
      </c>
      <c r="J317" s="3" t="s">
        <v>61</v>
      </c>
      <c r="K317" s="2" t="s">
        <v>3718</v>
      </c>
      <c r="L317" s="2" t="s">
        <v>3719</v>
      </c>
      <c r="M317" s="3" t="s">
        <v>239</v>
      </c>
      <c r="N317" s="2" t="s">
        <v>3720</v>
      </c>
      <c r="O317" s="3" t="s">
        <v>3721</v>
      </c>
      <c r="P317" s="3" t="s">
        <v>932</v>
      </c>
      <c r="R317" s="3" t="s">
        <v>67</v>
      </c>
      <c r="S317" s="4">
        <v>7</v>
      </c>
      <c r="T317" s="4">
        <v>7</v>
      </c>
      <c r="U317" s="5" t="s">
        <v>3722</v>
      </c>
      <c r="V317" s="5" t="s">
        <v>3722</v>
      </c>
      <c r="W317" s="5" t="s">
        <v>3723</v>
      </c>
      <c r="X317" s="5" t="s">
        <v>3723</v>
      </c>
      <c r="Y317" s="4">
        <v>31</v>
      </c>
      <c r="Z317" s="4">
        <v>31</v>
      </c>
      <c r="AA317" s="4">
        <v>62</v>
      </c>
      <c r="AB317" s="4">
        <v>1</v>
      </c>
      <c r="AC317" s="4">
        <v>1</v>
      </c>
      <c r="AD317" s="4">
        <v>1</v>
      </c>
      <c r="AE317" s="4">
        <v>2</v>
      </c>
      <c r="AF317" s="4">
        <v>1</v>
      </c>
      <c r="AG317" s="4">
        <v>1</v>
      </c>
      <c r="AH317" s="4">
        <v>0</v>
      </c>
      <c r="AI317" s="4">
        <v>0</v>
      </c>
      <c r="AJ317" s="4">
        <v>0</v>
      </c>
      <c r="AK317" s="4">
        <v>1</v>
      </c>
      <c r="AL317" s="4">
        <v>0</v>
      </c>
      <c r="AM317" s="4">
        <v>0</v>
      </c>
      <c r="AN317" s="4">
        <v>0</v>
      </c>
      <c r="AO317" s="4">
        <v>0</v>
      </c>
      <c r="AP317" s="3" t="s">
        <v>59</v>
      </c>
      <c r="AQ317" s="3" t="s">
        <v>69</v>
      </c>
      <c r="AR317" s="6" t="str">
        <f>HYPERLINK("http://catalog.hathitrust.org/Record/009159122","HathiTrust Record")</f>
        <v>HathiTrust Record</v>
      </c>
      <c r="AS317" s="6" t="str">
        <f>HYPERLINK("https://creighton-primo.hosted.exlibrisgroup.com/primo-explore/search?tab=default_tab&amp;search_scope=EVERYTHING&amp;vid=01CRU&amp;lang=en_US&amp;offset=0&amp;query=any,contains,991002780859702656","Catalog Record")</f>
        <v>Catalog Record</v>
      </c>
      <c r="AT317" s="6" t="str">
        <f>HYPERLINK("http://www.worldcat.org/oclc/36506151","WorldCat Record")</f>
        <v>WorldCat Record</v>
      </c>
      <c r="AU317" s="3" t="s">
        <v>3724</v>
      </c>
      <c r="AV317" s="3" t="s">
        <v>3725</v>
      </c>
      <c r="AW317" s="3" t="s">
        <v>3726</v>
      </c>
      <c r="AX317" s="3" t="s">
        <v>3726</v>
      </c>
      <c r="AY317" s="3" t="s">
        <v>3727</v>
      </c>
      <c r="AZ317" s="3" t="s">
        <v>74</v>
      </c>
      <c r="BC317" s="3" t="s">
        <v>3728</v>
      </c>
      <c r="BD317" s="3" t="s">
        <v>3729</v>
      </c>
    </row>
    <row r="318" spans="1:56" ht="57.75" customHeight="1" x14ac:dyDescent="0.25">
      <c r="A318" s="7" t="s">
        <v>59</v>
      </c>
      <c r="B318" s="2" t="s">
        <v>3730</v>
      </c>
      <c r="C318" s="2" t="s">
        <v>3731</v>
      </c>
      <c r="D318" s="2" t="s">
        <v>3732</v>
      </c>
      <c r="F318" s="3" t="s">
        <v>59</v>
      </c>
      <c r="G318" s="3" t="s">
        <v>60</v>
      </c>
      <c r="H318" s="3" t="s">
        <v>59</v>
      </c>
      <c r="I318" s="3" t="s">
        <v>59</v>
      </c>
      <c r="J318" s="3" t="s">
        <v>61</v>
      </c>
      <c r="K318" s="2" t="s">
        <v>3733</v>
      </c>
      <c r="L318" s="2" t="s">
        <v>3734</v>
      </c>
      <c r="M318" s="3" t="s">
        <v>1701</v>
      </c>
      <c r="O318" s="3" t="s">
        <v>64</v>
      </c>
      <c r="P318" s="3" t="s">
        <v>467</v>
      </c>
      <c r="Q318" s="2" t="s">
        <v>3735</v>
      </c>
      <c r="R318" s="3" t="s">
        <v>67</v>
      </c>
      <c r="S318" s="4">
        <v>3</v>
      </c>
      <c r="T318" s="4">
        <v>3</v>
      </c>
      <c r="U318" s="5" t="s">
        <v>3736</v>
      </c>
      <c r="V318" s="5" t="s">
        <v>3736</v>
      </c>
      <c r="W318" s="5" t="s">
        <v>2828</v>
      </c>
      <c r="X318" s="5" t="s">
        <v>2828</v>
      </c>
      <c r="Y318" s="4">
        <v>387</v>
      </c>
      <c r="Z318" s="4">
        <v>292</v>
      </c>
      <c r="AA318" s="4">
        <v>308</v>
      </c>
      <c r="AB318" s="4">
        <v>4</v>
      </c>
      <c r="AC318" s="4">
        <v>4</v>
      </c>
      <c r="AD318" s="4">
        <v>8</v>
      </c>
      <c r="AE318" s="4">
        <v>9</v>
      </c>
      <c r="AF318" s="4">
        <v>3</v>
      </c>
      <c r="AG318" s="4">
        <v>4</v>
      </c>
      <c r="AH318" s="4">
        <v>2</v>
      </c>
      <c r="AI318" s="4">
        <v>2</v>
      </c>
      <c r="AJ318" s="4">
        <v>1</v>
      </c>
      <c r="AK318" s="4">
        <v>2</v>
      </c>
      <c r="AL318" s="4">
        <v>3</v>
      </c>
      <c r="AM318" s="4">
        <v>3</v>
      </c>
      <c r="AN318" s="4">
        <v>0</v>
      </c>
      <c r="AO318" s="4">
        <v>0</v>
      </c>
      <c r="AP318" s="3" t="s">
        <v>59</v>
      </c>
      <c r="AQ318" s="3" t="s">
        <v>69</v>
      </c>
      <c r="AR318" s="6" t="str">
        <f>HYPERLINK("http://catalog.hathitrust.org/Record/000251794","HathiTrust Record")</f>
        <v>HathiTrust Record</v>
      </c>
      <c r="AS318" s="6" t="str">
        <f>HYPERLINK("https://creighton-primo.hosted.exlibrisgroup.com/primo-explore/search?tab=default_tab&amp;search_scope=EVERYTHING&amp;vid=01CRU&amp;lang=en_US&amp;offset=0&amp;query=any,contains,991004319509702656","Catalog Record")</f>
        <v>Catalog Record</v>
      </c>
      <c r="AT318" s="6" t="str">
        <f>HYPERLINK("http://www.worldcat.org/oclc/3016741","WorldCat Record")</f>
        <v>WorldCat Record</v>
      </c>
      <c r="AU318" s="3" t="s">
        <v>3737</v>
      </c>
      <c r="AV318" s="3" t="s">
        <v>3738</v>
      </c>
      <c r="AW318" s="3" t="s">
        <v>3739</v>
      </c>
      <c r="AX318" s="3" t="s">
        <v>3739</v>
      </c>
      <c r="AY318" s="3" t="s">
        <v>3740</v>
      </c>
      <c r="AZ318" s="3" t="s">
        <v>74</v>
      </c>
      <c r="BB318" s="3" t="s">
        <v>3741</v>
      </c>
      <c r="BC318" s="3" t="s">
        <v>3742</v>
      </c>
      <c r="BD318" s="3" t="s">
        <v>3743</v>
      </c>
    </row>
    <row r="319" spans="1:56" ht="57.75" customHeight="1" x14ac:dyDescent="0.25">
      <c r="A319" s="7" t="s">
        <v>59</v>
      </c>
      <c r="B319" s="2" t="s">
        <v>3744</v>
      </c>
      <c r="C319" s="2" t="s">
        <v>3745</v>
      </c>
      <c r="D319" s="2" t="s">
        <v>3746</v>
      </c>
      <c r="F319" s="3" t="s">
        <v>59</v>
      </c>
      <c r="G319" s="3" t="s">
        <v>60</v>
      </c>
      <c r="H319" s="3" t="s">
        <v>59</v>
      </c>
      <c r="I319" s="3" t="s">
        <v>59</v>
      </c>
      <c r="J319" s="3" t="s">
        <v>61</v>
      </c>
      <c r="L319" s="2" t="s">
        <v>3747</v>
      </c>
      <c r="M319" s="3" t="s">
        <v>864</v>
      </c>
      <c r="O319" s="3" t="s">
        <v>64</v>
      </c>
      <c r="P319" s="3" t="s">
        <v>467</v>
      </c>
      <c r="R319" s="3" t="s">
        <v>67</v>
      </c>
      <c r="S319" s="4">
        <v>5</v>
      </c>
      <c r="T319" s="4">
        <v>5</v>
      </c>
      <c r="U319" s="5" t="s">
        <v>3748</v>
      </c>
      <c r="V319" s="5" t="s">
        <v>3748</v>
      </c>
      <c r="W319" s="5" t="s">
        <v>3749</v>
      </c>
      <c r="X319" s="5" t="s">
        <v>3749</v>
      </c>
      <c r="Y319" s="4">
        <v>716</v>
      </c>
      <c r="Z319" s="4">
        <v>553</v>
      </c>
      <c r="AA319" s="4">
        <v>596</v>
      </c>
      <c r="AB319" s="4">
        <v>5</v>
      </c>
      <c r="AC319" s="4">
        <v>6</v>
      </c>
      <c r="AD319" s="4">
        <v>25</v>
      </c>
      <c r="AE319" s="4">
        <v>29</v>
      </c>
      <c r="AF319" s="4">
        <v>12</v>
      </c>
      <c r="AG319" s="4">
        <v>14</v>
      </c>
      <c r="AH319" s="4">
        <v>5</v>
      </c>
      <c r="AI319" s="4">
        <v>6</v>
      </c>
      <c r="AJ319" s="4">
        <v>11</v>
      </c>
      <c r="AK319" s="4">
        <v>11</v>
      </c>
      <c r="AL319" s="4">
        <v>4</v>
      </c>
      <c r="AM319" s="4">
        <v>5</v>
      </c>
      <c r="AN319" s="4">
        <v>0</v>
      </c>
      <c r="AO319" s="4">
        <v>0</v>
      </c>
      <c r="AP319" s="3" t="s">
        <v>59</v>
      </c>
      <c r="AQ319" s="3" t="s">
        <v>69</v>
      </c>
      <c r="AR319" s="6" t="str">
        <f>HYPERLINK("http://catalog.hathitrust.org/Record/001500106","HathiTrust Record")</f>
        <v>HathiTrust Record</v>
      </c>
      <c r="AS319" s="6" t="str">
        <f>HYPERLINK("https://creighton-primo.hosted.exlibrisgroup.com/primo-explore/search?tab=default_tab&amp;search_scope=EVERYTHING&amp;vid=01CRU&amp;lang=en_US&amp;offset=0&amp;query=any,contains,991000616719702656","Catalog Record")</f>
        <v>Catalog Record</v>
      </c>
      <c r="AT319" s="6" t="str">
        <f>HYPERLINK("http://www.worldcat.org/oclc/101894","WorldCat Record")</f>
        <v>WorldCat Record</v>
      </c>
      <c r="AU319" s="3" t="s">
        <v>3750</v>
      </c>
      <c r="AV319" s="3" t="s">
        <v>3751</v>
      </c>
      <c r="AW319" s="3" t="s">
        <v>3752</v>
      </c>
      <c r="AX319" s="3" t="s">
        <v>3752</v>
      </c>
      <c r="AY319" s="3" t="s">
        <v>3753</v>
      </c>
      <c r="AZ319" s="3" t="s">
        <v>74</v>
      </c>
      <c r="BB319" s="3" t="s">
        <v>3754</v>
      </c>
      <c r="BC319" s="3" t="s">
        <v>3755</v>
      </c>
      <c r="BD319" s="3" t="s">
        <v>3756</v>
      </c>
    </row>
    <row r="320" spans="1:56" ht="57.75" customHeight="1" x14ac:dyDescent="0.25">
      <c r="A320" s="7" t="s">
        <v>59</v>
      </c>
      <c r="B320" s="2" t="s">
        <v>3757</v>
      </c>
      <c r="C320" s="2" t="s">
        <v>3758</v>
      </c>
      <c r="D320" s="2" t="s">
        <v>3759</v>
      </c>
      <c r="F320" s="3" t="s">
        <v>59</v>
      </c>
      <c r="G320" s="3" t="s">
        <v>60</v>
      </c>
      <c r="H320" s="3" t="s">
        <v>59</v>
      </c>
      <c r="I320" s="3" t="s">
        <v>59</v>
      </c>
      <c r="J320" s="3" t="s">
        <v>61</v>
      </c>
      <c r="K320" s="2" t="s">
        <v>3760</v>
      </c>
      <c r="L320" s="2" t="s">
        <v>3761</v>
      </c>
      <c r="M320" s="3" t="s">
        <v>511</v>
      </c>
      <c r="O320" s="3" t="s">
        <v>64</v>
      </c>
      <c r="P320" s="3" t="s">
        <v>630</v>
      </c>
      <c r="Q320" s="2" t="s">
        <v>891</v>
      </c>
      <c r="R320" s="3" t="s">
        <v>67</v>
      </c>
      <c r="S320" s="4">
        <v>18</v>
      </c>
      <c r="T320" s="4">
        <v>18</v>
      </c>
      <c r="U320" s="5" t="s">
        <v>1374</v>
      </c>
      <c r="V320" s="5" t="s">
        <v>1374</v>
      </c>
      <c r="W320" s="5" t="s">
        <v>3762</v>
      </c>
      <c r="X320" s="5" t="s">
        <v>3762</v>
      </c>
      <c r="Y320" s="4">
        <v>701</v>
      </c>
      <c r="Z320" s="4">
        <v>599</v>
      </c>
      <c r="AA320" s="4">
        <v>701</v>
      </c>
      <c r="AB320" s="4">
        <v>5</v>
      </c>
      <c r="AC320" s="4">
        <v>7</v>
      </c>
      <c r="AD320" s="4">
        <v>15</v>
      </c>
      <c r="AE320" s="4">
        <v>18</v>
      </c>
      <c r="AF320" s="4">
        <v>5</v>
      </c>
      <c r="AG320" s="4">
        <v>5</v>
      </c>
      <c r="AH320" s="4">
        <v>3</v>
      </c>
      <c r="AI320" s="4">
        <v>4</v>
      </c>
      <c r="AJ320" s="4">
        <v>11</v>
      </c>
      <c r="AK320" s="4">
        <v>11</v>
      </c>
      <c r="AL320" s="4">
        <v>2</v>
      </c>
      <c r="AM320" s="4">
        <v>4</v>
      </c>
      <c r="AN320" s="4">
        <v>0</v>
      </c>
      <c r="AO320" s="4">
        <v>0</v>
      </c>
      <c r="AP320" s="3" t="s">
        <v>59</v>
      </c>
      <c r="AQ320" s="3" t="s">
        <v>69</v>
      </c>
      <c r="AR320" s="6" t="str">
        <f>HYPERLINK("http://catalog.hathitrust.org/Record/002932492","HathiTrust Record")</f>
        <v>HathiTrust Record</v>
      </c>
      <c r="AS320" s="6" t="str">
        <f>HYPERLINK("https://creighton-primo.hosted.exlibrisgroup.com/primo-explore/search?tab=default_tab&amp;search_scope=EVERYTHING&amp;vid=01CRU&amp;lang=en_US&amp;offset=0&amp;query=any,contains,991002325659702656","Catalog Record")</f>
        <v>Catalog Record</v>
      </c>
      <c r="AT320" s="6" t="str">
        <f>HYPERLINK("http://www.worldcat.org/oclc/30157272","WorldCat Record")</f>
        <v>WorldCat Record</v>
      </c>
      <c r="AU320" s="3" t="s">
        <v>3763</v>
      </c>
      <c r="AV320" s="3" t="s">
        <v>3764</v>
      </c>
      <c r="AW320" s="3" t="s">
        <v>3765</v>
      </c>
      <c r="AX320" s="3" t="s">
        <v>3765</v>
      </c>
      <c r="AY320" s="3" t="s">
        <v>3766</v>
      </c>
      <c r="AZ320" s="3" t="s">
        <v>74</v>
      </c>
      <c r="BB320" s="3" t="s">
        <v>3767</v>
      </c>
      <c r="BC320" s="3" t="s">
        <v>3768</v>
      </c>
      <c r="BD320" s="3" t="s">
        <v>3769</v>
      </c>
    </row>
    <row r="321" spans="1:56" ht="57.75" customHeight="1" x14ac:dyDescent="0.25">
      <c r="A321" s="7" t="s">
        <v>59</v>
      </c>
      <c r="B321" s="2" t="s">
        <v>3770</v>
      </c>
      <c r="C321" s="2" t="s">
        <v>3771</v>
      </c>
      <c r="D321" s="2" t="s">
        <v>3772</v>
      </c>
      <c r="F321" s="3" t="s">
        <v>59</v>
      </c>
      <c r="G321" s="3" t="s">
        <v>60</v>
      </c>
      <c r="H321" s="3" t="s">
        <v>59</v>
      </c>
      <c r="I321" s="3" t="s">
        <v>59</v>
      </c>
      <c r="J321" s="3" t="s">
        <v>61</v>
      </c>
      <c r="K321" s="2" t="s">
        <v>3591</v>
      </c>
      <c r="L321" s="2" t="s">
        <v>3773</v>
      </c>
      <c r="M321" s="3" t="s">
        <v>1786</v>
      </c>
      <c r="N321" s="2" t="s">
        <v>3774</v>
      </c>
      <c r="O321" s="3" t="s">
        <v>64</v>
      </c>
      <c r="P321" s="3" t="s">
        <v>467</v>
      </c>
      <c r="R321" s="3" t="s">
        <v>67</v>
      </c>
      <c r="S321" s="4">
        <v>1</v>
      </c>
      <c r="T321" s="4">
        <v>1</v>
      </c>
      <c r="U321" s="5" t="s">
        <v>933</v>
      </c>
      <c r="V321" s="5" t="s">
        <v>933</v>
      </c>
      <c r="W321" s="5" t="s">
        <v>2828</v>
      </c>
      <c r="X321" s="5" t="s">
        <v>2828</v>
      </c>
      <c r="Y321" s="4">
        <v>636</v>
      </c>
      <c r="Z321" s="4">
        <v>611</v>
      </c>
      <c r="AA321" s="4">
        <v>965</v>
      </c>
      <c r="AB321" s="4">
        <v>7</v>
      </c>
      <c r="AC321" s="4">
        <v>8</v>
      </c>
      <c r="AD321" s="4">
        <v>18</v>
      </c>
      <c r="AE321" s="4">
        <v>34</v>
      </c>
      <c r="AF321" s="4">
        <v>5</v>
      </c>
      <c r="AG321" s="4">
        <v>13</v>
      </c>
      <c r="AH321" s="4">
        <v>3</v>
      </c>
      <c r="AI321" s="4">
        <v>4</v>
      </c>
      <c r="AJ321" s="4">
        <v>7</v>
      </c>
      <c r="AK321" s="4">
        <v>16</v>
      </c>
      <c r="AL321" s="4">
        <v>5</v>
      </c>
      <c r="AM321" s="4">
        <v>6</v>
      </c>
      <c r="AN321" s="4">
        <v>0</v>
      </c>
      <c r="AO321" s="4">
        <v>0</v>
      </c>
      <c r="AP321" s="3" t="s">
        <v>59</v>
      </c>
      <c r="AQ321" s="3" t="s">
        <v>69</v>
      </c>
      <c r="AR321" s="6" t="str">
        <f>HYPERLINK("http://catalog.hathitrust.org/Record/001499947","HathiTrust Record")</f>
        <v>HathiTrust Record</v>
      </c>
      <c r="AS321" s="6" t="str">
        <f>HYPERLINK("https://creighton-primo.hosted.exlibrisgroup.com/primo-explore/search?tab=default_tab&amp;search_scope=EVERYTHING&amp;vid=01CRU&amp;lang=en_US&amp;offset=0&amp;query=any,contains,991002982309702656","Catalog Record")</f>
        <v>Catalog Record</v>
      </c>
      <c r="AT321" s="6" t="str">
        <f>HYPERLINK("http://www.worldcat.org/oclc/555521","WorldCat Record")</f>
        <v>WorldCat Record</v>
      </c>
      <c r="AU321" s="3" t="s">
        <v>3775</v>
      </c>
      <c r="AV321" s="3" t="s">
        <v>3776</v>
      </c>
      <c r="AW321" s="3" t="s">
        <v>3777</v>
      </c>
      <c r="AX321" s="3" t="s">
        <v>3777</v>
      </c>
      <c r="AY321" s="3" t="s">
        <v>3778</v>
      </c>
      <c r="AZ321" s="3" t="s">
        <v>74</v>
      </c>
      <c r="BC321" s="3" t="s">
        <v>3779</v>
      </c>
      <c r="BD321" s="3" t="s">
        <v>3780</v>
      </c>
    </row>
    <row r="322" spans="1:56" ht="57.75" customHeight="1" x14ac:dyDescent="0.25">
      <c r="A322" s="7" t="s">
        <v>59</v>
      </c>
      <c r="B322" s="2" t="s">
        <v>3781</v>
      </c>
      <c r="C322" s="2" t="s">
        <v>3782</v>
      </c>
      <c r="D322" s="2" t="s">
        <v>3783</v>
      </c>
      <c r="F322" s="3" t="s">
        <v>59</v>
      </c>
      <c r="G322" s="3" t="s">
        <v>60</v>
      </c>
      <c r="H322" s="3" t="s">
        <v>59</v>
      </c>
      <c r="I322" s="3" t="s">
        <v>59</v>
      </c>
      <c r="J322" s="3" t="s">
        <v>61</v>
      </c>
      <c r="K322" s="2" t="s">
        <v>3784</v>
      </c>
      <c r="L322" s="2" t="s">
        <v>3785</v>
      </c>
      <c r="M322" s="3" t="s">
        <v>255</v>
      </c>
      <c r="N322" s="2" t="s">
        <v>877</v>
      </c>
      <c r="O322" s="3" t="s">
        <v>64</v>
      </c>
      <c r="P322" s="3" t="s">
        <v>405</v>
      </c>
      <c r="R322" s="3" t="s">
        <v>67</v>
      </c>
      <c r="S322" s="4">
        <v>6</v>
      </c>
      <c r="T322" s="4">
        <v>6</v>
      </c>
      <c r="U322" s="5" t="s">
        <v>3786</v>
      </c>
      <c r="V322" s="5" t="s">
        <v>3786</v>
      </c>
      <c r="W322" s="5" t="s">
        <v>3787</v>
      </c>
      <c r="X322" s="5" t="s">
        <v>3787</v>
      </c>
      <c r="Y322" s="4">
        <v>303</v>
      </c>
      <c r="Z322" s="4">
        <v>196</v>
      </c>
      <c r="AA322" s="4">
        <v>197</v>
      </c>
      <c r="AB322" s="4">
        <v>3</v>
      </c>
      <c r="AC322" s="4">
        <v>3</v>
      </c>
      <c r="AD322" s="4">
        <v>5</v>
      </c>
      <c r="AE322" s="4">
        <v>5</v>
      </c>
      <c r="AF322" s="4">
        <v>2</v>
      </c>
      <c r="AG322" s="4">
        <v>2</v>
      </c>
      <c r="AH322" s="4">
        <v>0</v>
      </c>
      <c r="AI322" s="4">
        <v>0</v>
      </c>
      <c r="AJ322" s="4">
        <v>3</v>
      </c>
      <c r="AK322" s="4">
        <v>3</v>
      </c>
      <c r="AL322" s="4">
        <v>2</v>
      </c>
      <c r="AM322" s="4">
        <v>2</v>
      </c>
      <c r="AN322" s="4">
        <v>0</v>
      </c>
      <c r="AO322" s="4">
        <v>0</v>
      </c>
      <c r="AP322" s="3" t="s">
        <v>59</v>
      </c>
      <c r="AQ322" s="3" t="s">
        <v>59</v>
      </c>
      <c r="AS322" s="6" t="str">
        <f>HYPERLINK("https://creighton-primo.hosted.exlibrisgroup.com/primo-explore/search?tab=default_tab&amp;search_scope=EVERYTHING&amp;vid=01CRU&amp;lang=en_US&amp;offset=0&amp;query=any,contains,991002826359702656","Catalog Record")</f>
        <v>Catalog Record</v>
      </c>
      <c r="AT322" s="6" t="str">
        <f>HYPERLINK("http://www.worldcat.org/oclc/37211384","WorldCat Record")</f>
        <v>WorldCat Record</v>
      </c>
      <c r="AU322" s="3" t="s">
        <v>3788</v>
      </c>
      <c r="AV322" s="3" t="s">
        <v>3789</v>
      </c>
      <c r="AW322" s="3" t="s">
        <v>3790</v>
      </c>
      <c r="AX322" s="3" t="s">
        <v>3790</v>
      </c>
      <c r="AY322" s="3" t="s">
        <v>3791</v>
      </c>
      <c r="AZ322" s="3" t="s">
        <v>74</v>
      </c>
      <c r="BB322" s="3" t="s">
        <v>3792</v>
      </c>
      <c r="BC322" s="3" t="s">
        <v>3793</v>
      </c>
      <c r="BD322" s="3" t="s">
        <v>3794</v>
      </c>
    </row>
    <row r="323" spans="1:56" ht="57.75" customHeight="1" x14ac:dyDescent="0.25">
      <c r="A323" s="7" t="s">
        <v>59</v>
      </c>
      <c r="B323" s="2" t="s">
        <v>3795</v>
      </c>
      <c r="C323" s="2" t="s">
        <v>3796</v>
      </c>
      <c r="D323" s="2" t="s">
        <v>3797</v>
      </c>
      <c r="F323" s="3" t="s">
        <v>59</v>
      </c>
      <c r="G323" s="3" t="s">
        <v>60</v>
      </c>
      <c r="H323" s="3" t="s">
        <v>59</v>
      </c>
      <c r="I323" s="3" t="s">
        <v>59</v>
      </c>
      <c r="J323" s="3" t="s">
        <v>61</v>
      </c>
      <c r="L323" s="2" t="s">
        <v>3798</v>
      </c>
      <c r="M323" s="3" t="s">
        <v>1430</v>
      </c>
      <c r="O323" s="3" t="s">
        <v>64</v>
      </c>
      <c r="P323" s="3" t="s">
        <v>467</v>
      </c>
      <c r="R323" s="3" t="s">
        <v>67</v>
      </c>
      <c r="S323" s="4">
        <v>8</v>
      </c>
      <c r="T323" s="4">
        <v>8</v>
      </c>
      <c r="U323" s="5" t="s">
        <v>3799</v>
      </c>
      <c r="V323" s="5" t="s">
        <v>3799</v>
      </c>
      <c r="W323" s="5" t="s">
        <v>3800</v>
      </c>
      <c r="X323" s="5" t="s">
        <v>3800</v>
      </c>
      <c r="Y323" s="4">
        <v>476</v>
      </c>
      <c r="Z323" s="4">
        <v>326</v>
      </c>
      <c r="AA323" s="4">
        <v>403</v>
      </c>
      <c r="AB323" s="4">
        <v>1</v>
      </c>
      <c r="AC323" s="4">
        <v>3</v>
      </c>
      <c r="AD323" s="4">
        <v>10</v>
      </c>
      <c r="AE323" s="4">
        <v>13</v>
      </c>
      <c r="AF323" s="4">
        <v>4</v>
      </c>
      <c r="AG323" s="4">
        <v>4</v>
      </c>
      <c r="AH323" s="4">
        <v>4</v>
      </c>
      <c r="AI323" s="4">
        <v>4</v>
      </c>
      <c r="AJ323" s="4">
        <v>6</v>
      </c>
      <c r="AK323" s="4">
        <v>7</v>
      </c>
      <c r="AL323" s="4">
        <v>0</v>
      </c>
      <c r="AM323" s="4">
        <v>2</v>
      </c>
      <c r="AN323" s="4">
        <v>0</v>
      </c>
      <c r="AO323" s="4">
        <v>0</v>
      </c>
      <c r="AP323" s="3" t="s">
        <v>59</v>
      </c>
      <c r="AQ323" s="3" t="s">
        <v>69</v>
      </c>
      <c r="AR323" s="6" t="str">
        <f>HYPERLINK("http://catalog.hathitrust.org/Record/000469937","HathiTrust Record")</f>
        <v>HathiTrust Record</v>
      </c>
      <c r="AS323" s="6" t="str">
        <f>HYPERLINK("https://creighton-primo.hosted.exlibrisgroup.com/primo-explore/search?tab=default_tab&amp;search_scope=EVERYTHING&amp;vid=01CRU&amp;lang=en_US&amp;offset=0&amp;query=any,contains,991000354379702656","Catalog Record")</f>
        <v>Catalog Record</v>
      </c>
      <c r="AT323" s="6" t="str">
        <f>HYPERLINK("http://www.worldcat.org/oclc/10323758","WorldCat Record")</f>
        <v>WorldCat Record</v>
      </c>
      <c r="AU323" s="3" t="s">
        <v>3801</v>
      </c>
      <c r="AV323" s="3" t="s">
        <v>3802</v>
      </c>
      <c r="AW323" s="3" t="s">
        <v>3803</v>
      </c>
      <c r="AX323" s="3" t="s">
        <v>3803</v>
      </c>
      <c r="AY323" s="3" t="s">
        <v>3804</v>
      </c>
      <c r="AZ323" s="3" t="s">
        <v>74</v>
      </c>
      <c r="BB323" s="3" t="s">
        <v>3805</v>
      </c>
      <c r="BC323" s="3" t="s">
        <v>3806</v>
      </c>
      <c r="BD323" s="3" t="s">
        <v>3807</v>
      </c>
    </row>
    <row r="324" spans="1:56" ht="57.75" customHeight="1" x14ac:dyDescent="0.25">
      <c r="A324" s="7" t="s">
        <v>59</v>
      </c>
      <c r="B324" s="2" t="s">
        <v>3808</v>
      </c>
      <c r="C324" s="2" t="s">
        <v>3809</v>
      </c>
      <c r="D324" s="2" t="s">
        <v>3810</v>
      </c>
      <c r="F324" s="3" t="s">
        <v>59</v>
      </c>
      <c r="G324" s="3" t="s">
        <v>60</v>
      </c>
      <c r="H324" s="3" t="s">
        <v>59</v>
      </c>
      <c r="I324" s="3" t="s">
        <v>59</v>
      </c>
      <c r="J324" s="3" t="s">
        <v>61</v>
      </c>
      <c r="K324" s="2" t="s">
        <v>3811</v>
      </c>
      <c r="L324" s="2" t="s">
        <v>3812</v>
      </c>
      <c r="M324" s="3" t="s">
        <v>763</v>
      </c>
      <c r="N324" s="2" t="s">
        <v>1103</v>
      </c>
      <c r="O324" s="3" t="s">
        <v>64</v>
      </c>
      <c r="P324" s="3" t="s">
        <v>1268</v>
      </c>
      <c r="R324" s="3" t="s">
        <v>67</v>
      </c>
      <c r="S324" s="4">
        <v>11</v>
      </c>
      <c r="T324" s="4">
        <v>11</v>
      </c>
      <c r="U324" s="5" t="s">
        <v>3813</v>
      </c>
      <c r="V324" s="5" t="s">
        <v>3813</v>
      </c>
      <c r="W324" s="5" t="s">
        <v>3814</v>
      </c>
      <c r="X324" s="5" t="s">
        <v>3814</v>
      </c>
      <c r="Y324" s="4">
        <v>219</v>
      </c>
      <c r="Z324" s="4">
        <v>149</v>
      </c>
      <c r="AA324" s="4">
        <v>704</v>
      </c>
      <c r="AB324" s="4">
        <v>4</v>
      </c>
      <c r="AC324" s="4">
        <v>6</v>
      </c>
      <c r="AD324" s="4">
        <v>3</v>
      </c>
      <c r="AE324" s="4">
        <v>21</v>
      </c>
      <c r="AF324" s="4">
        <v>0</v>
      </c>
      <c r="AG324" s="4">
        <v>7</v>
      </c>
      <c r="AH324" s="4">
        <v>0</v>
      </c>
      <c r="AI324" s="4">
        <v>6</v>
      </c>
      <c r="AJ324" s="4">
        <v>0</v>
      </c>
      <c r="AK324" s="4">
        <v>10</v>
      </c>
      <c r="AL324" s="4">
        <v>3</v>
      </c>
      <c r="AM324" s="4">
        <v>4</v>
      </c>
      <c r="AN324" s="4">
        <v>0</v>
      </c>
      <c r="AO324" s="4">
        <v>0</v>
      </c>
      <c r="AP324" s="3" t="s">
        <v>59</v>
      </c>
      <c r="AQ324" s="3" t="s">
        <v>69</v>
      </c>
      <c r="AR324" s="6" t="str">
        <f>HYPERLINK("http://catalog.hathitrust.org/Record/009159499","HathiTrust Record")</f>
        <v>HathiTrust Record</v>
      </c>
      <c r="AS324" s="6" t="str">
        <f>HYPERLINK("https://creighton-primo.hosted.exlibrisgroup.com/primo-explore/search?tab=default_tab&amp;search_scope=EVERYTHING&amp;vid=01CRU&amp;lang=en_US&amp;offset=0&amp;query=any,contains,991000889039702656","Catalog Record")</f>
        <v>Catalog Record</v>
      </c>
      <c r="AT324" s="6" t="str">
        <f>HYPERLINK("http://www.worldcat.org/oclc/13903102","WorldCat Record")</f>
        <v>WorldCat Record</v>
      </c>
      <c r="AU324" s="3" t="s">
        <v>3815</v>
      </c>
      <c r="AV324" s="3" t="s">
        <v>3816</v>
      </c>
      <c r="AW324" s="3" t="s">
        <v>3817</v>
      </c>
      <c r="AX324" s="3" t="s">
        <v>3817</v>
      </c>
      <c r="AY324" s="3" t="s">
        <v>3818</v>
      </c>
      <c r="AZ324" s="3" t="s">
        <v>74</v>
      </c>
      <c r="BB324" s="3" t="s">
        <v>3819</v>
      </c>
      <c r="BC324" s="3" t="s">
        <v>3820</v>
      </c>
      <c r="BD324" s="3" t="s">
        <v>3821</v>
      </c>
    </row>
    <row r="325" spans="1:56" ht="57.75" customHeight="1" x14ac:dyDescent="0.25">
      <c r="A325" s="7" t="s">
        <v>59</v>
      </c>
      <c r="B325" s="2" t="s">
        <v>3822</v>
      </c>
      <c r="C325" s="2" t="s">
        <v>3823</v>
      </c>
      <c r="D325" s="2" t="s">
        <v>3824</v>
      </c>
      <c r="F325" s="3" t="s">
        <v>59</v>
      </c>
      <c r="G325" s="3" t="s">
        <v>60</v>
      </c>
      <c r="H325" s="3" t="s">
        <v>59</v>
      </c>
      <c r="I325" s="3" t="s">
        <v>59</v>
      </c>
      <c r="J325" s="3" t="s">
        <v>61</v>
      </c>
      <c r="K325" s="2" t="s">
        <v>3825</v>
      </c>
      <c r="L325" s="2" t="s">
        <v>3826</v>
      </c>
      <c r="M325" s="3" t="s">
        <v>3827</v>
      </c>
      <c r="O325" s="3" t="s">
        <v>64</v>
      </c>
      <c r="P325" s="3" t="s">
        <v>467</v>
      </c>
      <c r="R325" s="3" t="s">
        <v>67</v>
      </c>
      <c r="S325" s="4">
        <v>7</v>
      </c>
      <c r="T325" s="4">
        <v>7</v>
      </c>
      <c r="U325" s="5" t="s">
        <v>1374</v>
      </c>
      <c r="V325" s="5" t="s">
        <v>1374</v>
      </c>
      <c r="W325" s="5" t="s">
        <v>2828</v>
      </c>
      <c r="X325" s="5" t="s">
        <v>2828</v>
      </c>
      <c r="Y325" s="4">
        <v>321</v>
      </c>
      <c r="Z325" s="4">
        <v>263</v>
      </c>
      <c r="AA325" s="4">
        <v>275</v>
      </c>
      <c r="AB325" s="4">
        <v>6</v>
      </c>
      <c r="AC325" s="4">
        <v>6</v>
      </c>
      <c r="AD325" s="4">
        <v>11</v>
      </c>
      <c r="AE325" s="4">
        <v>11</v>
      </c>
      <c r="AF325" s="4">
        <v>3</v>
      </c>
      <c r="AG325" s="4">
        <v>3</v>
      </c>
      <c r="AH325" s="4">
        <v>0</v>
      </c>
      <c r="AI325" s="4">
        <v>0</v>
      </c>
      <c r="AJ325" s="4">
        <v>3</v>
      </c>
      <c r="AK325" s="4">
        <v>3</v>
      </c>
      <c r="AL325" s="4">
        <v>5</v>
      </c>
      <c r="AM325" s="4">
        <v>5</v>
      </c>
      <c r="AN325" s="4">
        <v>0</v>
      </c>
      <c r="AO325" s="4">
        <v>0</v>
      </c>
      <c r="AP325" s="3" t="s">
        <v>69</v>
      </c>
      <c r="AQ325" s="3" t="s">
        <v>59</v>
      </c>
      <c r="AR325" s="6" t="str">
        <f>HYPERLINK("http://catalog.hathitrust.org/Record/001496729","HathiTrust Record")</f>
        <v>HathiTrust Record</v>
      </c>
      <c r="AS325" s="6" t="str">
        <f>HYPERLINK("https://creighton-primo.hosted.exlibrisgroup.com/primo-explore/search?tab=default_tab&amp;search_scope=EVERYTHING&amp;vid=01CRU&amp;lang=en_US&amp;offset=0&amp;query=any,contains,991003287599702656","Catalog Record")</f>
        <v>Catalog Record</v>
      </c>
      <c r="AT325" s="6" t="str">
        <f>HYPERLINK("http://www.worldcat.org/oclc/809878","WorldCat Record")</f>
        <v>WorldCat Record</v>
      </c>
      <c r="AU325" s="3" t="s">
        <v>3828</v>
      </c>
      <c r="AV325" s="3" t="s">
        <v>3829</v>
      </c>
      <c r="AW325" s="3" t="s">
        <v>3830</v>
      </c>
      <c r="AX325" s="3" t="s">
        <v>3830</v>
      </c>
      <c r="AY325" s="3" t="s">
        <v>3831</v>
      </c>
      <c r="AZ325" s="3" t="s">
        <v>74</v>
      </c>
      <c r="BC325" s="3" t="s">
        <v>3832</v>
      </c>
      <c r="BD325" s="3" t="s">
        <v>3833</v>
      </c>
    </row>
    <row r="326" spans="1:56" ht="57.75" customHeight="1" x14ac:dyDescent="0.25">
      <c r="A326" s="7" t="s">
        <v>59</v>
      </c>
      <c r="B326" s="2" t="s">
        <v>3834</v>
      </c>
      <c r="C326" s="2" t="s">
        <v>3835</v>
      </c>
      <c r="D326" s="2" t="s">
        <v>3836</v>
      </c>
      <c r="F326" s="3" t="s">
        <v>59</v>
      </c>
      <c r="G326" s="3" t="s">
        <v>60</v>
      </c>
      <c r="H326" s="3" t="s">
        <v>59</v>
      </c>
      <c r="I326" s="3" t="s">
        <v>59</v>
      </c>
      <c r="J326" s="3" t="s">
        <v>61</v>
      </c>
      <c r="K326" s="2" t="s">
        <v>3837</v>
      </c>
      <c r="L326" s="2" t="s">
        <v>3838</v>
      </c>
      <c r="M326" s="3" t="s">
        <v>1226</v>
      </c>
      <c r="O326" s="3" t="s">
        <v>64</v>
      </c>
      <c r="P326" s="3" t="s">
        <v>467</v>
      </c>
      <c r="Q326" s="2" t="s">
        <v>3839</v>
      </c>
      <c r="R326" s="3" t="s">
        <v>67</v>
      </c>
      <c r="S326" s="4">
        <v>2</v>
      </c>
      <c r="T326" s="4">
        <v>2</v>
      </c>
      <c r="U326" s="5" t="s">
        <v>1866</v>
      </c>
      <c r="V326" s="5" t="s">
        <v>1866</v>
      </c>
      <c r="W326" s="5" t="s">
        <v>2828</v>
      </c>
      <c r="X326" s="5" t="s">
        <v>2828</v>
      </c>
      <c r="Y326" s="4">
        <v>118</v>
      </c>
      <c r="Z326" s="4">
        <v>115</v>
      </c>
      <c r="AA326" s="4">
        <v>664</v>
      </c>
      <c r="AB326" s="4">
        <v>2</v>
      </c>
      <c r="AC326" s="4">
        <v>4</v>
      </c>
      <c r="AD326" s="4">
        <v>7</v>
      </c>
      <c r="AE326" s="4">
        <v>23</v>
      </c>
      <c r="AF326" s="4">
        <v>2</v>
      </c>
      <c r="AG326" s="4">
        <v>8</v>
      </c>
      <c r="AH326" s="4">
        <v>2</v>
      </c>
      <c r="AI326" s="4">
        <v>6</v>
      </c>
      <c r="AJ326" s="4">
        <v>5</v>
      </c>
      <c r="AK326" s="4">
        <v>14</v>
      </c>
      <c r="AL326" s="4">
        <v>1</v>
      </c>
      <c r="AM326" s="4">
        <v>3</v>
      </c>
      <c r="AN326" s="4">
        <v>0</v>
      </c>
      <c r="AO326" s="4">
        <v>0</v>
      </c>
      <c r="AP326" s="3" t="s">
        <v>59</v>
      </c>
      <c r="AQ326" s="3" t="s">
        <v>59</v>
      </c>
      <c r="AS326" s="6" t="str">
        <f>HYPERLINK("https://creighton-primo.hosted.exlibrisgroup.com/primo-explore/search?tab=default_tab&amp;search_scope=EVERYTHING&amp;vid=01CRU&amp;lang=en_US&amp;offset=0&amp;query=any,contains,991004223949702656","Catalog Record")</f>
        <v>Catalog Record</v>
      </c>
      <c r="AT326" s="6" t="str">
        <f>HYPERLINK("http://www.worldcat.org/oclc/2722262","WorldCat Record")</f>
        <v>WorldCat Record</v>
      </c>
      <c r="AU326" s="3" t="s">
        <v>3840</v>
      </c>
      <c r="AV326" s="3" t="s">
        <v>3841</v>
      </c>
      <c r="AW326" s="3" t="s">
        <v>3842</v>
      </c>
      <c r="AX326" s="3" t="s">
        <v>3842</v>
      </c>
      <c r="AY326" s="3" t="s">
        <v>3843</v>
      </c>
      <c r="AZ326" s="3" t="s">
        <v>74</v>
      </c>
      <c r="BC326" s="3" t="s">
        <v>3844</v>
      </c>
      <c r="BD326" s="3" t="s">
        <v>3845</v>
      </c>
    </row>
    <row r="327" spans="1:56" ht="57.75" customHeight="1" x14ac:dyDescent="0.25">
      <c r="A327" s="7" t="s">
        <v>59</v>
      </c>
      <c r="B327" s="2" t="s">
        <v>3846</v>
      </c>
      <c r="C327" s="2" t="s">
        <v>3847</v>
      </c>
      <c r="D327" s="2" t="s">
        <v>3848</v>
      </c>
      <c r="F327" s="3" t="s">
        <v>59</v>
      </c>
      <c r="G327" s="3" t="s">
        <v>60</v>
      </c>
      <c r="H327" s="3" t="s">
        <v>59</v>
      </c>
      <c r="I327" s="3" t="s">
        <v>59</v>
      </c>
      <c r="J327" s="3" t="s">
        <v>61</v>
      </c>
      <c r="K327" s="2" t="s">
        <v>3849</v>
      </c>
      <c r="L327" s="2" t="s">
        <v>3850</v>
      </c>
      <c r="M327" s="3" t="s">
        <v>1837</v>
      </c>
      <c r="N327" s="2" t="s">
        <v>556</v>
      </c>
      <c r="O327" s="3" t="s">
        <v>64</v>
      </c>
      <c r="P327" s="3" t="s">
        <v>467</v>
      </c>
      <c r="R327" s="3" t="s">
        <v>67</v>
      </c>
      <c r="S327" s="4">
        <v>3</v>
      </c>
      <c r="T327" s="4">
        <v>3</v>
      </c>
      <c r="U327" s="5" t="s">
        <v>3851</v>
      </c>
      <c r="V327" s="5" t="s">
        <v>3851</v>
      </c>
      <c r="W327" s="5" t="s">
        <v>3852</v>
      </c>
      <c r="X327" s="5" t="s">
        <v>3852</v>
      </c>
      <c r="Y327" s="4">
        <v>1048</v>
      </c>
      <c r="Z327" s="4">
        <v>1013</v>
      </c>
      <c r="AA327" s="4">
        <v>1056</v>
      </c>
      <c r="AB327" s="4">
        <v>10</v>
      </c>
      <c r="AC327" s="4">
        <v>11</v>
      </c>
      <c r="AD327" s="4">
        <v>22</v>
      </c>
      <c r="AE327" s="4">
        <v>22</v>
      </c>
      <c r="AF327" s="4">
        <v>5</v>
      </c>
      <c r="AG327" s="4">
        <v>5</v>
      </c>
      <c r="AH327" s="4">
        <v>6</v>
      </c>
      <c r="AI327" s="4">
        <v>6</v>
      </c>
      <c r="AJ327" s="4">
        <v>10</v>
      </c>
      <c r="AK327" s="4">
        <v>10</v>
      </c>
      <c r="AL327" s="4">
        <v>5</v>
      </c>
      <c r="AM327" s="4">
        <v>5</v>
      </c>
      <c r="AN327" s="4">
        <v>1</v>
      </c>
      <c r="AO327" s="4">
        <v>1</v>
      </c>
      <c r="AP327" s="3" t="s">
        <v>59</v>
      </c>
      <c r="AQ327" s="3" t="s">
        <v>69</v>
      </c>
      <c r="AR327" s="6" t="str">
        <f>HYPERLINK("http://catalog.hathitrust.org/Record/004531454","HathiTrust Record")</f>
        <v>HathiTrust Record</v>
      </c>
      <c r="AS327" s="6" t="str">
        <f>HYPERLINK("https://creighton-primo.hosted.exlibrisgroup.com/primo-explore/search?tab=default_tab&amp;search_scope=EVERYTHING&amp;vid=01CRU&amp;lang=en_US&amp;offset=0&amp;query=any,contains,991002079409702656","Catalog Record")</f>
        <v>Catalog Record</v>
      </c>
      <c r="AT327" s="6" t="str">
        <f>HYPERLINK("http://www.worldcat.org/oclc/26672425","WorldCat Record")</f>
        <v>WorldCat Record</v>
      </c>
      <c r="AU327" s="3" t="s">
        <v>3853</v>
      </c>
      <c r="AV327" s="3" t="s">
        <v>3854</v>
      </c>
      <c r="AW327" s="3" t="s">
        <v>3855</v>
      </c>
      <c r="AX327" s="3" t="s">
        <v>3855</v>
      </c>
      <c r="AY327" s="3" t="s">
        <v>3856</v>
      </c>
      <c r="AZ327" s="3" t="s">
        <v>74</v>
      </c>
      <c r="BB327" s="3" t="s">
        <v>3857</v>
      </c>
      <c r="BC327" s="3" t="s">
        <v>3858</v>
      </c>
      <c r="BD327" s="3" t="s">
        <v>3859</v>
      </c>
    </row>
    <row r="328" spans="1:56" ht="57.75" customHeight="1" x14ac:dyDescent="0.25">
      <c r="A328" s="7" t="s">
        <v>59</v>
      </c>
      <c r="B328" s="2" t="s">
        <v>3860</v>
      </c>
      <c r="C328" s="2" t="s">
        <v>3861</v>
      </c>
      <c r="D328" s="2" t="s">
        <v>3862</v>
      </c>
      <c r="F328" s="3" t="s">
        <v>59</v>
      </c>
      <c r="G328" s="3" t="s">
        <v>60</v>
      </c>
      <c r="H328" s="3" t="s">
        <v>59</v>
      </c>
      <c r="I328" s="3" t="s">
        <v>59</v>
      </c>
      <c r="J328" s="3" t="s">
        <v>61</v>
      </c>
      <c r="L328" s="2" t="s">
        <v>3863</v>
      </c>
      <c r="M328" s="3" t="s">
        <v>1471</v>
      </c>
      <c r="O328" s="3" t="s">
        <v>64</v>
      </c>
      <c r="P328" s="3" t="s">
        <v>405</v>
      </c>
      <c r="R328" s="3" t="s">
        <v>67</v>
      </c>
      <c r="S328" s="4">
        <v>1</v>
      </c>
      <c r="T328" s="4">
        <v>1</v>
      </c>
      <c r="U328" s="5" t="s">
        <v>3864</v>
      </c>
      <c r="V328" s="5" t="s">
        <v>3864</v>
      </c>
      <c r="W328" s="5" t="s">
        <v>3864</v>
      </c>
      <c r="X328" s="5" t="s">
        <v>3864</v>
      </c>
      <c r="Y328" s="4">
        <v>363</v>
      </c>
      <c r="Z328" s="4">
        <v>272</v>
      </c>
      <c r="AA328" s="4">
        <v>701</v>
      </c>
      <c r="AB328" s="4">
        <v>2</v>
      </c>
      <c r="AC328" s="4">
        <v>7</v>
      </c>
      <c r="AD328" s="4">
        <v>17</v>
      </c>
      <c r="AE328" s="4">
        <v>36</v>
      </c>
      <c r="AF328" s="4">
        <v>8</v>
      </c>
      <c r="AG328" s="4">
        <v>13</v>
      </c>
      <c r="AH328" s="4">
        <v>5</v>
      </c>
      <c r="AI328" s="4">
        <v>10</v>
      </c>
      <c r="AJ328" s="4">
        <v>8</v>
      </c>
      <c r="AK328" s="4">
        <v>13</v>
      </c>
      <c r="AL328" s="4">
        <v>1</v>
      </c>
      <c r="AM328" s="4">
        <v>6</v>
      </c>
      <c r="AN328" s="4">
        <v>0</v>
      </c>
      <c r="AO328" s="4">
        <v>1</v>
      </c>
      <c r="AP328" s="3" t="s">
        <v>59</v>
      </c>
      <c r="AQ328" s="3" t="s">
        <v>59</v>
      </c>
      <c r="AS328" s="6" t="str">
        <f>HYPERLINK("https://creighton-primo.hosted.exlibrisgroup.com/primo-explore/search?tab=default_tab&amp;search_scope=EVERYTHING&amp;vid=01CRU&amp;lang=en_US&amp;offset=0&amp;query=any,contains,991000151369702656","Catalog Record")</f>
        <v>Catalog Record</v>
      </c>
      <c r="AT328" s="6" t="str">
        <f>HYPERLINK("http://www.worldcat.org/oclc/156816238","WorldCat Record")</f>
        <v>WorldCat Record</v>
      </c>
      <c r="AU328" s="3" t="s">
        <v>3865</v>
      </c>
      <c r="AV328" s="3" t="s">
        <v>3866</v>
      </c>
      <c r="AW328" s="3" t="s">
        <v>3867</v>
      </c>
      <c r="AX328" s="3" t="s">
        <v>3867</v>
      </c>
      <c r="AY328" s="3" t="s">
        <v>3868</v>
      </c>
      <c r="AZ328" s="3" t="s">
        <v>74</v>
      </c>
      <c r="BB328" s="3" t="s">
        <v>3869</v>
      </c>
      <c r="BC328" s="3" t="s">
        <v>3870</v>
      </c>
      <c r="BD328" s="3" t="s">
        <v>3871</v>
      </c>
    </row>
    <row r="329" spans="1:56" ht="57.75" customHeight="1" x14ac:dyDescent="0.25">
      <c r="A329" s="7" t="s">
        <v>59</v>
      </c>
      <c r="B329" s="2" t="s">
        <v>3872</v>
      </c>
      <c r="C329" s="2" t="s">
        <v>3873</v>
      </c>
      <c r="D329" s="2" t="s">
        <v>3874</v>
      </c>
      <c r="F329" s="3" t="s">
        <v>59</v>
      </c>
      <c r="G329" s="3" t="s">
        <v>60</v>
      </c>
      <c r="H329" s="3" t="s">
        <v>59</v>
      </c>
      <c r="I329" s="3" t="s">
        <v>59</v>
      </c>
      <c r="J329" s="3" t="s">
        <v>61</v>
      </c>
      <c r="L329" s="2" t="s">
        <v>3875</v>
      </c>
      <c r="M329" s="3" t="s">
        <v>540</v>
      </c>
      <c r="O329" s="3" t="s">
        <v>64</v>
      </c>
      <c r="P329" s="3" t="s">
        <v>467</v>
      </c>
      <c r="Q329" s="2" t="s">
        <v>3735</v>
      </c>
      <c r="R329" s="3" t="s">
        <v>67</v>
      </c>
      <c r="S329" s="4">
        <v>3</v>
      </c>
      <c r="T329" s="4">
        <v>3</v>
      </c>
      <c r="U329" s="5" t="s">
        <v>3876</v>
      </c>
      <c r="V329" s="5" t="s">
        <v>3876</v>
      </c>
      <c r="W329" s="5" t="s">
        <v>3416</v>
      </c>
      <c r="X329" s="5" t="s">
        <v>3416</v>
      </c>
      <c r="Y329" s="4">
        <v>357</v>
      </c>
      <c r="Z329" s="4">
        <v>241</v>
      </c>
      <c r="AA329" s="4">
        <v>257</v>
      </c>
      <c r="AB329" s="4">
        <v>4</v>
      </c>
      <c r="AC329" s="4">
        <v>4</v>
      </c>
      <c r="AD329" s="4">
        <v>8</v>
      </c>
      <c r="AE329" s="4">
        <v>8</v>
      </c>
      <c r="AF329" s="4">
        <v>1</v>
      </c>
      <c r="AG329" s="4">
        <v>1</v>
      </c>
      <c r="AH329" s="4">
        <v>1</v>
      </c>
      <c r="AI329" s="4">
        <v>1</v>
      </c>
      <c r="AJ329" s="4">
        <v>5</v>
      </c>
      <c r="AK329" s="4">
        <v>5</v>
      </c>
      <c r="AL329" s="4">
        <v>3</v>
      </c>
      <c r="AM329" s="4">
        <v>3</v>
      </c>
      <c r="AN329" s="4">
        <v>0</v>
      </c>
      <c r="AO329" s="4">
        <v>0</v>
      </c>
      <c r="AP329" s="3" t="s">
        <v>59</v>
      </c>
      <c r="AQ329" s="3" t="s">
        <v>69</v>
      </c>
      <c r="AR329" s="6" t="str">
        <f>HYPERLINK("http://catalog.hathitrust.org/Record/000307326","HathiTrust Record")</f>
        <v>HathiTrust Record</v>
      </c>
      <c r="AS329" s="6" t="str">
        <f>HYPERLINK("https://creighton-primo.hosted.exlibrisgroup.com/primo-explore/search?tab=default_tab&amp;search_scope=EVERYTHING&amp;vid=01CRU&amp;lang=en_US&amp;offset=0&amp;query=any,contains,991005095649702656","Catalog Record")</f>
        <v>Catalog Record</v>
      </c>
      <c r="AT329" s="6" t="str">
        <f>HYPERLINK("http://www.worldcat.org/oclc/7272899","WorldCat Record")</f>
        <v>WorldCat Record</v>
      </c>
      <c r="AU329" s="3" t="s">
        <v>3877</v>
      </c>
      <c r="AV329" s="3" t="s">
        <v>3878</v>
      </c>
      <c r="AW329" s="3" t="s">
        <v>3879</v>
      </c>
      <c r="AX329" s="3" t="s">
        <v>3879</v>
      </c>
      <c r="AY329" s="3" t="s">
        <v>3880</v>
      </c>
      <c r="AZ329" s="3" t="s">
        <v>74</v>
      </c>
      <c r="BC329" s="3" t="s">
        <v>3881</v>
      </c>
      <c r="BD329" s="3" t="s">
        <v>3882</v>
      </c>
    </row>
    <row r="330" spans="1:56" ht="57.75" customHeight="1" x14ac:dyDescent="0.25">
      <c r="A330" s="7" t="s">
        <v>59</v>
      </c>
      <c r="B330" s="2" t="s">
        <v>3883</v>
      </c>
      <c r="C330" s="2" t="s">
        <v>3884</v>
      </c>
      <c r="D330" s="2" t="s">
        <v>3885</v>
      </c>
      <c r="F330" s="3" t="s">
        <v>59</v>
      </c>
      <c r="G330" s="3" t="s">
        <v>60</v>
      </c>
      <c r="H330" s="3" t="s">
        <v>59</v>
      </c>
      <c r="I330" s="3" t="s">
        <v>59</v>
      </c>
      <c r="J330" s="3" t="s">
        <v>61</v>
      </c>
      <c r="K330" s="2" t="s">
        <v>3886</v>
      </c>
      <c r="L330" s="2" t="s">
        <v>3887</v>
      </c>
      <c r="M330" s="3" t="s">
        <v>511</v>
      </c>
      <c r="N330" s="2" t="s">
        <v>3888</v>
      </c>
      <c r="O330" s="3" t="s">
        <v>64</v>
      </c>
      <c r="P330" s="3" t="s">
        <v>405</v>
      </c>
      <c r="R330" s="3" t="s">
        <v>67</v>
      </c>
      <c r="S330" s="4">
        <v>3</v>
      </c>
      <c r="T330" s="4">
        <v>3</v>
      </c>
      <c r="U330" s="5" t="s">
        <v>1555</v>
      </c>
      <c r="V330" s="5" t="s">
        <v>1555</v>
      </c>
      <c r="W330" s="5" t="s">
        <v>3889</v>
      </c>
      <c r="X330" s="5" t="s">
        <v>3889</v>
      </c>
      <c r="Y330" s="4">
        <v>28</v>
      </c>
      <c r="Z330" s="4">
        <v>16</v>
      </c>
      <c r="AA330" s="4">
        <v>308</v>
      </c>
      <c r="AB330" s="4">
        <v>1</v>
      </c>
      <c r="AC330" s="4">
        <v>2</v>
      </c>
      <c r="AD330" s="4">
        <v>0</v>
      </c>
      <c r="AE330" s="4">
        <v>6</v>
      </c>
      <c r="AF330" s="4">
        <v>0</v>
      </c>
      <c r="AG330" s="4">
        <v>1</v>
      </c>
      <c r="AH330" s="4">
        <v>0</v>
      </c>
      <c r="AI330" s="4">
        <v>2</v>
      </c>
      <c r="AJ330" s="4">
        <v>0</v>
      </c>
      <c r="AK330" s="4">
        <v>4</v>
      </c>
      <c r="AL330" s="4">
        <v>0</v>
      </c>
      <c r="AM330" s="4">
        <v>1</v>
      </c>
      <c r="AN330" s="4">
        <v>0</v>
      </c>
      <c r="AO330" s="4">
        <v>0</v>
      </c>
      <c r="AP330" s="3" t="s">
        <v>59</v>
      </c>
      <c r="AQ330" s="3" t="s">
        <v>59</v>
      </c>
      <c r="AS330" s="6" t="str">
        <f>HYPERLINK("https://creighton-primo.hosted.exlibrisgroup.com/primo-explore/search?tab=default_tab&amp;search_scope=EVERYTHING&amp;vid=01CRU&amp;lang=en_US&amp;offset=0&amp;query=any,contains,991002741039702656","Catalog Record")</f>
        <v>Catalog Record</v>
      </c>
      <c r="AT330" s="6" t="str">
        <f>HYPERLINK("http://www.worldcat.org/oclc/35997865","WorldCat Record")</f>
        <v>WorldCat Record</v>
      </c>
      <c r="AU330" s="3" t="s">
        <v>3890</v>
      </c>
      <c r="AV330" s="3" t="s">
        <v>3891</v>
      </c>
      <c r="AW330" s="3" t="s">
        <v>3892</v>
      </c>
      <c r="AX330" s="3" t="s">
        <v>3892</v>
      </c>
      <c r="AY330" s="3" t="s">
        <v>3893</v>
      </c>
      <c r="AZ330" s="3" t="s">
        <v>74</v>
      </c>
      <c r="BB330" s="3" t="s">
        <v>3894</v>
      </c>
      <c r="BC330" s="3" t="s">
        <v>3895</v>
      </c>
      <c r="BD330" s="3" t="s">
        <v>3896</v>
      </c>
    </row>
    <row r="331" spans="1:56" ht="57.75" customHeight="1" x14ac:dyDescent="0.25">
      <c r="A331" s="7" t="s">
        <v>59</v>
      </c>
      <c r="B331" s="2" t="s">
        <v>3897</v>
      </c>
      <c r="C331" s="2" t="s">
        <v>3898</v>
      </c>
      <c r="D331" s="2" t="s">
        <v>3899</v>
      </c>
      <c r="F331" s="3" t="s">
        <v>59</v>
      </c>
      <c r="G331" s="3" t="s">
        <v>60</v>
      </c>
      <c r="H331" s="3" t="s">
        <v>59</v>
      </c>
      <c r="I331" s="3" t="s">
        <v>59</v>
      </c>
      <c r="J331" s="3" t="s">
        <v>61</v>
      </c>
      <c r="K331" s="2" t="s">
        <v>3900</v>
      </c>
      <c r="L331" s="2" t="s">
        <v>3901</v>
      </c>
      <c r="M331" s="3" t="s">
        <v>540</v>
      </c>
      <c r="O331" s="3" t="s">
        <v>64</v>
      </c>
      <c r="P331" s="3" t="s">
        <v>405</v>
      </c>
      <c r="R331" s="3" t="s">
        <v>67</v>
      </c>
      <c r="S331" s="4">
        <v>2</v>
      </c>
      <c r="T331" s="4">
        <v>2</v>
      </c>
      <c r="U331" s="5" t="s">
        <v>3902</v>
      </c>
      <c r="V331" s="5" t="s">
        <v>3902</v>
      </c>
      <c r="W331" s="5" t="s">
        <v>3416</v>
      </c>
      <c r="X331" s="5" t="s">
        <v>3416</v>
      </c>
      <c r="Y331" s="4">
        <v>318</v>
      </c>
      <c r="Z331" s="4">
        <v>200</v>
      </c>
      <c r="AA331" s="4">
        <v>205</v>
      </c>
      <c r="AB331" s="4">
        <v>3</v>
      </c>
      <c r="AC331" s="4">
        <v>3</v>
      </c>
      <c r="AD331" s="4">
        <v>8</v>
      </c>
      <c r="AE331" s="4">
        <v>8</v>
      </c>
      <c r="AF331" s="4">
        <v>2</v>
      </c>
      <c r="AG331" s="4">
        <v>2</v>
      </c>
      <c r="AH331" s="4">
        <v>3</v>
      </c>
      <c r="AI331" s="4">
        <v>3</v>
      </c>
      <c r="AJ331" s="4">
        <v>4</v>
      </c>
      <c r="AK331" s="4">
        <v>4</v>
      </c>
      <c r="AL331" s="4">
        <v>2</v>
      </c>
      <c r="AM331" s="4">
        <v>2</v>
      </c>
      <c r="AN331" s="4">
        <v>0</v>
      </c>
      <c r="AO331" s="4">
        <v>0</v>
      </c>
      <c r="AP331" s="3" t="s">
        <v>59</v>
      </c>
      <c r="AQ331" s="3" t="s">
        <v>59</v>
      </c>
      <c r="AS331" s="6" t="str">
        <f>HYPERLINK("https://creighton-primo.hosted.exlibrisgroup.com/primo-explore/search?tab=default_tab&amp;search_scope=EVERYTHING&amp;vid=01CRU&amp;lang=en_US&amp;offset=0&amp;query=any,contains,991005210559702656","Catalog Record")</f>
        <v>Catalog Record</v>
      </c>
      <c r="AT331" s="6" t="str">
        <f>HYPERLINK("http://www.worldcat.org/oclc/8166601","WorldCat Record")</f>
        <v>WorldCat Record</v>
      </c>
      <c r="AU331" s="3" t="s">
        <v>3903</v>
      </c>
      <c r="AV331" s="3" t="s">
        <v>3904</v>
      </c>
      <c r="AW331" s="3" t="s">
        <v>3905</v>
      </c>
      <c r="AX331" s="3" t="s">
        <v>3905</v>
      </c>
      <c r="AY331" s="3" t="s">
        <v>3906</v>
      </c>
      <c r="AZ331" s="3" t="s">
        <v>74</v>
      </c>
      <c r="BB331" s="3" t="s">
        <v>3907</v>
      </c>
      <c r="BC331" s="3" t="s">
        <v>3908</v>
      </c>
      <c r="BD331" s="3" t="s">
        <v>3909</v>
      </c>
    </row>
    <row r="332" spans="1:56" ht="57.75" customHeight="1" x14ac:dyDescent="0.25">
      <c r="A332" s="7" t="s">
        <v>59</v>
      </c>
      <c r="B332" s="2" t="s">
        <v>3910</v>
      </c>
      <c r="C332" s="2" t="s">
        <v>3911</v>
      </c>
      <c r="D332" s="2" t="s">
        <v>3912</v>
      </c>
      <c r="F332" s="3" t="s">
        <v>59</v>
      </c>
      <c r="G332" s="3" t="s">
        <v>60</v>
      </c>
      <c r="H332" s="3" t="s">
        <v>59</v>
      </c>
      <c r="I332" s="3" t="s">
        <v>59</v>
      </c>
      <c r="J332" s="3" t="s">
        <v>61</v>
      </c>
      <c r="K332" s="2" t="s">
        <v>3913</v>
      </c>
      <c r="L332" s="2" t="s">
        <v>3914</v>
      </c>
      <c r="M332" s="3" t="s">
        <v>684</v>
      </c>
      <c r="O332" s="3" t="s">
        <v>64</v>
      </c>
      <c r="P332" s="3" t="s">
        <v>1078</v>
      </c>
      <c r="R332" s="3" t="s">
        <v>67</v>
      </c>
      <c r="S332" s="4">
        <v>8</v>
      </c>
      <c r="T332" s="4">
        <v>8</v>
      </c>
      <c r="U332" s="5" t="s">
        <v>1838</v>
      </c>
      <c r="V332" s="5" t="s">
        <v>1838</v>
      </c>
      <c r="W332" s="5" t="s">
        <v>3915</v>
      </c>
      <c r="X332" s="5" t="s">
        <v>3915</v>
      </c>
      <c r="Y332" s="4">
        <v>60</v>
      </c>
      <c r="Z332" s="4">
        <v>54</v>
      </c>
      <c r="AA332" s="4">
        <v>127</v>
      </c>
      <c r="AB332" s="4">
        <v>2</v>
      </c>
      <c r="AC332" s="4">
        <v>2</v>
      </c>
      <c r="AD332" s="4">
        <v>0</v>
      </c>
      <c r="AE332" s="4">
        <v>0</v>
      </c>
      <c r="AF332" s="4">
        <v>0</v>
      </c>
      <c r="AG332" s="4">
        <v>0</v>
      </c>
      <c r="AH332" s="4">
        <v>0</v>
      </c>
      <c r="AI332" s="4">
        <v>0</v>
      </c>
      <c r="AJ332" s="4">
        <v>0</v>
      </c>
      <c r="AK332" s="4">
        <v>0</v>
      </c>
      <c r="AL332" s="4">
        <v>0</v>
      </c>
      <c r="AM332" s="4">
        <v>0</v>
      </c>
      <c r="AN332" s="4">
        <v>0</v>
      </c>
      <c r="AO332" s="4">
        <v>0</v>
      </c>
      <c r="AP332" s="3" t="s">
        <v>59</v>
      </c>
      <c r="AQ332" s="3" t="s">
        <v>69</v>
      </c>
      <c r="AR332" s="6" t="str">
        <f>HYPERLINK("http://catalog.hathitrust.org/Record/009192480","HathiTrust Record")</f>
        <v>HathiTrust Record</v>
      </c>
      <c r="AS332" s="6" t="str">
        <f>HYPERLINK("https://creighton-primo.hosted.exlibrisgroup.com/primo-explore/search?tab=default_tab&amp;search_scope=EVERYTHING&amp;vid=01CRU&amp;lang=en_US&amp;offset=0&amp;query=any,contains,991003574119702656","Catalog Record")</f>
        <v>Catalog Record</v>
      </c>
      <c r="AT332" s="6" t="str">
        <f>HYPERLINK("http://www.worldcat.org/oclc/46785409","WorldCat Record")</f>
        <v>WorldCat Record</v>
      </c>
      <c r="AU332" s="3" t="s">
        <v>3916</v>
      </c>
      <c r="AV332" s="3" t="s">
        <v>3917</v>
      </c>
      <c r="AW332" s="3" t="s">
        <v>3918</v>
      </c>
      <c r="AX332" s="3" t="s">
        <v>3918</v>
      </c>
      <c r="AY332" s="3" t="s">
        <v>3919</v>
      </c>
      <c r="AZ332" s="3" t="s">
        <v>74</v>
      </c>
      <c r="BB332" s="3" t="s">
        <v>3920</v>
      </c>
      <c r="BC332" s="3" t="s">
        <v>3921</v>
      </c>
      <c r="BD332" s="3" t="s">
        <v>3922</v>
      </c>
    </row>
    <row r="333" spans="1:56" ht="57.75" customHeight="1" x14ac:dyDescent="0.25">
      <c r="A333" s="7" t="s">
        <v>59</v>
      </c>
      <c r="B333" s="2" t="s">
        <v>3923</v>
      </c>
      <c r="C333" s="2" t="s">
        <v>3924</v>
      </c>
      <c r="D333" s="2" t="s">
        <v>3925</v>
      </c>
      <c r="F333" s="3" t="s">
        <v>59</v>
      </c>
      <c r="G333" s="3" t="s">
        <v>60</v>
      </c>
      <c r="H333" s="3" t="s">
        <v>59</v>
      </c>
      <c r="I333" s="3" t="s">
        <v>69</v>
      </c>
      <c r="J333" s="3" t="s">
        <v>61</v>
      </c>
      <c r="K333" s="2" t="s">
        <v>3926</v>
      </c>
      <c r="L333" s="2" t="s">
        <v>3927</v>
      </c>
      <c r="M333" s="3" t="s">
        <v>712</v>
      </c>
      <c r="N333" s="2" t="s">
        <v>1103</v>
      </c>
      <c r="O333" s="3" t="s">
        <v>64</v>
      </c>
      <c r="P333" s="3" t="s">
        <v>2480</v>
      </c>
      <c r="R333" s="3" t="s">
        <v>67</v>
      </c>
      <c r="S333" s="4">
        <v>11</v>
      </c>
      <c r="T333" s="4">
        <v>11</v>
      </c>
      <c r="U333" s="5" t="s">
        <v>3928</v>
      </c>
      <c r="V333" s="5" t="s">
        <v>3928</v>
      </c>
      <c r="W333" s="5" t="s">
        <v>3929</v>
      </c>
      <c r="X333" s="5" t="s">
        <v>3929</v>
      </c>
      <c r="Y333" s="4">
        <v>134</v>
      </c>
      <c r="Z333" s="4">
        <v>74</v>
      </c>
      <c r="AA333" s="4">
        <v>531</v>
      </c>
      <c r="AB333" s="4">
        <v>3</v>
      </c>
      <c r="AC333" s="4">
        <v>5</v>
      </c>
      <c r="AD333" s="4">
        <v>3</v>
      </c>
      <c r="AE333" s="4">
        <v>15</v>
      </c>
      <c r="AF333" s="4">
        <v>0</v>
      </c>
      <c r="AG333" s="4">
        <v>3</v>
      </c>
      <c r="AH333" s="4">
        <v>1</v>
      </c>
      <c r="AI333" s="4">
        <v>3</v>
      </c>
      <c r="AJ333" s="4">
        <v>1</v>
      </c>
      <c r="AK333" s="4">
        <v>8</v>
      </c>
      <c r="AL333" s="4">
        <v>2</v>
      </c>
      <c r="AM333" s="4">
        <v>4</v>
      </c>
      <c r="AN333" s="4">
        <v>0</v>
      </c>
      <c r="AO333" s="4">
        <v>0</v>
      </c>
      <c r="AP333" s="3" t="s">
        <v>59</v>
      </c>
      <c r="AQ333" s="3" t="s">
        <v>69</v>
      </c>
      <c r="AR333" s="6" t="str">
        <f>HYPERLINK("http://catalog.hathitrust.org/Record/008556239","HathiTrust Record")</f>
        <v>HathiTrust Record</v>
      </c>
      <c r="AS333" s="6" t="str">
        <f>HYPERLINK("https://creighton-primo.hosted.exlibrisgroup.com/primo-explore/search?tab=default_tab&amp;search_scope=EVERYTHING&amp;vid=01CRU&amp;lang=en_US&amp;offset=0&amp;query=any,contains,991002297599702656","Catalog Record")</f>
        <v>Catalog Record</v>
      </c>
      <c r="AT333" s="6" t="str">
        <f>HYPERLINK("http://www.worldcat.org/oclc/29798517","WorldCat Record")</f>
        <v>WorldCat Record</v>
      </c>
      <c r="AU333" s="3" t="s">
        <v>3930</v>
      </c>
      <c r="AV333" s="3" t="s">
        <v>3931</v>
      </c>
      <c r="AW333" s="3" t="s">
        <v>3932</v>
      </c>
      <c r="AX333" s="3" t="s">
        <v>3932</v>
      </c>
      <c r="AY333" s="3" t="s">
        <v>3933</v>
      </c>
      <c r="AZ333" s="3" t="s">
        <v>74</v>
      </c>
      <c r="BB333" s="3" t="s">
        <v>3934</v>
      </c>
      <c r="BC333" s="3" t="s">
        <v>3935</v>
      </c>
      <c r="BD333" s="3" t="s">
        <v>3936</v>
      </c>
    </row>
    <row r="334" spans="1:56" ht="57.75" customHeight="1" x14ac:dyDescent="0.25">
      <c r="A334" s="7" t="s">
        <v>59</v>
      </c>
      <c r="B334" s="2" t="s">
        <v>3937</v>
      </c>
      <c r="C334" s="2" t="s">
        <v>3938</v>
      </c>
      <c r="D334" s="2" t="s">
        <v>3925</v>
      </c>
      <c r="F334" s="3" t="s">
        <v>59</v>
      </c>
      <c r="G334" s="3" t="s">
        <v>60</v>
      </c>
      <c r="H334" s="3" t="s">
        <v>59</v>
      </c>
      <c r="I334" s="3" t="s">
        <v>69</v>
      </c>
      <c r="J334" s="3" t="s">
        <v>61</v>
      </c>
      <c r="K334" s="2" t="s">
        <v>3926</v>
      </c>
      <c r="L334" s="2" t="s">
        <v>3939</v>
      </c>
      <c r="M334" s="3" t="s">
        <v>255</v>
      </c>
      <c r="N334" s="2" t="s">
        <v>1077</v>
      </c>
      <c r="O334" s="3" t="s">
        <v>64</v>
      </c>
      <c r="P334" s="3" t="s">
        <v>630</v>
      </c>
      <c r="R334" s="3" t="s">
        <v>67</v>
      </c>
      <c r="S334" s="4">
        <v>5</v>
      </c>
      <c r="T334" s="4">
        <v>5</v>
      </c>
      <c r="U334" s="5" t="s">
        <v>3940</v>
      </c>
      <c r="V334" s="5" t="s">
        <v>3940</v>
      </c>
      <c r="W334" s="5" t="s">
        <v>3941</v>
      </c>
      <c r="X334" s="5" t="s">
        <v>3941</v>
      </c>
      <c r="Y334" s="4">
        <v>171</v>
      </c>
      <c r="Z334" s="4">
        <v>99</v>
      </c>
      <c r="AA334" s="4">
        <v>531</v>
      </c>
      <c r="AB334" s="4">
        <v>1</v>
      </c>
      <c r="AC334" s="4">
        <v>5</v>
      </c>
      <c r="AD334" s="4">
        <v>0</v>
      </c>
      <c r="AE334" s="4">
        <v>15</v>
      </c>
      <c r="AF334" s="4">
        <v>0</v>
      </c>
      <c r="AG334" s="4">
        <v>3</v>
      </c>
      <c r="AH334" s="4">
        <v>0</v>
      </c>
      <c r="AI334" s="4">
        <v>3</v>
      </c>
      <c r="AJ334" s="4">
        <v>0</v>
      </c>
      <c r="AK334" s="4">
        <v>8</v>
      </c>
      <c r="AL334" s="4">
        <v>0</v>
      </c>
      <c r="AM334" s="4">
        <v>4</v>
      </c>
      <c r="AN334" s="4">
        <v>0</v>
      </c>
      <c r="AO334" s="4">
        <v>0</v>
      </c>
      <c r="AP334" s="3" t="s">
        <v>59</v>
      </c>
      <c r="AQ334" s="3" t="s">
        <v>69</v>
      </c>
      <c r="AR334" s="6" t="str">
        <f>HYPERLINK("http://catalog.hathitrust.org/Record/004205878","HathiTrust Record")</f>
        <v>HathiTrust Record</v>
      </c>
      <c r="AS334" s="6" t="str">
        <f>HYPERLINK("https://creighton-primo.hosted.exlibrisgroup.com/primo-explore/search?tab=default_tab&amp;search_scope=EVERYTHING&amp;vid=01CRU&amp;lang=en_US&amp;offset=0&amp;query=any,contains,991004354289702656","Catalog Record")</f>
        <v>Catalog Record</v>
      </c>
      <c r="AT334" s="6" t="str">
        <f>HYPERLINK("http://www.worldcat.org/oclc/37359617","WorldCat Record")</f>
        <v>WorldCat Record</v>
      </c>
      <c r="AU334" s="3" t="s">
        <v>3930</v>
      </c>
      <c r="AV334" s="3" t="s">
        <v>3942</v>
      </c>
      <c r="AW334" s="3" t="s">
        <v>3943</v>
      </c>
      <c r="AX334" s="3" t="s">
        <v>3943</v>
      </c>
      <c r="AY334" s="3" t="s">
        <v>3944</v>
      </c>
      <c r="AZ334" s="3" t="s">
        <v>74</v>
      </c>
      <c r="BB334" s="3" t="s">
        <v>3945</v>
      </c>
      <c r="BC334" s="3" t="s">
        <v>3946</v>
      </c>
      <c r="BD334" s="3" t="s">
        <v>3947</v>
      </c>
    </row>
    <row r="335" spans="1:56" ht="57.75" customHeight="1" x14ac:dyDescent="0.25">
      <c r="A335" s="7" t="s">
        <v>59</v>
      </c>
      <c r="B335" s="2" t="s">
        <v>3948</v>
      </c>
      <c r="C335" s="2" t="s">
        <v>3949</v>
      </c>
      <c r="D335" s="2" t="s">
        <v>3950</v>
      </c>
      <c r="F335" s="3" t="s">
        <v>59</v>
      </c>
      <c r="G335" s="3" t="s">
        <v>60</v>
      </c>
      <c r="H335" s="3" t="s">
        <v>59</v>
      </c>
      <c r="I335" s="3" t="s">
        <v>59</v>
      </c>
      <c r="J335" s="3" t="s">
        <v>61</v>
      </c>
      <c r="K335" s="2" t="s">
        <v>3951</v>
      </c>
      <c r="L335" s="2" t="s">
        <v>3952</v>
      </c>
      <c r="M335" s="3" t="s">
        <v>172</v>
      </c>
      <c r="O335" s="3" t="s">
        <v>64</v>
      </c>
      <c r="P335" s="3" t="s">
        <v>3953</v>
      </c>
      <c r="R335" s="3" t="s">
        <v>67</v>
      </c>
      <c r="S335" s="4">
        <v>7</v>
      </c>
      <c r="T335" s="4">
        <v>7</v>
      </c>
      <c r="U335" s="5" t="s">
        <v>3954</v>
      </c>
      <c r="V335" s="5" t="s">
        <v>3954</v>
      </c>
      <c r="W335" s="5" t="s">
        <v>3955</v>
      </c>
      <c r="X335" s="5" t="s">
        <v>3955</v>
      </c>
      <c r="Y335" s="4">
        <v>207</v>
      </c>
      <c r="Z335" s="4">
        <v>194</v>
      </c>
      <c r="AA335" s="4">
        <v>199</v>
      </c>
      <c r="AB335" s="4">
        <v>2</v>
      </c>
      <c r="AC335" s="4">
        <v>2</v>
      </c>
      <c r="AD335" s="4">
        <v>1</v>
      </c>
      <c r="AE335" s="4">
        <v>1</v>
      </c>
      <c r="AF335" s="4">
        <v>0</v>
      </c>
      <c r="AG335" s="4">
        <v>0</v>
      </c>
      <c r="AH335" s="4">
        <v>0</v>
      </c>
      <c r="AI335" s="4">
        <v>0</v>
      </c>
      <c r="AJ335" s="4">
        <v>0</v>
      </c>
      <c r="AK335" s="4">
        <v>0</v>
      </c>
      <c r="AL335" s="4">
        <v>1</v>
      </c>
      <c r="AM335" s="4">
        <v>1</v>
      </c>
      <c r="AN335" s="4">
        <v>0</v>
      </c>
      <c r="AO335" s="4">
        <v>0</v>
      </c>
      <c r="AP335" s="3" t="s">
        <v>59</v>
      </c>
      <c r="AQ335" s="3" t="s">
        <v>59</v>
      </c>
      <c r="AS335" s="6" t="str">
        <f>HYPERLINK("https://creighton-primo.hosted.exlibrisgroup.com/primo-explore/search?tab=default_tab&amp;search_scope=EVERYTHING&amp;vid=01CRU&amp;lang=en_US&amp;offset=0&amp;query=any,contains,991004839879702656","Catalog Record")</f>
        <v>Catalog Record</v>
      </c>
      <c r="AT335" s="6" t="str">
        <f>HYPERLINK("http://www.worldcat.org/oclc/63122759","WorldCat Record")</f>
        <v>WorldCat Record</v>
      </c>
      <c r="AU335" s="3" t="s">
        <v>3956</v>
      </c>
      <c r="AV335" s="3" t="s">
        <v>3957</v>
      </c>
      <c r="AW335" s="3" t="s">
        <v>3958</v>
      </c>
      <c r="AX335" s="3" t="s">
        <v>3958</v>
      </c>
      <c r="AY335" s="3" t="s">
        <v>3959</v>
      </c>
      <c r="AZ335" s="3" t="s">
        <v>74</v>
      </c>
      <c r="BB335" s="3" t="s">
        <v>3960</v>
      </c>
      <c r="BC335" s="3" t="s">
        <v>3961</v>
      </c>
      <c r="BD335" s="3" t="s">
        <v>3962</v>
      </c>
    </row>
    <row r="336" spans="1:56" ht="57.75" customHeight="1" x14ac:dyDescent="0.25">
      <c r="A336" s="7" t="s">
        <v>59</v>
      </c>
      <c r="B336" s="2" t="s">
        <v>3963</v>
      </c>
      <c r="C336" s="2" t="s">
        <v>3964</v>
      </c>
      <c r="D336" s="2" t="s">
        <v>3965</v>
      </c>
      <c r="F336" s="3" t="s">
        <v>59</v>
      </c>
      <c r="G336" s="3" t="s">
        <v>60</v>
      </c>
      <c r="H336" s="3" t="s">
        <v>59</v>
      </c>
      <c r="I336" s="3" t="s">
        <v>59</v>
      </c>
      <c r="J336" s="3" t="s">
        <v>61</v>
      </c>
      <c r="K336" s="2" t="s">
        <v>3966</v>
      </c>
      <c r="L336" s="2" t="s">
        <v>3967</v>
      </c>
      <c r="M336" s="3" t="s">
        <v>3968</v>
      </c>
      <c r="O336" s="3" t="s">
        <v>64</v>
      </c>
      <c r="P336" s="3" t="s">
        <v>932</v>
      </c>
      <c r="R336" s="3" t="s">
        <v>67</v>
      </c>
      <c r="S336" s="4">
        <v>3</v>
      </c>
      <c r="T336" s="4">
        <v>3</v>
      </c>
      <c r="U336" s="5" t="s">
        <v>1866</v>
      </c>
      <c r="V336" s="5" t="s">
        <v>1866</v>
      </c>
      <c r="W336" s="5" t="s">
        <v>2452</v>
      </c>
      <c r="X336" s="5" t="s">
        <v>2452</v>
      </c>
      <c r="Y336" s="4">
        <v>154</v>
      </c>
      <c r="Z336" s="4">
        <v>142</v>
      </c>
      <c r="AA336" s="4">
        <v>159</v>
      </c>
      <c r="AB336" s="4">
        <v>2</v>
      </c>
      <c r="AC336" s="4">
        <v>2</v>
      </c>
      <c r="AD336" s="4">
        <v>3</v>
      </c>
      <c r="AE336" s="4">
        <v>3</v>
      </c>
      <c r="AF336" s="4">
        <v>0</v>
      </c>
      <c r="AG336" s="4">
        <v>0</v>
      </c>
      <c r="AH336" s="4">
        <v>2</v>
      </c>
      <c r="AI336" s="4">
        <v>2</v>
      </c>
      <c r="AJ336" s="4">
        <v>1</v>
      </c>
      <c r="AK336" s="4">
        <v>1</v>
      </c>
      <c r="AL336" s="4">
        <v>1</v>
      </c>
      <c r="AM336" s="4">
        <v>1</v>
      </c>
      <c r="AN336" s="4">
        <v>0</v>
      </c>
      <c r="AO336" s="4">
        <v>0</v>
      </c>
      <c r="AP336" s="3" t="s">
        <v>69</v>
      </c>
      <c r="AQ336" s="3" t="s">
        <v>69</v>
      </c>
      <c r="AR336" s="6" t="str">
        <f>HYPERLINK("http://catalog.hathitrust.org/Record/006910583","HathiTrust Record")</f>
        <v>HathiTrust Record</v>
      </c>
      <c r="AS336" s="6" t="str">
        <f>HYPERLINK("https://creighton-primo.hosted.exlibrisgroup.com/primo-explore/search?tab=default_tab&amp;search_scope=EVERYTHING&amp;vid=01CRU&amp;lang=en_US&amp;offset=0&amp;query=any,contains,991003821389702656","Catalog Record")</f>
        <v>Catalog Record</v>
      </c>
      <c r="AT336" s="6" t="str">
        <f>HYPERLINK("http://www.worldcat.org/oclc/1559495","WorldCat Record")</f>
        <v>WorldCat Record</v>
      </c>
      <c r="AU336" s="3" t="s">
        <v>3969</v>
      </c>
      <c r="AV336" s="3" t="s">
        <v>3970</v>
      </c>
      <c r="AW336" s="3" t="s">
        <v>3971</v>
      </c>
      <c r="AX336" s="3" t="s">
        <v>3971</v>
      </c>
      <c r="AY336" s="3" t="s">
        <v>3972</v>
      </c>
      <c r="AZ336" s="3" t="s">
        <v>74</v>
      </c>
      <c r="BC336" s="3" t="s">
        <v>3973</v>
      </c>
      <c r="BD336" s="3" t="s">
        <v>3974</v>
      </c>
    </row>
    <row r="337" spans="1:56" ht="57.75" customHeight="1" x14ac:dyDescent="0.25">
      <c r="A337" s="7" t="s">
        <v>59</v>
      </c>
      <c r="B337" s="2" t="s">
        <v>3975</v>
      </c>
      <c r="C337" s="2" t="s">
        <v>3976</v>
      </c>
      <c r="D337" s="2" t="s">
        <v>3977</v>
      </c>
      <c r="F337" s="3" t="s">
        <v>59</v>
      </c>
      <c r="G337" s="3" t="s">
        <v>60</v>
      </c>
      <c r="H337" s="3" t="s">
        <v>59</v>
      </c>
      <c r="I337" s="3" t="s">
        <v>59</v>
      </c>
      <c r="J337" s="3" t="s">
        <v>61</v>
      </c>
      <c r="K337" s="2" t="s">
        <v>3978</v>
      </c>
      <c r="L337" s="2" t="s">
        <v>3979</v>
      </c>
      <c r="M337" s="3" t="s">
        <v>738</v>
      </c>
      <c r="O337" s="3" t="s">
        <v>64</v>
      </c>
      <c r="P337" s="3" t="s">
        <v>932</v>
      </c>
      <c r="Q337" s="2" t="s">
        <v>3980</v>
      </c>
      <c r="R337" s="3" t="s">
        <v>67</v>
      </c>
      <c r="S337" s="4">
        <v>7</v>
      </c>
      <c r="T337" s="4">
        <v>7</v>
      </c>
      <c r="U337" s="5" t="s">
        <v>3981</v>
      </c>
      <c r="V337" s="5" t="s">
        <v>3981</v>
      </c>
      <c r="W337" s="5" t="s">
        <v>3982</v>
      </c>
      <c r="X337" s="5" t="s">
        <v>3982</v>
      </c>
      <c r="Y337" s="4">
        <v>239</v>
      </c>
      <c r="Z337" s="4">
        <v>106</v>
      </c>
      <c r="AA337" s="4">
        <v>705</v>
      </c>
      <c r="AB337" s="4">
        <v>2</v>
      </c>
      <c r="AC337" s="4">
        <v>6</v>
      </c>
      <c r="AD337" s="4">
        <v>4</v>
      </c>
      <c r="AE337" s="4">
        <v>22</v>
      </c>
      <c r="AF337" s="4">
        <v>2</v>
      </c>
      <c r="AG337" s="4">
        <v>9</v>
      </c>
      <c r="AH337" s="4">
        <v>1</v>
      </c>
      <c r="AI337" s="4">
        <v>5</v>
      </c>
      <c r="AJ337" s="4">
        <v>1</v>
      </c>
      <c r="AK337" s="4">
        <v>9</v>
      </c>
      <c r="AL337" s="4">
        <v>1</v>
      </c>
      <c r="AM337" s="4">
        <v>5</v>
      </c>
      <c r="AN337" s="4">
        <v>0</v>
      </c>
      <c r="AO337" s="4">
        <v>0</v>
      </c>
      <c r="AP337" s="3" t="s">
        <v>59</v>
      </c>
      <c r="AQ337" s="3" t="s">
        <v>69</v>
      </c>
      <c r="AR337" s="6" t="str">
        <f>HYPERLINK("http://catalog.hathitrust.org/Record/010158057","HathiTrust Record")</f>
        <v>HathiTrust Record</v>
      </c>
      <c r="AS337" s="6" t="str">
        <f>HYPERLINK("https://creighton-primo.hosted.exlibrisgroup.com/primo-explore/search?tab=default_tab&amp;search_scope=EVERYTHING&amp;vid=01CRU&amp;lang=en_US&amp;offset=0&amp;query=any,contains,991003285379702656","Catalog Record")</f>
        <v>Catalog Record</v>
      </c>
      <c r="AT337" s="6" t="str">
        <f>HYPERLINK("http://www.worldcat.org/oclc/807276","WorldCat Record")</f>
        <v>WorldCat Record</v>
      </c>
      <c r="AU337" s="3" t="s">
        <v>3983</v>
      </c>
      <c r="AV337" s="3" t="s">
        <v>3984</v>
      </c>
      <c r="AW337" s="3" t="s">
        <v>3985</v>
      </c>
      <c r="AX337" s="3" t="s">
        <v>3985</v>
      </c>
      <c r="AY337" s="3" t="s">
        <v>3986</v>
      </c>
      <c r="AZ337" s="3" t="s">
        <v>74</v>
      </c>
      <c r="BC337" s="3" t="s">
        <v>3987</v>
      </c>
      <c r="BD337" s="3" t="s">
        <v>3988</v>
      </c>
    </row>
    <row r="338" spans="1:56" ht="57.75" customHeight="1" x14ac:dyDescent="0.25">
      <c r="A338" s="7" t="s">
        <v>59</v>
      </c>
      <c r="B338" s="2" t="s">
        <v>3989</v>
      </c>
      <c r="C338" s="2" t="s">
        <v>3990</v>
      </c>
      <c r="D338" s="2" t="s">
        <v>3991</v>
      </c>
      <c r="F338" s="3" t="s">
        <v>59</v>
      </c>
      <c r="G338" s="3" t="s">
        <v>60</v>
      </c>
      <c r="H338" s="3" t="s">
        <v>59</v>
      </c>
      <c r="I338" s="3" t="s">
        <v>59</v>
      </c>
      <c r="J338" s="3" t="s">
        <v>61</v>
      </c>
      <c r="K338" s="2" t="s">
        <v>3992</v>
      </c>
      <c r="L338" s="2" t="s">
        <v>3993</v>
      </c>
      <c r="M338" s="3" t="s">
        <v>1430</v>
      </c>
      <c r="O338" s="3" t="s">
        <v>64</v>
      </c>
      <c r="P338" s="3" t="s">
        <v>467</v>
      </c>
      <c r="R338" s="3" t="s">
        <v>67</v>
      </c>
      <c r="S338" s="4">
        <v>10</v>
      </c>
      <c r="T338" s="4">
        <v>10</v>
      </c>
      <c r="U338" s="5" t="s">
        <v>3748</v>
      </c>
      <c r="V338" s="5" t="s">
        <v>3748</v>
      </c>
      <c r="W338" s="5" t="s">
        <v>3994</v>
      </c>
      <c r="X338" s="5" t="s">
        <v>3994</v>
      </c>
      <c r="Y338" s="4">
        <v>1013</v>
      </c>
      <c r="Z338" s="4">
        <v>970</v>
      </c>
      <c r="AA338" s="4">
        <v>1229</v>
      </c>
      <c r="AB338" s="4">
        <v>6</v>
      </c>
      <c r="AC338" s="4">
        <v>10</v>
      </c>
      <c r="AD338" s="4">
        <v>9</v>
      </c>
      <c r="AE338" s="4">
        <v>9</v>
      </c>
      <c r="AF338" s="4">
        <v>1</v>
      </c>
      <c r="AG338" s="4">
        <v>1</v>
      </c>
      <c r="AH338" s="4">
        <v>3</v>
      </c>
      <c r="AI338" s="4">
        <v>3</v>
      </c>
      <c r="AJ338" s="4">
        <v>6</v>
      </c>
      <c r="AK338" s="4">
        <v>6</v>
      </c>
      <c r="AL338" s="4">
        <v>2</v>
      </c>
      <c r="AM338" s="4">
        <v>2</v>
      </c>
      <c r="AN338" s="4">
        <v>0</v>
      </c>
      <c r="AO338" s="4">
        <v>0</v>
      </c>
      <c r="AP338" s="3" t="s">
        <v>59</v>
      </c>
      <c r="AQ338" s="3" t="s">
        <v>59</v>
      </c>
      <c r="AS338" s="6" t="str">
        <f>HYPERLINK("https://creighton-primo.hosted.exlibrisgroup.com/primo-explore/search?tab=default_tab&amp;search_scope=EVERYTHING&amp;vid=01CRU&amp;lang=en_US&amp;offset=0&amp;query=any,contains,991000342789702656","Catalog Record")</f>
        <v>Catalog Record</v>
      </c>
      <c r="AT338" s="6" t="str">
        <f>HYPERLINK("http://www.worldcat.org/oclc/10275382","WorldCat Record")</f>
        <v>WorldCat Record</v>
      </c>
      <c r="AU338" s="3" t="s">
        <v>3995</v>
      </c>
      <c r="AV338" s="3" t="s">
        <v>3996</v>
      </c>
      <c r="AW338" s="3" t="s">
        <v>3997</v>
      </c>
      <c r="AX338" s="3" t="s">
        <v>3997</v>
      </c>
      <c r="AY338" s="3" t="s">
        <v>3998</v>
      </c>
      <c r="AZ338" s="3" t="s">
        <v>74</v>
      </c>
      <c r="BB338" s="3" t="s">
        <v>3999</v>
      </c>
      <c r="BC338" s="3" t="s">
        <v>4000</v>
      </c>
      <c r="BD338" s="3" t="s">
        <v>4001</v>
      </c>
    </row>
    <row r="339" spans="1:56" ht="57.75" customHeight="1" x14ac:dyDescent="0.25">
      <c r="A339" s="7" t="s">
        <v>59</v>
      </c>
      <c r="B339" s="2" t="s">
        <v>4002</v>
      </c>
      <c r="C339" s="2" t="s">
        <v>4003</v>
      </c>
      <c r="D339" s="2" t="s">
        <v>4004</v>
      </c>
      <c r="F339" s="3" t="s">
        <v>59</v>
      </c>
      <c r="G339" s="3" t="s">
        <v>60</v>
      </c>
      <c r="H339" s="3" t="s">
        <v>59</v>
      </c>
      <c r="I339" s="3" t="s">
        <v>59</v>
      </c>
      <c r="J339" s="3" t="s">
        <v>61</v>
      </c>
      <c r="K339" s="2" t="s">
        <v>4005</v>
      </c>
      <c r="L339" s="2" t="s">
        <v>4006</v>
      </c>
      <c r="M339" s="3" t="s">
        <v>820</v>
      </c>
      <c r="O339" s="3" t="s">
        <v>64</v>
      </c>
      <c r="P339" s="3" t="s">
        <v>1268</v>
      </c>
      <c r="R339" s="3" t="s">
        <v>67</v>
      </c>
      <c r="S339" s="4">
        <v>12</v>
      </c>
      <c r="T339" s="4">
        <v>12</v>
      </c>
      <c r="U339" s="5" t="s">
        <v>2392</v>
      </c>
      <c r="V339" s="5" t="s">
        <v>2392</v>
      </c>
      <c r="W339" s="5" t="s">
        <v>4007</v>
      </c>
      <c r="X339" s="5" t="s">
        <v>4007</v>
      </c>
      <c r="Y339" s="4">
        <v>217</v>
      </c>
      <c r="Z339" s="4">
        <v>199</v>
      </c>
      <c r="AA339" s="4">
        <v>201</v>
      </c>
      <c r="AB339" s="4">
        <v>2</v>
      </c>
      <c r="AC339" s="4">
        <v>2</v>
      </c>
      <c r="AD339" s="4">
        <v>1</v>
      </c>
      <c r="AE339" s="4">
        <v>1</v>
      </c>
      <c r="AF339" s="4">
        <v>0</v>
      </c>
      <c r="AG339" s="4">
        <v>0</v>
      </c>
      <c r="AH339" s="4">
        <v>0</v>
      </c>
      <c r="AI339" s="4">
        <v>0</v>
      </c>
      <c r="AJ339" s="4">
        <v>0</v>
      </c>
      <c r="AK339" s="4">
        <v>0</v>
      </c>
      <c r="AL339" s="4">
        <v>1</v>
      </c>
      <c r="AM339" s="4">
        <v>1</v>
      </c>
      <c r="AN339" s="4">
        <v>0</v>
      </c>
      <c r="AO339" s="4">
        <v>0</v>
      </c>
      <c r="AP339" s="3" t="s">
        <v>59</v>
      </c>
      <c r="AQ339" s="3" t="s">
        <v>69</v>
      </c>
      <c r="AR339" s="6" t="str">
        <f>HYPERLINK("http://catalog.hathitrust.org/Record/009677089","HathiTrust Record")</f>
        <v>HathiTrust Record</v>
      </c>
      <c r="AS339" s="6" t="str">
        <f>HYPERLINK("https://creighton-primo.hosted.exlibrisgroup.com/primo-explore/search?tab=default_tab&amp;search_scope=EVERYTHING&amp;vid=01CRU&amp;lang=en_US&amp;offset=0&amp;query=any,contains,991000570719702656","Catalog Record")</f>
        <v>Catalog Record</v>
      </c>
      <c r="AT339" s="6" t="str">
        <f>HYPERLINK("http://www.worldcat.org/oclc/11649584","WorldCat Record")</f>
        <v>WorldCat Record</v>
      </c>
      <c r="AU339" s="3" t="s">
        <v>4008</v>
      </c>
      <c r="AV339" s="3" t="s">
        <v>4009</v>
      </c>
      <c r="AW339" s="3" t="s">
        <v>4010</v>
      </c>
      <c r="AX339" s="3" t="s">
        <v>4010</v>
      </c>
      <c r="AY339" s="3" t="s">
        <v>4011</v>
      </c>
      <c r="AZ339" s="3" t="s">
        <v>74</v>
      </c>
      <c r="BB339" s="3" t="s">
        <v>4012</v>
      </c>
      <c r="BC339" s="3" t="s">
        <v>4013</v>
      </c>
      <c r="BD339" s="3" t="s">
        <v>4014</v>
      </c>
    </row>
    <row r="340" spans="1:56" ht="57.75" customHeight="1" x14ac:dyDescent="0.25">
      <c r="A340" s="7" t="s">
        <v>59</v>
      </c>
      <c r="B340" s="2" t="s">
        <v>4015</v>
      </c>
      <c r="C340" s="2" t="s">
        <v>4016</v>
      </c>
      <c r="D340" s="2" t="s">
        <v>4017</v>
      </c>
      <c r="F340" s="3" t="s">
        <v>59</v>
      </c>
      <c r="G340" s="3" t="s">
        <v>60</v>
      </c>
      <c r="H340" s="3" t="s">
        <v>59</v>
      </c>
      <c r="I340" s="3" t="s">
        <v>59</v>
      </c>
      <c r="J340" s="3" t="s">
        <v>61</v>
      </c>
      <c r="K340" s="2" t="s">
        <v>4018</v>
      </c>
      <c r="L340" s="2" t="s">
        <v>4019</v>
      </c>
      <c r="M340" s="3" t="s">
        <v>738</v>
      </c>
      <c r="O340" s="3" t="s">
        <v>64</v>
      </c>
      <c r="P340" s="3" t="s">
        <v>467</v>
      </c>
      <c r="Q340" s="2" t="s">
        <v>2126</v>
      </c>
      <c r="R340" s="3" t="s">
        <v>67</v>
      </c>
      <c r="S340" s="4">
        <v>9</v>
      </c>
      <c r="T340" s="4">
        <v>9</v>
      </c>
      <c r="U340" s="5" t="s">
        <v>4020</v>
      </c>
      <c r="V340" s="5" t="s">
        <v>4020</v>
      </c>
      <c r="W340" s="5" t="s">
        <v>1064</v>
      </c>
      <c r="X340" s="5" t="s">
        <v>1064</v>
      </c>
      <c r="Y340" s="4">
        <v>414</v>
      </c>
      <c r="Z340" s="4">
        <v>342</v>
      </c>
      <c r="AA340" s="4">
        <v>363</v>
      </c>
      <c r="AB340" s="4">
        <v>3</v>
      </c>
      <c r="AC340" s="4">
        <v>3</v>
      </c>
      <c r="AD340" s="4">
        <v>12</v>
      </c>
      <c r="AE340" s="4">
        <v>12</v>
      </c>
      <c r="AF340" s="4">
        <v>4</v>
      </c>
      <c r="AG340" s="4">
        <v>4</v>
      </c>
      <c r="AH340" s="4">
        <v>2</v>
      </c>
      <c r="AI340" s="4">
        <v>2</v>
      </c>
      <c r="AJ340" s="4">
        <v>7</v>
      </c>
      <c r="AK340" s="4">
        <v>7</v>
      </c>
      <c r="AL340" s="4">
        <v>2</v>
      </c>
      <c r="AM340" s="4">
        <v>2</v>
      </c>
      <c r="AN340" s="4">
        <v>0</v>
      </c>
      <c r="AO340" s="4">
        <v>0</v>
      </c>
      <c r="AP340" s="3" t="s">
        <v>59</v>
      </c>
      <c r="AQ340" s="3" t="s">
        <v>69</v>
      </c>
      <c r="AR340" s="6" t="str">
        <f>HYPERLINK("http://catalog.hathitrust.org/Record/001499995","HathiTrust Record")</f>
        <v>HathiTrust Record</v>
      </c>
      <c r="AS340" s="6" t="str">
        <f>HYPERLINK("https://creighton-primo.hosted.exlibrisgroup.com/primo-explore/search?tab=default_tab&amp;search_scope=EVERYTHING&amp;vid=01CRU&amp;lang=en_US&amp;offset=0&amp;query=any,contains,991002987289702656","Catalog Record")</f>
        <v>Catalog Record</v>
      </c>
      <c r="AT340" s="6" t="str">
        <f>HYPERLINK("http://www.worldcat.org/oclc/558284","WorldCat Record")</f>
        <v>WorldCat Record</v>
      </c>
      <c r="AU340" s="3" t="s">
        <v>4021</v>
      </c>
      <c r="AV340" s="3" t="s">
        <v>4022</v>
      </c>
      <c r="AW340" s="3" t="s">
        <v>4023</v>
      </c>
      <c r="AX340" s="3" t="s">
        <v>4023</v>
      </c>
      <c r="AY340" s="3" t="s">
        <v>4024</v>
      </c>
      <c r="AZ340" s="3" t="s">
        <v>74</v>
      </c>
      <c r="BC340" s="3" t="s">
        <v>4025</v>
      </c>
      <c r="BD340" s="3" t="s">
        <v>4026</v>
      </c>
    </row>
    <row r="341" spans="1:56" ht="57.75" customHeight="1" x14ac:dyDescent="0.25">
      <c r="A341" s="7" t="s">
        <v>59</v>
      </c>
      <c r="B341" s="2" t="s">
        <v>4027</v>
      </c>
      <c r="C341" s="2" t="s">
        <v>4028</v>
      </c>
      <c r="D341" s="2" t="s">
        <v>4029</v>
      </c>
      <c r="F341" s="3" t="s">
        <v>59</v>
      </c>
      <c r="G341" s="3" t="s">
        <v>60</v>
      </c>
      <c r="H341" s="3" t="s">
        <v>59</v>
      </c>
      <c r="I341" s="3" t="s">
        <v>59</v>
      </c>
      <c r="J341" s="3" t="s">
        <v>61</v>
      </c>
      <c r="K341" s="2" t="s">
        <v>4030</v>
      </c>
      <c r="L341" s="2" t="s">
        <v>4031</v>
      </c>
      <c r="M341" s="3" t="s">
        <v>1935</v>
      </c>
      <c r="N341" s="2" t="s">
        <v>572</v>
      </c>
      <c r="O341" s="3" t="s">
        <v>64</v>
      </c>
      <c r="P341" s="3" t="s">
        <v>467</v>
      </c>
      <c r="R341" s="3" t="s">
        <v>67</v>
      </c>
      <c r="S341" s="4">
        <v>4</v>
      </c>
      <c r="T341" s="4">
        <v>4</v>
      </c>
      <c r="U341" s="5" t="s">
        <v>4032</v>
      </c>
      <c r="V341" s="5" t="s">
        <v>4032</v>
      </c>
      <c r="W341" s="5" t="s">
        <v>2452</v>
      </c>
      <c r="X341" s="5" t="s">
        <v>2452</v>
      </c>
      <c r="Y341" s="4">
        <v>448</v>
      </c>
      <c r="Z341" s="4">
        <v>430</v>
      </c>
      <c r="AA341" s="4">
        <v>496</v>
      </c>
      <c r="AB341" s="4">
        <v>5</v>
      </c>
      <c r="AC341" s="4">
        <v>6</v>
      </c>
      <c r="AD341" s="4">
        <v>11</v>
      </c>
      <c r="AE341" s="4">
        <v>13</v>
      </c>
      <c r="AF341" s="4">
        <v>4</v>
      </c>
      <c r="AG341" s="4">
        <v>5</v>
      </c>
      <c r="AH341" s="4">
        <v>1</v>
      </c>
      <c r="AI341" s="4">
        <v>1</v>
      </c>
      <c r="AJ341" s="4">
        <v>5</v>
      </c>
      <c r="AK341" s="4">
        <v>5</v>
      </c>
      <c r="AL341" s="4">
        <v>3</v>
      </c>
      <c r="AM341" s="4">
        <v>4</v>
      </c>
      <c r="AN341" s="4">
        <v>0</v>
      </c>
      <c r="AO341" s="4">
        <v>0</v>
      </c>
      <c r="AP341" s="3" t="s">
        <v>59</v>
      </c>
      <c r="AQ341" s="3" t="s">
        <v>59</v>
      </c>
      <c r="AR341" s="6" t="str">
        <f>HYPERLINK("http://catalog.hathitrust.org/Record/004413827","HathiTrust Record")</f>
        <v>HathiTrust Record</v>
      </c>
      <c r="AS341" s="6" t="str">
        <f>HYPERLINK("https://creighton-primo.hosted.exlibrisgroup.com/primo-explore/search?tab=default_tab&amp;search_scope=EVERYTHING&amp;vid=01CRU&amp;lang=en_US&amp;offset=0&amp;query=any,contains,991003259049702656","Catalog Record")</f>
        <v>Catalog Record</v>
      </c>
      <c r="AT341" s="6" t="str">
        <f>HYPERLINK("http://www.worldcat.org/oclc/784697","WorldCat Record")</f>
        <v>WorldCat Record</v>
      </c>
      <c r="AU341" s="3" t="s">
        <v>4033</v>
      </c>
      <c r="AV341" s="3" t="s">
        <v>4034</v>
      </c>
      <c r="AW341" s="3" t="s">
        <v>4035</v>
      </c>
      <c r="AX341" s="3" t="s">
        <v>4035</v>
      </c>
      <c r="AY341" s="3" t="s">
        <v>4036</v>
      </c>
      <c r="AZ341" s="3" t="s">
        <v>74</v>
      </c>
      <c r="BC341" s="3" t="s">
        <v>4037</v>
      </c>
      <c r="BD341" s="3" t="s">
        <v>4038</v>
      </c>
    </row>
    <row r="342" spans="1:56" ht="57.75" customHeight="1" x14ac:dyDescent="0.25">
      <c r="A342" s="7" t="s">
        <v>59</v>
      </c>
      <c r="B342" s="2" t="s">
        <v>4039</v>
      </c>
      <c r="C342" s="2" t="s">
        <v>4040</v>
      </c>
      <c r="D342" s="2" t="s">
        <v>4041</v>
      </c>
      <c r="F342" s="3" t="s">
        <v>59</v>
      </c>
      <c r="G342" s="3" t="s">
        <v>60</v>
      </c>
      <c r="H342" s="3" t="s">
        <v>59</v>
      </c>
      <c r="I342" s="3" t="s">
        <v>59</v>
      </c>
      <c r="J342" s="3" t="s">
        <v>61</v>
      </c>
      <c r="K342" s="2" t="s">
        <v>4042</v>
      </c>
      <c r="L342" s="2" t="s">
        <v>4043</v>
      </c>
      <c r="M342" s="3" t="s">
        <v>4044</v>
      </c>
      <c r="N342" s="2" t="s">
        <v>4045</v>
      </c>
      <c r="O342" s="3" t="s">
        <v>64</v>
      </c>
      <c r="P342" s="3" t="s">
        <v>467</v>
      </c>
      <c r="R342" s="3" t="s">
        <v>67</v>
      </c>
      <c r="S342" s="4">
        <v>1</v>
      </c>
      <c r="T342" s="4">
        <v>1</v>
      </c>
      <c r="U342" s="5" t="s">
        <v>4046</v>
      </c>
      <c r="V342" s="5" t="s">
        <v>4046</v>
      </c>
      <c r="W342" s="5" t="s">
        <v>2452</v>
      </c>
      <c r="X342" s="5" t="s">
        <v>2452</v>
      </c>
      <c r="Y342" s="4">
        <v>152</v>
      </c>
      <c r="Z342" s="4">
        <v>148</v>
      </c>
      <c r="AA342" s="4">
        <v>1135</v>
      </c>
      <c r="AB342" s="4">
        <v>2</v>
      </c>
      <c r="AC342" s="4">
        <v>9</v>
      </c>
      <c r="AD342" s="4">
        <v>4</v>
      </c>
      <c r="AE342" s="4">
        <v>25</v>
      </c>
      <c r="AF342" s="4">
        <v>2</v>
      </c>
      <c r="AG342" s="4">
        <v>11</v>
      </c>
      <c r="AH342" s="4">
        <v>0</v>
      </c>
      <c r="AI342" s="4">
        <v>4</v>
      </c>
      <c r="AJ342" s="4">
        <v>1</v>
      </c>
      <c r="AK342" s="4">
        <v>11</v>
      </c>
      <c r="AL342" s="4">
        <v>1</v>
      </c>
      <c r="AM342" s="4">
        <v>4</v>
      </c>
      <c r="AN342" s="4">
        <v>0</v>
      </c>
      <c r="AO342" s="4">
        <v>0</v>
      </c>
      <c r="AP342" s="3" t="s">
        <v>59</v>
      </c>
      <c r="AQ342" s="3" t="s">
        <v>59</v>
      </c>
      <c r="AS342" s="6" t="str">
        <f>HYPERLINK("https://creighton-primo.hosted.exlibrisgroup.com/primo-explore/search?tab=default_tab&amp;search_scope=EVERYTHING&amp;vid=01CRU&amp;lang=en_US&amp;offset=0&amp;query=any,contains,991001128519702656","Catalog Record")</f>
        <v>Catalog Record</v>
      </c>
      <c r="AT342" s="6" t="str">
        <f>HYPERLINK("http://www.worldcat.org/oclc/16672681","WorldCat Record")</f>
        <v>WorldCat Record</v>
      </c>
      <c r="AU342" s="3" t="s">
        <v>4047</v>
      </c>
      <c r="AV342" s="3" t="s">
        <v>4048</v>
      </c>
      <c r="AW342" s="3" t="s">
        <v>4049</v>
      </c>
      <c r="AX342" s="3" t="s">
        <v>4049</v>
      </c>
      <c r="AY342" s="3" t="s">
        <v>4050</v>
      </c>
      <c r="AZ342" s="3" t="s">
        <v>74</v>
      </c>
      <c r="BC342" s="3" t="s">
        <v>4051</v>
      </c>
      <c r="BD342" s="3" t="s">
        <v>4052</v>
      </c>
    </row>
    <row r="343" spans="1:56" ht="57.75" customHeight="1" x14ac:dyDescent="0.25">
      <c r="A343" s="7" t="s">
        <v>59</v>
      </c>
      <c r="B343" s="2" t="s">
        <v>4053</v>
      </c>
      <c r="C343" s="2" t="s">
        <v>4054</v>
      </c>
      <c r="D343" s="2" t="s">
        <v>4055</v>
      </c>
      <c r="F343" s="3" t="s">
        <v>59</v>
      </c>
      <c r="G343" s="3" t="s">
        <v>60</v>
      </c>
      <c r="H343" s="3" t="s">
        <v>59</v>
      </c>
      <c r="I343" s="3" t="s">
        <v>59</v>
      </c>
      <c r="J343" s="3" t="s">
        <v>61</v>
      </c>
      <c r="K343" s="2" t="s">
        <v>4056</v>
      </c>
      <c r="L343" s="2" t="s">
        <v>4057</v>
      </c>
      <c r="M343" s="3" t="s">
        <v>3095</v>
      </c>
      <c r="N343" s="2" t="s">
        <v>556</v>
      </c>
      <c r="O343" s="3" t="s">
        <v>64</v>
      </c>
      <c r="P343" s="3" t="s">
        <v>467</v>
      </c>
      <c r="R343" s="3" t="s">
        <v>67</v>
      </c>
      <c r="S343" s="4">
        <v>7</v>
      </c>
      <c r="T343" s="4">
        <v>7</v>
      </c>
      <c r="U343" s="5" t="s">
        <v>1838</v>
      </c>
      <c r="V343" s="5" t="s">
        <v>1838</v>
      </c>
      <c r="W343" s="5" t="s">
        <v>4058</v>
      </c>
      <c r="X343" s="5" t="s">
        <v>4058</v>
      </c>
      <c r="Y343" s="4">
        <v>670</v>
      </c>
      <c r="Z343" s="4">
        <v>632</v>
      </c>
      <c r="AA343" s="4">
        <v>681</v>
      </c>
      <c r="AB343" s="4">
        <v>3</v>
      </c>
      <c r="AC343" s="4">
        <v>3</v>
      </c>
      <c r="AD343" s="4">
        <v>14</v>
      </c>
      <c r="AE343" s="4">
        <v>14</v>
      </c>
      <c r="AF343" s="4">
        <v>4</v>
      </c>
      <c r="AG343" s="4">
        <v>4</v>
      </c>
      <c r="AH343" s="4">
        <v>3</v>
      </c>
      <c r="AI343" s="4">
        <v>3</v>
      </c>
      <c r="AJ343" s="4">
        <v>8</v>
      </c>
      <c r="AK343" s="4">
        <v>8</v>
      </c>
      <c r="AL343" s="4">
        <v>2</v>
      </c>
      <c r="AM343" s="4">
        <v>2</v>
      </c>
      <c r="AN343" s="4">
        <v>0</v>
      </c>
      <c r="AO343" s="4">
        <v>0</v>
      </c>
      <c r="AP343" s="3" t="s">
        <v>59</v>
      </c>
      <c r="AQ343" s="3" t="s">
        <v>69</v>
      </c>
      <c r="AR343" s="6" t="str">
        <f>HYPERLINK("http://catalog.hathitrust.org/Record/000699542","HathiTrust Record")</f>
        <v>HathiTrust Record</v>
      </c>
      <c r="AS343" s="6" t="str">
        <f>HYPERLINK("https://creighton-primo.hosted.exlibrisgroup.com/primo-explore/search?tab=default_tab&amp;search_scope=EVERYTHING&amp;vid=01CRU&amp;lang=en_US&amp;offset=0&amp;query=any,contains,991003945459702656","Catalog Record")</f>
        <v>Catalog Record</v>
      </c>
      <c r="AT343" s="6" t="str">
        <f>HYPERLINK("http://www.worldcat.org/oclc/1945236","WorldCat Record")</f>
        <v>WorldCat Record</v>
      </c>
      <c r="AU343" s="3" t="s">
        <v>4059</v>
      </c>
      <c r="AV343" s="3" t="s">
        <v>4060</v>
      </c>
      <c r="AW343" s="3" t="s">
        <v>4061</v>
      </c>
      <c r="AX343" s="3" t="s">
        <v>4061</v>
      </c>
      <c r="AY343" s="3" t="s">
        <v>4062</v>
      </c>
      <c r="AZ343" s="3" t="s">
        <v>74</v>
      </c>
      <c r="BB343" s="3" t="s">
        <v>4063</v>
      </c>
      <c r="BC343" s="3" t="s">
        <v>4064</v>
      </c>
      <c r="BD343" s="3" t="s">
        <v>4065</v>
      </c>
    </row>
    <row r="344" spans="1:56" ht="57.75" customHeight="1" x14ac:dyDescent="0.25">
      <c r="A344" s="7" t="s">
        <v>59</v>
      </c>
      <c r="B344" s="2" t="s">
        <v>4066</v>
      </c>
      <c r="C344" s="2" t="s">
        <v>4067</v>
      </c>
      <c r="D344" s="2" t="s">
        <v>4068</v>
      </c>
      <c r="F344" s="3" t="s">
        <v>59</v>
      </c>
      <c r="G344" s="3" t="s">
        <v>60</v>
      </c>
      <c r="H344" s="3" t="s">
        <v>59</v>
      </c>
      <c r="I344" s="3" t="s">
        <v>59</v>
      </c>
      <c r="J344" s="3" t="s">
        <v>61</v>
      </c>
      <c r="K344" s="2" t="s">
        <v>4069</v>
      </c>
      <c r="L344" s="2" t="s">
        <v>4070</v>
      </c>
      <c r="M344" s="3" t="s">
        <v>656</v>
      </c>
      <c r="O344" s="3" t="s">
        <v>64</v>
      </c>
      <c r="P344" s="3" t="s">
        <v>821</v>
      </c>
      <c r="Q344" s="2" t="s">
        <v>4071</v>
      </c>
      <c r="R344" s="3" t="s">
        <v>67</v>
      </c>
      <c r="S344" s="4">
        <v>4</v>
      </c>
      <c r="T344" s="4">
        <v>4</v>
      </c>
      <c r="U344" s="5" t="s">
        <v>4072</v>
      </c>
      <c r="V344" s="5" t="s">
        <v>4072</v>
      </c>
      <c r="W344" s="5" t="s">
        <v>2452</v>
      </c>
      <c r="X344" s="5" t="s">
        <v>2452</v>
      </c>
      <c r="Y344" s="4">
        <v>184</v>
      </c>
      <c r="Z344" s="4">
        <v>169</v>
      </c>
      <c r="AA344" s="4">
        <v>300</v>
      </c>
      <c r="AB344" s="4">
        <v>1</v>
      </c>
      <c r="AC344" s="4">
        <v>2</v>
      </c>
      <c r="AD344" s="4">
        <v>3</v>
      </c>
      <c r="AE344" s="4">
        <v>6</v>
      </c>
      <c r="AF344" s="4">
        <v>1</v>
      </c>
      <c r="AG344" s="4">
        <v>2</v>
      </c>
      <c r="AH344" s="4">
        <v>1</v>
      </c>
      <c r="AI344" s="4">
        <v>2</v>
      </c>
      <c r="AJ344" s="4">
        <v>2</v>
      </c>
      <c r="AK344" s="4">
        <v>2</v>
      </c>
      <c r="AL344" s="4">
        <v>0</v>
      </c>
      <c r="AM344" s="4">
        <v>1</v>
      </c>
      <c r="AN344" s="4">
        <v>0</v>
      </c>
      <c r="AO344" s="4">
        <v>0</v>
      </c>
      <c r="AP344" s="3" t="s">
        <v>59</v>
      </c>
      <c r="AQ344" s="3" t="s">
        <v>59</v>
      </c>
      <c r="AS344" s="6" t="str">
        <f>HYPERLINK("https://creighton-primo.hosted.exlibrisgroup.com/primo-explore/search?tab=default_tab&amp;search_scope=EVERYTHING&amp;vid=01CRU&amp;lang=en_US&amp;offset=0&amp;query=any,contains,991004110149702656","Catalog Record")</f>
        <v>Catalog Record</v>
      </c>
      <c r="AT344" s="6" t="str">
        <f>HYPERLINK("http://www.worldcat.org/oclc/2394669","WorldCat Record")</f>
        <v>WorldCat Record</v>
      </c>
      <c r="AU344" s="3" t="s">
        <v>4073</v>
      </c>
      <c r="AV344" s="3" t="s">
        <v>4074</v>
      </c>
      <c r="AW344" s="3" t="s">
        <v>4075</v>
      </c>
      <c r="AX344" s="3" t="s">
        <v>4075</v>
      </c>
      <c r="AY344" s="3" t="s">
        <v>4076</v>
      </c>
      <c r="AZ344" s="3" t="s">
        <v>74</v>
      </c>
      <c r="BC344" s="3" t="s">
        <v>4077</v>
      </c>
      <c r="BD344" s="3" t="s">
        <v>4078</v>
      </c>
    </row>
    <row r="345" spans="1:56" ht="57.75" customHeight="1" x14ac:dyDescent="0.25">
      <c r="A345" s="7" t="s">
        <v>59</v>
      </c>
      <c r="B345" s="2" t="s">
        <v>4079</v>
      </c>
      <c r="C345" s="2" t="s">
        <v>4080</v>
      </c>
      <c r="D345" s="2" t="s">
        <v>4081</v>
      </c>
      <c r="F345" s="3" t="s">
        <v>59</v>
      </c>
      <c r="G345" s="3" t="s">
        <v>60</v>
      </c>
      <c r="H345" s="3" t="s">
        <v>59</v>
      </c>
      <c r="I345" s="3" t="s">
        <v>59</v>
      </c>
      <c r="J345" s="3" t="s">
        <v>61</v>
      </c>
      <c r="K345" s="2" t="s">
        <v>4082</v>
      </c>
      <c r="L345" s="2" t="s">
        <v>4083</v>
      </c>
      <c r="M345" s="3" t="s">
        <v>656</v>
      </c>
      <c r="O345" s="3" t="s">
        <v>64</v>
      </c>
      <c r="P345" s="3" t="s">
        <v>467</v>
      </c>
      <c r="Q345" s="2" t="s">
        <v>4084</v>
      </c>
      <c r="R345" s="3" t="s">
        <v>67</v>
      </c>
      <c r="S345" s="4">
        <v>18</v>
      </c>
      <c r="T345" s="4">
        <v>18</v>
      </c>
      <c r="U345" s="5" t="s">
        <v>4072</v>
      </c>
      <c r="V345" s="5" t="s">
        <v>4072</v>
      </c>
      <c r="W345" s="5" t="s">
        <v>4058</v>
      </c>
      <c r="X345" s="5" t="s">
        <v>4058</v>
      </c>
      <c r="Y345" s="4">
        <v>1460</v>
      </c>
      <c r="Z345" s="4">
        <v>1388</v>
      </c>
      <c r="AA345" s="4">
        <v>1592</v>
      </c>
      <c r="AB345" s="4">
        <v>11</v>
      </c>
      <c r="AC345" s="4">
        <v>15</v>
      </c>
      <c r="AD345" s="4">
        <v>22</v>
      </c>
      <c r="AE345" s="4">
        <v>24</v>
      </c>
      <c r="AF345" s="4">
        <v>7</v>
      </c>
      <c r="AG345" s="4">
        <v>9</v>
      </c>
      <c r="AH345" s="4">
        <v>5</v>
      </c>
      <c r="AI345" s="4">
        <v>5</v>
      </c>
      <c r="AJ345" s="4">
        <v>12</v>
      </c>
      <c r="AK345" s="4">
        <v>13</v>
      </c>
      <c r="AL345" s="4">
        <v>4</v>
      </c>
      <c r="AM345" s="4">
        <v>4</v>
      </c>
      <c r="AN345" s="4">
        <v>0</v>
      </c>
      <c r="AO345" s="4">
        <v>0</v>
      </c>
      <c r="AP345" s="3" t="s">
        <v>59</v>
      </c>
      <c r="AQ345" s="3" t="s">
        <v>59</v>
      </c>
      <c r="AR345" s="6" t="str">
        <f>HYPERLINK("http://catalog.hathitrust.org/Record/001496730","HathiTrust Record")</f>
        <v>HathiTrust Record</v>
      </c>
      <c r="AS345" s="6" t="str">
        <f>HYPERLINK("https://creighton-primo.hosted.exlibrisgroup.com/primo-explore/search?tab=default_tab&amp;search_scope=EVERYTHING&amp;vid=01CRU&amp;lang=en_US&amp;offset=0&amp;query=any,contains,991003463119702656","Catalog Record")</f>
        <v>Catalog Record</v>
      </c>
      <c r="AT345" s="6" t="str">
        <f>HYPERLINK("http://www.worldcat.org/oclc/1004942","WorldCat Record")</f>
        <v>WorldCat Record</v>
      </c>
      <c r="AU345" s="3" t="s">
        <v>4085</v>
      </c>
      <c r="AV345" s="3" t="s">
        <v>4086</v>
      </c>
      <c r="AW345" s="3" t="s">
        <v>4087</v>
      </c>
      <c r="AX345" s="3" t="s">
        <v>4087</v>
      </c>
      <c r="AY345" s="3" t="s">
        <v>4088</v>
      </c>
      <c r="AZ345" s="3" t="s">
        <v>74</v>
      </c>
      <c r="BC345" s="3" t="s">
        <v>4089</v>
      </c>
      <c r="BD345" s="3" t="s">
        <v>4090</v>
      </c>
    </row>
    <row r="346" spans="1:56" ht="57.75" customHeight="1" x14ac:dyDescent="0.25">
      <c r="A346" s="7" t="s">
        <v>59</v>
      </c>
      <c r="B346" s="2" t="s">
        <v>4091</v>
      </c>
      <c r="C346" s="2" t="s">
        <v>4092</v>
      </c>
      <c r="D346" s="2" t="s">
        <v>4093</v>
      </c>
      <c r="F346" s="3" t="s">
        <v>59</v>
      </c>
      <c r="G346" s="3" t="s">
        <v>60</v>
      </c>
      <c r="H346" s="3" t="s">
        <v>59</v>
      </c>
      <c r="I346" s="3" t="s">
        <v>59</v>
      </c>
      <c r="J346" s="3" t="s">
        <v>61</v>
      </c>
      <c r="K346" s="2" t="s">
        <v>4094</v>
      </c>
      <c r="L346" s="2" t="s">
        <v>4095</v>
      </c>
      <c r="M346" s="3" t="s">
        <v>3968</v>
      </c>
      <c r="N346" s="2" t="s">
        <v>4096</v>
      </c>
      <c r="O346" s="3" t="s">
        <v>64</v>
      </c>
      <c r="P346" s="3" t="s">
        <v>467</v>
      </c>
      <c r="Q346" s="2" t="s">
        <v>4097</v>
      </c>
      <c r="R346" s="3" t="s">
        <v>67</v>
      </c>
      <c r="S346" s="4">
        <v>7</v>
      </c>
      <c r="T346" s="4">
        <v>7</v>
      </c>
      <c r="U346" s="5" t="s">
        <v>4098</v>
      </c>
      <c r="V346" s="5" t="s">
        <v>4098</v>
      </c>
      <c r="W346" s="5" t="s">
        <v>2452</v>
      </c>
      <c r="X346" s="5" t="s">
        <v>2452</v>
      </c>
      <c r="Y346" s="4">
        <v>125</v>
      </c>
      <c r="Z346" s="4">
        <v>113</v>
      </c>
      <c r="AA346" s="4">
        <v>236</v>
      </c>
      <c r="AB346" s="4">
        <v>3</v>
      </c>
      <c r="AC346" s="4">
        <v>5</v>
      </c>
      <c r="AD346" s="4">
        <v>4</v>
      </c>
      <c r="AE346" s="4">
        <v>8</v>
      </c>
      <c r="AF346" s="4">
        <v>1</v>
      </c>
      <c r="AG346" s="4">
        <v>2</v>
      </c>
      <c r="AH346" s="4">
        <v>0</v>
      </c>
      <c r="AI346" s="4">
        <v>1</v>
      </c>
      <c r="AJ346" s="4">
        <v>1</v>
      </c>
      <c r="AK346" s="4">
        <v>1</v>
      </c>
      <c r="AL346" s="4">
        <v>2</v>
      </c>
      <c r="AM346" s="4">
        <v>4</v>
      </c>
      <c r="AN346" s="4">
        <v>0</v>
      </c>
      <c r="AO346" s="4">
        <v>0</v>
      </c>
      <c r="AP346" s="3" t="s">
        <v>69</v>
      </c>
      <c r="AQ346" s="3" t="s">
        <v>59</v>
      </c>
      <c r="AR346" s="6" t="str">
        <f>HYPERLINK("http://catalog.hathitrust.org/Record/009169395","HathiTrust Record")</f>
        <v>HathiTrust Record</v>
      </c>
      <c r="AS346" s="6" t="str">
        <f>HYPERLINK("https://creighton-primo.hosted.exlibrisgroup.com/primo-explore/search?tab=default_tab&amp;search_scope=EVERYTHING&amp;vid=01CRU&amp;lang=en_US&amp;offset=0&amp;query=any,contains,991004140429702656","Catalog Record")</f>
        <v>Catalog Record</v>
      </c>
      <c r="AT346" s="6" t="str">
        <f>HYPERLINK("http://www.worldcat.org/oclc/2495698","WorldCat Record")</f>
        <v>WorldCat Record</v>
      </c>
      <c r="AU346" s="3" t="s">
        <v>4099</v>
      </c>
      <c r="AV346" s="3" t="s">
        <v>4100</v>
      </c>
      <c r="AW346" s="3" t="s">
        <v>4101</v>
      </c>
      <c r="AX346" s="3" t="s">
        <v>4101</v>
      </c>
      <c r="AY346" s="3" t="s">
        <v>4102</v>
      </c>
      <c r="AZ346" s="3" t="s">
        <v>74</v>
      </c>
      <c r="BC346" s="3" t="s">
        <v>4103</v>
      </c>
      <c r="BD346" s="3" t="s">
        <v>4104</v>
      </c>
    </row>
    <row r="347" spans="1:56" ht="57.75" customHeight="1" x14ac:dyDescent="0.25">
      <c r="A347" s="7" t="s">
        <v>59</v>
      </c>
      <c r="B347" s="2" t="s">
        <v>4105</v>
      </c>
      <c r="C347" s="2" t="s">
        <v>4106</v>
      </c>
      <c r="D347" s="2" t="s">
        <v>4107</v>
      </c>
      <c r="F347" s="3" t="s">
        <v>59</v>
      </c>
      <c r="G347" s="3" t="s">
        <v>60</v>
      </c>
      <c r="H347" s="3" t="s">
        <v>59</v>
      </c>
      <c r="I347" s="3" t="s">
        <v>59</v>
      </c>
      <c r="J347" s="3" t="s">
        <v>61</v>
      </c>
      <c r="K347" s="2" t="s">
        <v>4108</v>
      </c>
      <c r="L347" s="2" t="s">
        <v>4109</v>
      </c>
      <c r="M347" s="3" t="s">
        <v>452</v>
      </c>
      <c r="O347" s="3" t="s">
        <v>64</v>
      </c>
      <c r="P347" s="3" t="s">
        <v>1268</v>
      </c>
      <c r="Q347" s="2" t="s">
        <v>4110</v>
      </c>
      <c r="R347" s="3" t="s">
        <v>67</v>
      </c>
      <c r="S347" s="4">
        <v>1</v>
      </c>
      <c r="T347" s="4">
        <v>1</v>
      </c>
      <c r="U347" s="5" t="s">
        <v>2392</v>
      </c>
      <c r="V347" s="5" t="s">
        <v>2392</v>
      </c>
      <c r="W347" s="5" t="s">
        <v>2452</v>
      </c>
      <c r="X347" s="5" t="s">
        <v>2452</v>
      </c>
      <c r="Y347" s="4">
        <v>907</v>
      </c>
      <c r="Z347" s="4">
        <v>866</v>
      </c>
      <c r="AA347" s="4">
        <v>903</v>
      </c>
      <c r="AB347" s="4">
        <v>7</v>
      </c>
      <c r="AC347" s="4">
        <v>7</v>
      </c>
      <c r="AD347" s="4">
        <v>22</v>
      </c>
      <c r="AE347" s="4">
        <v>24</v>
      </c>
      <c r="AF347" s="4">
        <v>9</v>
      </c>
      <c r="AG347" s="4">
        <v>10</v>
      </c>
      <c r="AH347" s="4">
        <v>4</v>
      </c>
      <c r="AI347" s="4">
        <v>5</v>
      </c>
      <c r="AJ347" s="4">
        <v>13</v>
      </c>
      <c r="AK347" s="4">
        <v>13</v>
      </c>
      <c r="AL347" s="4">
        <v>4</v>
      </c>
      <c r="AM347" s="4">
        <v>4</v>
      </c>
      <c r="AN347" s="4">
        <v>0</v>
      </c>
      <c r="AO347" s="4">
        <v>0</v>
      </c>
      <c r="AP347" s="3" t="s">
        <v>59</v>
      </c>
      <c r="AQ347" s="3" t="s">
        <v>69</v>
      </c>
      <c r="AR347" s="6" t="str">
        <f>HYPERLINK("http://catalog.hathitrust.org/Record/001500022","HathiTrust Record")</f>
        <v>HathiTrust Record</v>
      </c>
      <c r="AS347" s="6" t="str">
        <f>HYPERLINK("https://creighton-primo.hosted.exlibrisgroup.com/primo-explore/search?tab=default_tab&amp;search_scope=EVERYTHING&amp;vid=01CRU&amp;lang=en_US&amp;offset=0&amp;query=any,contains,991003463089702656","Catalog Record")</f>
        <v>Catalog Record</v>
      </c>
      <c r="AT347" s="6" t="str">
        <f>HYPERLINK("http://www.worldcat.org/oclc/1004936","WorldCat Record")</f>
        <v>WorldCat Record</v>
      </c>
      <c r="AU347" s="3" t="s">
        <v>4111</v>
      </c>
      <c r="AV347" s="3" t="s">
        <v>4112</v>
      </c>
      <c r="AW347" s="3" t="s">
        <v>4113</v>
      </c>
      <c r="AX347" s="3" t="s">
        <v>4113</v>
      </c>
      <c r="AY347" s="3" t="s">
        <v>4114</v>
      </c>
      <c r="AZ347" s="3" t="s">
        <v>74</v>
      </c>
      <c r="BC347" s="3" t="s">
        <v>4115</v>
      </c>
      <c r="BD347" s="3" t="s">
        <v>4116</v>
      </c>
    </row>
    <row r="348" spans="1:56" ht="57.75" customHeight="1" x14ac:dyDescent="0.25">
      <c r="A348" s="7" t="s">
        <v>59</v>
      </c>
      <c r="B348" s="2" t="s">
        <v>4117</v>
      </c>
      <c r="C348" s="2" t="s">
        <v>4118</v>
      </c>
      <c r="D348" s="2" t="s">
        <v>4119</v>
      </c>
      <c r="F348" s="3" t="s">
        <v>59</v>
      </c>
      <c r="G348" s="3" t="s">
        <v>60</v>
      </c>
      <c r="H348" s="3" t="s">
        <v>59</v>
      </c>
      <c r="I348" s="3" t="s">
        <v>59</v>
      </c>
      <c r="J348" s="3" t="s">
        <v>61</v>
      </c>
      <c r="K348" s="2" t="s">
        <v>4120</v>
      </c>
      <c r="L348" s="2" t="s">
        <v>4121</v>
      </c>
      <c r="M348" s="3" t="s">
        <v>4122</v>
      </c>
      <c r="N348" s="2" t="s">
        <v>4123</v>
      </c>
      <c r="O348" s="3" t="s">
        <v>64</v>
      </c>
      <c r="P348" s="3" t="s">
        <v>2480</v>
      </c>
      <c r="Q348" s="2" t="s">
        <v>2937</v>
      </c>
      <c r="R348" s="3" t="s">
        <v>67</v>
      </c>
      <c r="S348" s="4">
        <v>1</v>
      </c>
      <c r="T348" s="4">
        <v>1</v>
      </c>
      <c r="U348" s="5" t="s">
        <v>1866</v>
      </c>
      <c r="V348" s="5" t="s">
        <v>1866</v>
      </c>
      <c r="W348" s="5" t="s">
        <v>4124</v>
      </c>
      <c r="X348" s="5" t="s">
        <v>4124</v>
      </c>
      <c r="Y348" s="4">
        <v>906</v>
      </c>
      <c r="Z348" s="4">
        <v>855</v>
      </c>
      <c r="AA348" s="4">
        <v>973</v>
      </c>
      <c r="AB348" s="4">
        <v>5</v>
      </c>
      <c r="AC348" s="4">
        <v>6</v>
      </c>
      <c r="AD348" s="4">
        <v>23</v>
      </c>
      <c r="AE348" s="4">
        <v>24</v>
      </c>
      <c r="AF348" s="4">
        <v>12</v>
      </c>
      <c r="AG348" s="4">
        <v>12</v>
      </c>
      <c r="AH348" s="4">
        <v>2</v>
      </c>
      <c r="AI348" s="4">
        <v>2</v>
      </c>
      <c r="AJ348" s="4">
        <v>14</v>
      </c>
      <c r="AK348" s="4">
        <v>14</v>
      </c>
      <c r="AL348" s="4">
        <v>3</v>
      </c>
      <c r="AM348" s="4">
        <v>4</v>
      </c>
      <c r="AN348" s="4">
        <v>0</v>
      </c>
      <c r="AO348" s="4">
        <v>0</v>
      </c>
      <c r="AP348" s="3" t="s">
        <v>59</v>
      </c>
      <c r="AQ348" s="3" t="s">
        <v>69</v>
      </c>
      <c r="AR348" s="6" t="str">
        <f>HYPERLINK("http://catalog.hathitrust.org/Record/001500025","HathiTrust Record")</f>
        <v>HathiTrust Record</v>
      </c>
      <c r="AS348" s="6" t="str">
        <f>HYPERLINK("https://creighton-primo.hosted.exlibrisgroup.com/primo-explore/search?tab=default_tab&amp;search_scope=EVERYTHING&amp;vid=01CRU&amp;lang=en_US&amp;offset=0&amp;query=any,contains,991001214059702656","Catalog Record")</f>
        <v>Catalog Record</v>
      </c>
      <c r="AT348" s="6" t="str">
        <f>HYPERLINK("http://www.worldcat.org/oclc/193446","WorldCat Record")</f>
        <v>WorldCat Record</v>
      </c>
      <c r="AU348" s="3" t="s">
        <v>4125</v>
      </c>
      <c r="AV348" s="3" t="s">
        <v>4126</v>
      </c>
      <c r="AW348" s="3" t="s">
        <v>4127</v>
      </c>
      <c r="AX348" s="3" t="s">
        <v>4127</v>
      </c>
      <c r="AY348" s="3" t="s">
        <v>4128</v>
      </c>
      <c r="AZ348" s="3" t="s">
        <v>74</v>
      </c>
      <c r="BC348" s="3" t="s">
        <v>4129</v>
      </c>
      <c r="BD348" s="3" t="s">
        <v>4130</v>
      </c>
    </row>
    <row r="349" spans="1:56" ht="57.75" customHeight="1" x14ac:dyDescent="0.25">
      <c r="A349" s="7" t="s">
        <v>59</v>
      </c>
      <c r="B349" s="2" t="s">
        <v>4131</v>
      </c>
      <c r="C349" s="2" t="s">
        <v>4132</v>
      </c>
      <c r="D349" s="2" t="s">
        <v>4133</v>
      </c>
      <c r="F349" s="3" t="s">
        <v>59</v>
      </c>
      <c r="G349" s="3" t="s">
        <v>60</v>
      </c>
      <c r="H349" s="3" t="s">
        <v>59</v>
      </c>
      <c r="I349" s="3" t="s">
        <v>59</v>
      </c>
      <c r="J349" s="3" t="s">
        <v>61</v>
      </c>
      <c r="K349" s="2" t="s">
        <v>4134</v>
      </c>
      <c r="L349" s="2" t="s">
        <v>4135</v>
      </c>
      <c r="M349" s="3" t="s">
        <v>738</v>
      </c>
      <c r="O349" s="3" t="s">
        <v>64</v>
      </c>
      <c r="P349" s="3" t="s">
        <v>467</v>
      </c>
      <c r="R349" s="3" t="s">
        <v>67</v>
      </c>
      <c r="S349" s="4">
        <v>8</v>
      </c>
      <c r="T349" s="4">
        <v>8</v>
      </c>
      <c r="U349" s="5" t="s">
        <v>2392</v>
      </c>
      <c r="V349" s="5" t="s">
        <v>2392</v>
      </c>
      <c r="W349" s="5" t="s">
        <v>4136</v>
      </c>
      <c r="X349" s="5" t="s">
        <v>4136</v>
      </c>
      <c r="Y349" s="4">
        <v>1095</v>
      </c>
      <c r="Z349" s="4">
        <v>1012</v>
      </c>
      <c r="AA349" s="4">
        <v>1028</v>
      </c>
      <c r="AB349" s="4">
        <v>8</v>
      </c>
      <c r="AC349" s="4">
        <v>8</v>
      </c>
      <c r="AD349" s="4">
        <v>30</v>
      </c>
      <c r="AE349" s="4">
        <v>30</v>
      </c>
      <c r="AF349" s="4">
        <v>11</v>
      </c>
      <c r="AG349" s="4">
        <v>11</v>
      </c>
      <c r="AH349" s="4">
        <v>5</v>
      </c>
      <c r="AI349" s="4">
        <v>5</v>
      </c>
      <c r="AJ349" s="4">
        <v>14</v>
      </c>
      <c r="AK349" s="4">
        <v>14</v>
      </c>
      <c r="AL349" s="4">
        <v>7</v>
      </c>
      <c r="AM349" s="4">
        <v>7</v>
      </c>
      <c r="AN349" s="4">
        <v>0</v>
      </c>
      <c r="AO349" s="4">
        <v>0</v>
      </c>
      <c r="AP349" s="3" t="s">
        <v>59</v>
      </c>
      <c r="AQ349" s="3" t="s">
        <v>69</v>
      </c>
      <c r="AR349" s="6" t="str">
        <f>HYPERLINK("http://catalog.hathitrust.org/Record/001500027","HathiTrust Record")</f>
        <v>HathiTrust Record</v>
      </c>
      <c r="AS349" s="6" t="str">
        <f>HYPERLINK("https://creighton-primo.hosted.exlibrisgroup.com/primo-explore/search?tab=default_tab&amp;search_scope=EVERYTHING&amp;vid=01CRU&amp;lang=en_US&amp;offset=0&amp;query=any,contains,991002868469702656","Catalog Record")</f>
        <v>Catalog Record</v>
      </c>
      <c r="AT349" s="6" t="str">
        <f>HYPERLINK("http://www.worldcat.org/oclc/497602","WorldCat Record")</f>
        <v>WorldCat Record</v>
      </c>
      <c r="AU349" s="3" t="s">
        <v>4137</v>
      </c>
      <c r="AV349" s="3" t="s">
        <v>4138</v>
      </c>
      <c r="AW349" s="3" t="s">
        <v>4139</v>
      </c>
      <c r="AX349" s="3" t="s">
        <v>4139</v>
      </c>
      <c r="AY349" s="3" t="s">
        <v>4140</v>
      </c>
      <c r="AZ349" s="3" t="s">
        <v>74</v>
      </c>
      <c r="BC349" s="3" t="s">
        <v>4141</v>
      </c>
      <c r="BD349" s="3" t="s">
        <v>4142</v>
      </c>
    </row>
    <row r="350" spans="1:56" ht="57.75" customHeight="1" x14ac:dyDescent="0.25">
      <c r="A350" s="7" t="s">
        <v>59</v>
      </c>
      <c r="B350" s="2" t="s">
        <v>4143</v>
      </c>
      <c r="C350" s="2" t="s">
        <v>4144</v>
      </c>
      <c r="D350" s="2" t="s">
        <v>4145</v>
      </c>
      <c r="F350" s="3" t="s">
        <v>59</v>
      </c>
      <c r="G350" s="3" t="s">
        <v>60</v>
      </c>
      <c r="H350" s="3" t="s">
        <v>59</v>
      </c>
      <c r="I350" s="3" t="s">
        <v>59</v>
      </c>
      <c r="J350" s="3" t="s">
        <v>61</v>
      </c>
      <c r="K350" s="2" t="s">
        <v>4146</v>
      </c>
      <c r="L350" s="2" t="s">
        <v>4147</v>
      </c>
      <c r="M350" s="3" t="s">
        <v>738</v>
      </c>
      <c r="O350" s="3" t="s">
        <v>64</v>
      </c>
      <c r="P350" s="3" t="s">
        <v>932</v>
      </c>
      <c r="Q350" s="2" t="s">
        <v>4148</v>
      </c>
      <c r="R350" s="3" t="s">
        <v>67</v>
      </c>
      <c r="S350" s="4">
        <v>8</v>
      </c>
      <c r="T350" s="4">
        <v>8</v>
      </c>
      <c r="U350" s="5" t="s">
        <v>4149</v>
      </c>
      <c r="V350" s="5" t="s">
        <v>4149</v>
      </c>
      <c r="W350" s="5" t="s">
        <v>4150</v>
      </c>
      <c r="X350" s="5" t="s">
        <v>4150</v>
      </c>
      <c r="Y350" s="4">
        <v>56</v>
      </c>
      <c r="Z350" s="4">
        <v>51</v>
      </c>
      <c r="AA350" s="4">
        <v>52</v>
      </c>
      <c r="AB350" s="4">
        <v>2</v>
      </c>
      <c r="AC350" s="4">
        <v>2</v>
      </c>
      <c r="AD350" s="4">
        <v>1</v>
      </c>
      <c r="AE350" s="4">
        <v>1</v>
      </c>
      <c r="AF350" s="4">
        <v>0</v>
      </c>
      <c r="AG350" s="4">
        <v>0</v>
      </c>
      <c r="AH350" s="4">
        <v>0</v>
      </c>
      <c r="AI350" s="4">
        <v>0</v>
      </c>
      <c r="AJ350" s="4">
        <v>0</v>
      </c>
      <c r="AK350" s="4">
        <v>0</v>
      </c>
      <c r="AL350" s="4">
        <v>1</v>
      </c>
      <c r="AM350" s="4">
        <v>1</v>
      </c>
      <c r="AN350" s="4">
        <v>0</v>
      </c>
      <c r="AO350" s="4">
        <v>0</v>
      </c>
      <c r="AP350" s="3" t="s">
        <v>59</v>
      </c>
      <c r="AQ350" s="3" t="s">
        <v>69</v>
      </c>
      <c r="AR350" s="6" t="str">
        <f>HYPERLINK("http://catalog.hathitrust.org/Record/009191946","HathiTrust Record")</f>
        <v>HathiTrust Record</v>
      </c>
      <c r="AS350" s="6" t="str">
        <f>HYPERLINK("https://creighton-primo.hosted.exlibrisgroup.com/primo-explore/search?tab=default_tab&amp;search_scope=EVERYTHING&amp;vid=01CRU&amp;lang=en_US&amp;offset=0&amp;query=any,contains,991004025239702656","Catalog Record")</f>
        <v>Catalog Record</v>
      </c>
      <c r="AT350" s="6" t="str">
        <f>HYPERLINK("http://www.worldcat.org/oclc/2135725","WorldCat Record")</f>
        <v>WorldCat Record</v>
      </c>
      <c r="AU350" s="3" t="s">
        <v>4151</v>
      </c>
      <c r="AV350" s="3" t="s">
        <v>4152</v>
      </c>
      <c r="AW350" s="3" t="s">
        <v>4153</v>
      </c>
      <c r="AX350" s="3" t="s">
        <v>4153</v>
      </c>
      <c r="AY350" s="3" t="s">
        <v>4154</v>
      </c>
      <c r="AZ350" s="3" t="s">
        <v>74</v>
      </c>
      <c r="BC350" s="3" t="s">
        <v>4155</v>
      </c>
      <c r="BD350" s="3" t="s">
        <v>4156</v>
      </c>
    </row>
    <row r="351" spans="1:56" ht="57.75" customHeight="1" x14ac:dyDescent="0.25">
      <c r="A351" s="7" t="s">
        <v>59</v>
      </c>
      <c r="B351" s="2" t="s">
        <v>4157</v>
      </c>
      <c r="C351" s="2" t="s">
        <v>4158</v>
      </c>
      <c r="D351" s="2" t="s">
        <v>4159</v>
      </c>
      <c r="F351" s="3" t="s">
        <v>59</v>
      </c>
      <c r="G351" s="3" t="s">
        <v>60</v>
      </c>
      <c r="H351" s="3" t="s">
        <v>59</v>
      </c>
      <c r="I351" s="3" t="s">
        <v>59</v>
      </c>
      <c r="J351" s="3" t="s">
        <v>61</v>
      </c>
      <c r="K351" s="2" t="s">
        <v>4160</v>
      </c>
      <c r="L351" s="2" t="s">
        <v>4161</v>
      </c>
      <c r="M351" s="3" t="s">
        <v>2510</v>
      </c>
      <c r="O351" s="3" t="s">
        <v>64</v>
      </c>
      <c r="P351" s="3" t="s">
        <v>65</v>
      </c>
      <c r="R351" s="3" t="s">
        <v>67</v>
      </c>
      <c r="S351" s="4">
        <v>5</v>
      </c>
      <c r="T351" s="4">
        <v>5</v>
      </c>
      <c r="U351" s="5" t="s">
        <v>4072</v>
      </c>
      <c r="V351" s="5" t="s">
        <v>4072</v>
      </c>
      <c r="W351" s="5" t="s">
        <v>4162</v>
      </c>
      <c r="X351" s="5" t="s">
        <v>4162</v>
      </c>
      <c r="Y351" s="4">
        <v>42</v>
      </c>
      <c r="Z351" s="4">
        <v>37</v>
      </c>
      <c r="AA351" s="4">
        <v>38</v>
      </c>
      <c r="AB351" s="4">
        <v>2</v>
      </c>
      <c r="AC351" s="4">
        <v>2</v>
      </c>
      <c r="AD351" s="4">
        <v>2</v>
      </c>
      <c r="AE351" s="4">
        <v>2</v>
      </c>
      <c r="AF351" s="4">
        <v>0</v>
      </c>
      <c r="AG351" s="4">
        <v>0</v>
      </c>
      <c r="AH351" s="4">
        <v>1</v>
      </c>
      <c r="AI351" s="4">
        <v>1</v>
      </c>
      <c r="AJ351" s="4">
        <v>1</v>
      </c>
      <c r="AK351" s="4">
        <v>1</v>
      </c>
      <c r="AL351" s="4">
        <v>1</v>
      </c>
      <c r="AM351" s="4">
        <v>1</v>
      </c>
      <c r="AN351" s="4">
        <v>0</v>
      </c>
      <c r="AO351" s="4">
        <v>0</v>
      </c>
      <c r="AP351" s="3" t="s">
        <v>59</v>
      </c>
      <c r="AQ351" s="3" t="s">
        <v>69</v>
      </c>
      <c r="AR351" s="6" t="str">
        <f>HYPERLINK("http://catalog.hathitrust.org/Record/009191742","HathiTrust Record")</f>
        <v>HathiTrust Record</v>
      </c>
      <c r="AS351" s="6" t="str">
        <f>HYPERLINK("https://creighton-primo.hosted.exlibrisgroup.com/primo-explore/search?tab=default_tab&amp;search_scope=EVERYTHING&amp;vid=01CRU&amp;lang=en_US&amp;offset=0&amp;query=any,contains,991003260449702656","Catalog Record")</f>
        <v>Catalog Record</v>
      </c>
      <c r="AT351" s="6" t="str">
        <f>HYPERLINK("http://www.worldcat.org/oclc/28447968","WorldCat Record")</f>
        <v>WorldCat Record</v>
      </c>
      <c r="AU351" s="3" t="s">
        <v>4163</v>
      </c>
      <c r="AV351" s="3" t="s">
        <v>4164</v>
      </c>
      <c r="AW351" s="3" t="s">
        <v>4165</v>
      </c>
      <c r="AX351" s="3" t="s">
        <v>4165</v>
      </c>
      <c r="AY351" s="3" t="s">
        <v>4166</v>
      </c>
      <c r="AZ351" s="3" t="s">
        <v>74</v>
      </c>
      <c r="BB351" s="3" t="s">
        <v>4167</v>
      </c>
      <c r="BC351" s="3" t="s">
        <v>4168</v>
      </c>
      <c r="BD351" s="3" t="s">
        <v>4169</v>
      </c>
    </row>
    <row r="352" spans="1:56" ht="57.75" customHeight="1" x14ac:dyDescent="0.25">
      <c r="A352" s="7" t="s">
        <v>59</v>
      </c>
      <c r="B352" s="2" t="s">
        <v>4170</v>
      </c>
      <c r="C352" s="2" t="s">
        <v>4171</v>
      </c>
      <c r="D352" s="2" t="s">
        <v>4172</v>
      </c>
      <c r="F352" s="3" t="s">
        <v>59</v>
      </c>
      <c r="G352" s="3" t="s">
        <v>60</v>
      </c>
      <c r="H352" s="3" t="s">
        <v>59</v>
      </c>
      <c r="I352" s="3" t="s">
        <v>59</v>
      </c>
      <c r="J352" s="3" t="s">
        <v>61</v>
      </c>
      <c r="K352" s="2" t="s">
        <v>4173</v>
      </c>
      <c r="L352" s="2" t="s">
        <v>4174</v>
      </c>
      <c r="M352" s="3" t="s">
        <v>4175</v>
      </c>
      <c r="O352" s="3" t="s">
        <v>64</v>
      </c>
      <c r="P352" s="3" t="s">
        <v>467</v>
      </c>
      <c r="R352" s="3" t="s">
        <v>67</v>
      </c>
      <c r="S352" s="4">
        <v>2</v>
      </c>
      <c r="T352" s="4">
        <v>2</v>
      </c>
      <c r="U352" s="5" t="s">
        <v>3009</v>
      </c>
      <c r="V352" s="5" t="s">
        <v>3009</v>
      </c>
      <c r="W352" s="5" t="s">
        <v>2452</v>
      </c>
      <c r="X352" s="5" t="s">
        <v>2452</v>
      </c>
      <c r="Y352" s="4">
        <v>105</v>
      </c>
      <c r="Z352" s="4">
        <v>99</v>
      </c>
      <c r="AA352" s="4">
        <v>201</v>
      </c>
      <c r="AB352" s="4">
        <v>1</v>
      </c>
      <c r="AC352" s="4">
        <v>1</v>
      </c>
      <c r="AD352" s="4">
        <v>2</v>
      </c>
      <c r="AE352" s="4">
        <v>3</v>
      </c>
      <c r="AF352" s="4">
        <v>0</v>
      </c>
      <c r="AG352" s="4">
        <v>1</v>
      </c>
      <c r="AH352" s="4">
        <v>1</v>
      </c>
      <c r="AI352" s="4">
        <v>1</v>
      </c>
      <c r="AJ352" s="4">
        <v>1</v>
      </c>
      <c r="AK352" s="4">
        <v>1</v>
      </c>
      <c r="AL352" s="4">
        <v>0</v>
      </c>
      <c r="AM352" s="4">
        <v>0</v>
      </c>
      <c r="AN352" s="4">
        <v>0</v>
      </c>
      <c r="AO352" s="4">
        <v>0</v>
      </c>
      <c r="AP352" s="3" t="s">
        <v>59</v>
      </c>
      <c r="AQ352" s="3" t="s">
        <v>59</v>
      </c>
      <c r="AS352" s="6" t="str">
        <f>HYPERLINK("https://creighton-primo.hosted.exlibrisgroup.com/primo-explore/search?tab=default_tab&amp;search_scope=EVERYTHING&amp;vid=01CRU&amp;lang=en_US&amp;offset=0&amp;query=any,contains,991003841349702656","Catalog Record")</f>
        <v>Catalog Record</v>
      </c>
      <c r="AT352" s="6" t="str">
        <f>HYPERLINK("http://www.worldcat.org/oclc/1618205","WorldCat Record")</f>
        <v>WorldCat Record</v>
      </c>
      <c r="AU352" s="3" t="s">
        <v>4176</v>
      </c>
      <c r="AV352" s="3" t="s">
        <v>4177</v>
      </c>
      <c r="AW352" s="3" t="s">
        <v>4178</v>
      </c>
      <c r="AX352" s="3" t="s">
        <v>4178</v>
      </c>
      <c r="AY352" s="3" t="s">
        <v>4179</v>
      </c>
      <c r="AZ352" s="3" t="s">
        <v>74</v>
      </c>
      <c r="BC352" s="3" t="s">
        <v>4180</v>
      </c>
      <c r="BD352" s="3" t="s">
        <v>4181</v>
      </c>
    </row>
    <row r="353" spans="1:56" ht="57.75" customHeight="1" x14ac:dyDescent="0.25">
      <c r="A353" s="7" t="s">
        <v>59</v>
      </c>
      <c r="B353" s="2" t="s">
        <v>4182</v>
      </c>
      <c r="C353" s="2" t="s">
        <v>4183</v>
      </c>
      <c r="D353" s="2" t="s">
        <v>4184</v>
      </c>
      <c r="F353" s="3" t="s">
        <v>59</v>
      </c>
      <c r="G353" s="3" t="s">
        <v>60</v>
      </c>
      <c r="H353" s="3" t="s">
        <v>59</v>
      </c>
      <c r="I353" s="3" t="s">
        <v>59</v>
      </c>
      <c r="J353" s="3" t="s">
        <v>61</v>
      </c>
      <c r="L353" s="2" t="s">
        <v>4185</v>
      </c>
      <c r="M353" s="3" t="s">
        <v>511</v>
      </c>
      <c r="N353" s="2" t="s">
        <v>556</v>
      </c>
      <c r="O353" s="3" t="s">
        <v>64</v>
      </c>
      <c r="P353" s="3" t="s">
        <v>405</v>
      </c>
      <c r="R353" s="3" t="s">
        <v>67</v>
      </c>
      <c r="S353" s="4">
        <v>4</v>
      </c>
      <c r="T353" s="4">
        <v>4</v>
      </c>
      <c r="U353" s="5" t="s">
        <v>4186</v>
      </c>
      <c r="V353" s="5" t="s">
        <v>4186</v>
      </c>
      <c r="W353" s="5" t="s">
        <v>4187</v>
      </c>
      <c r="X353" s="5" t="s">
        <v>4187</v>
      </c>
      <c r="Y353" s="4">
        <v>216</v>
      </c>
      <c r="Z353" s="4">
        <v>127</v>
      </c>
      <c r="AA353" s="4">
        <v>146</v>
      </c>
      <c r="AB353" s="4">
        <v>2</v>
      </c>
      <c r="AC353" s="4">
        <v>2</v>
      </c>
      <c r="AD353" s="4">
        <v>5</v>
      </c>
      <c r="AE353" s="4">
        <v>6</v>
      </c>
      <c r="AF353" s="4">
        <v>0</v>
      </c>
      <c r="AG353" s="4">
        <v>1</v>
      </c>
      <c r="AH353" s="4">
        <v>2</v>
      </c>
      <c r="AI353" s="4">
        <v>2</v>
      </c>
      <c r="AJ353" s="4">
        <v>3</v>
      </c>
      <c r="AK353" s="4">
        <v>4</v>
      </c>
      <c r="AL353" s="4">
        <v>1</v>
      </c>
      <c r="AM353" s="4">
        <v>1</v>
      </c>
      <c r="AN353" s="4">
        <v>0</v>
      </c>
      <c r="AO353" s="4">
        <v>0</v>
      </c>
      <c r="AP353" s="3" t="s">
        <v>59</v>
      </c>
      <c r="AQ353" s="3" t="s">
        <v>59</v>
      </c>
      <c r="AS353" s="6" t="str">
        <f>HYPERLINK("https://creighton-primo.hosted.exlibrisgroup.com/primo-explore/search?tab=default_tab&amp;search_scope=EVERYTHING&amp;vid=01CRU&amp;lang=en_US&amp;offset=0&amp;query=any,contains,991002428299702656","Catalog Record")</f>
        <v>Catalog Record</v>
      </c>
      <c r="AT353" s="6" t="str">
        <f>HYPERLINK("http://www.worldcat.org/oclc/31648820","WorldCat Record")</f>
        <v>WorldCat Record</v>
      </c>
      <c r="AU353" s="3" t="s">
        <v>4188</v>
      </c>
      <c r="AV353" s="3" t="s">
        <v>4189</v>
      </c>
      <c r="AW353" s="3" t="s">
        <v>4190</v>
      </c>
      <c r="AX353" s="3" t="s">
        <v>4190</v>
      </c>
      <c r="AY353" s="3" t="s">
        <v>4191</v>
      </c>
      <c r="AZ353" s="3" t="s">
        <v>74</v>
      </c>
      <c r="BB353" s="3" t="s">
        <v>4192</v>
      </c>
      <c r="BC353" s="3" t="s">
        <v>4193</v>
      </c>
      <c r="BD353" s="3" t="s">
        <v>4194</v>
      </c>
    </row>
    <row r="354" spans="1:56" ht="57.75" customHeight="1" x14ac:dyDescent="0.25">
      <c r="A354" s="7" t="s">
        <v>59</v>
      </c>
      <c r="B354" s="2" t="s">
        <v>4195</v>
      </c>
      <c r="C354" s="2" t="s">
        <v>4196</v>
      </c>
      <c r="D354" s="2" t="s">
        <v>4197</v>
      </c>
      <c r="F354" s="3" t="s">
        <v>59</v>
      </c>
      <c r="G354" s="3" t="s">
        <v>60</v>
      </c>
      <c r="H354" s="3" t="s">
        <v>59</v>
      </c>
      <c r="I354" s="3" t="s">
        <v>59</v>
      </c>
      <c r="J354" s="3" t="s">
        <v>61</v>
      </c>
      <c r="L354" s="2" t="s">
        <v>4198</v>
      </c>
      <c r="M354" s="3" t="s">
        <v>540</v>
      </c>
      <c r="O354" s="3" t="s">
        <v>64</v>
      </c>
      <c r="P354" s="3" t="s">
        <v>405</v>
      </c>
      <c r="Q354" s="2" t="s">
        <v>4199</v>
      </c>
      <c r="R354" s="3" t="s">
        <v>67</v>
      </c>
      <c r="S354" s="4">
        <v>2</v>
      </c>
      <c r="T354" s="4">
        <v>2</v>
      </c>
      <c r="U354" s="5" t="s">
        <v>2061</v>
      </c>
      <c r="V354" s="5" t="s">
        <v>2061</v>
      </c>
      <c r="W354" s="5" t="s">
        <v>3416</v>
      </c>
      <c r="X354" s="5" t="s">
        <v>3416</v>
      </c>
      <c r="Y354" s="4">
        <v>234</v>
      </c>
      <c r="Z354" s="4">
        <v>150</v>
      </c>
      <c r="AA354" s="4">
        <v>157</v>
      </c>
      <c r="AB354" s="4">
        <v>2</v>
      </c>
      <c r="AC354" s="4">
        <v>2</v>
      </c>
      <c r="AD354" s="4">
        <v>4</v>
      </c>
      <c r="AE354" s="4">
        <v>4</v>
      </c>
      <c r="AF354" s="4">
        <v>0</v>
      </c>
      <c r="AG354" s="4">
        <v>0</v>
      </c>
      <c r="AH354" s="4">
        <v>2</v>
      </c>
      <c r="AI354" s="4">
        <v>2</v>
      </c>
      <c r="AJ354" s="4">
        <v>2</v>
      </c>
      <c r="AK354" s="4">
        <v>2</v>
      </c>
      <c r="AL354" s="4">
        <v>1</v>
      </c>
      <c r="AM354" s="4">
        <v>1</v>
      </c>
      <c r="AN354" s="4">
        <v>0</v>
      </c>
      <c r="AO354" s="4">
        <v>0</v>
      </c>
      <c r="AP354" s="3" t="s">
        <v>59</v>
      </c>
      <c r="AQ354" s="3" t="s">
        <v>69</v>
      </c>
      <c r="AR354" s="6" t="str">
        <f>HYPERLINK("http://catalog.hathitrust.org/Record/000103590","HathiTrust Record")</f>
        <v>HathiTrust Record</v>
      </c>
      <c r="AS354" s="6" t="str">
        <f>HYPERLINK("https://creighton-primo.hosted.exlibrisgroup.com/primo-explore/search?tab=default_tab&amp;search_scope=EVERYTHING&amp;vid=01CRU&amp;lang=en_US&amp;offset=0&amp;query=any,contains,991005242689702656","Catalog Record")</f>
        <v>Catalog Record</v>
      </c>
      <c r="AT354" s="6" t="str">
        <f>HYPERLINK("http://www.worldcat.org/oclc/8431240","WorldCat Record")</f>
        <v>WorldCat Record</v>
      </c>
      <c r="AU354" s="3" t="s">
        <v>4200</v>
      </c>
      <c r="AV354" s="3" t="s">
        <v>4201</v>
      </c>
      <c r="AW354" s="3" t="s">
        <v>4202</v>
      </c>
      <c r="AX354" s="3" t="s">
        <v>4202</v>
      </c>
      <c r="AY354" s="3" t="s">
        <v>4203</v>
      </c>
      <c r="AZ354" s="3" t="s">
        <v>74</v>
      </c>
      <c r="BB354" s="3" t="s">
        <v>4204</v>
      </c>
      <c r="BC354" s="3" t="s">
        <v>4205</v>
      </c>
      <c r="BD354" s="3" t="s">
        <v>4206</v>
      </c>
    </row>
    <row r="355" spans="1:56" ht="57.75" customHeight="1" x14ac:dyDescent="0.25">
      <c r="A355" s="7" t="s">
        <v>59</v>
      </c>
      <c r="B355" s="2" t="s">
        <v>4207</v>
      </c>
      <c r="C355" s="2" t="s">
        <v>4208</v>
      </c>
      <c r="D355" s="2" t="s">
        <v>4209</v>
      </c>
      <c r="F355" s="3" t="s">
        <v>59</v>
      </c>
      <c r="G355" s="3" t="s">
        <v>60</v>
      </c>
      <c r="H355" s="3" t="s">
        <v>59</v>
      </c>
      <c r="I355" s="3" t="s">
        <v>59</v>
      </c>
      <c r="J355" s="3" t="s">
        <v>61</v>
      </c>
      <c r="L355" s="2" t="s">
        <v>4210</v>
      </c>
      <c r="M355" s="3" t="s">
        <v>436</v>
      </c>
      <c r="O355" s="3" t="s">
        <v>64</v>
      </c>
      <c r="P355" s="3" t="s">
        <v>467</v>
      </c>
      <c r="Q355" s="2" t="s">
        <v>3735</v>
      </c>
      <c r="R355" s="3" t="s">
        <v>67</v>
      </c>
      <c r="S355" s="4">
        <v>5</v>
      </c>
      <c r="T355" s="4">
        <v>5</v>
      </c>
      <c r="U355" s="5" t="s">
        <v>4072</v>
      </c>
      <c r="V355" s="5" t="s">
        <v>4072</v>
      </c>
      <c r="W355" s="5" t="s">
        <v>3416</v>
      </c>
      <c r="X355" s="5" t="s">
        <v>3416</v>
      </c>
      <c r="Y355" s="4">
        <v>387</v>
      </c>
      <c r="Z355" s="4">
        <v>286</v>
      </c>
      <c r="AA355" s="4">
        <v>307</v>
      </c>
      <c r="AB355" s="4">
        <v>4</v>
      </c>
      <c r="AC355" s="4">
        <v>4</v>
      </c>
      <c r="AD355" s="4">
        <v>10</v>
      </c>
      <c r="AE355" s="4">
        <v>12</v>
      </c>
      <c r="AF355" s="4">
        <v>2</v>
      </c>
      <c r="AG355" s="4">
        <v>4</v>
      </c>
      <c r="AH355" s="4">
        <v>3</v>
      </c>
      <c r="AI355" s="4">
        <v>4</v>
      </c>
      <c r="AJ355" s="4">
        <v>4</v>
      </c>
      <c r="AK355" s="4">
        <v>5</v>
      </c>
      <c r="AL355" s="4">
        <v>3</v>
      </c>
      <c r="AM355" s="4">
        <v>3</v>
      </c>
      <c r="AN355" s="4">
        <v>0</v>
      </c>
      <c r="AO355" s="4">
        <v>0</v>
      </c>
      <c r="AP355" s="3" t="s">
        <v>59</v>
      </c>
      <c r="AQ355" s="3" t="s">
        <v>69</v>
      </c>
      <c r="AR355" s="6" t="str">
        <f>HYPERLINK("http://catalog.hathitrust.org/Record/000690337","HathiTrust Record")</f>
        <v>HathiTrust Record</v>
      </c>
      <c r="AS355" s="6" t="str">
        <f>HYPERLINK("https://creighton-primo.hosted.exlibrisgroup.com/primo-explore/search?tab=default_tab&amp;search_scope=EVERYTHING&amp;vid=01CRU&amp;lang=en_US&amp;offset=0&amp;query=any,contains,991004438259702656","Catalog Record")</f>
        <v>Catalog Record</v>
      </c>
      <c r="AT355" s="6" t="str">
        <f>HYPERLINK("http://www.worldcat.org/oclc/3447405","WorldCat Record")</f>
        <v>WorldCat Record</v>
      </c>
      <c r="AU355" s="3" t="s">
        <v>4211</v>
      </c>
      <c r="AV355" s="3" t="s">
        <v>4212</v>
      </c>
      <c r="AW355" s="3" t="s">
        <v>4213</v>
      </c>
      <c r="AX355" s="3" t="s">
        <v>4213</v>
      </c>
      <c r="AY355" s="3" t="s">
        <v>4214</v>
      </c>
      <c r="AZ355" s="3" t="s">
        <v>74</v>
      </c>
      <c r="BB355" s="3" t="s">
        <v>4215</v>
      </c>
      <c r="BC355" s="3" t="s">
        <v>4216</v>
      </c>
      <c r="BD355" s="3" t="s">
        <v>4217</v>
      </c>
    </row>
    <row r="356" spans="1:56" ht="57.75" customHeight="1" x14ac:dyDescent="0.25">
      <c r="A356" s="7" t="s">
        <v>59</v>
      </c>
      <c r="B356" s="2" t="s">
        <v>4218</v>
      </c>
      <c r="C356" s="2" t="s">
        <v>4219</v>
      </c>
      <c r="D356" s="2" t="s">
        <v>4220</v>
      </c>
      <c r="F356" s="3" t="s">
        <v>59</v>
      </c>
      <c r="G356" s="3" t="s">
        <v>60</v>
      </c>
      <c r="H356" s="3" t="s">
        <v>59</v>
      </c>
      <c r="I356" s="3" t="s">
        <v>59</v>
      </c>
      <c r="J356" s="3" t="s">
        <v>61</v>
      </c>
      <c r="K356" s="2" t="s">
        <v>4221</v>
      </c>
      <c r="L356" s="2" t="s">
        <v>4222</v>
      </c>
      <c r="M356" s="3" t="s">
        <v>540</v>
      </c>
      <c r="O356" s="3" t="s">
        <v>64</v>
      </c>
      <c r="P356" s="3" t="s">
        <v>405</v>
      </c>
      <c r="R356" s="3" t="s">
        <v>67</v>
      </c>
      <c r="S356" s="4">
        <v>2</v>
      </c>
      <c r="T356" s="4">
        <v>2</v>
      </c>
      <c r="U356" s="5" t="s">
        <v>2392</v>
      </c>
      <c r="V356" s="5" t="s">
        <v>2392</v>
      </c>
      <c r="W356" s="5" t="s">
        <v>3416</v>
      </c>
      <c r="X356" s="5" t="s">
        <v>3416</v>
      </c>
      <c r="Y356" s="4">
        <v>351</v>
      </c>
      <c r="Z356" s="4">
        <v>232</v>
      </c>
      <c r="AA356" s="4">
        <v>233</v>
      </c>
      <c r="AB356" s="4">
        <v>3</v>
      </c>
      <c r="AC356" s="4">
        <v>3</v>
      </c>
      <c r="AD356" s="4">
        <v>6</v>
      </c>
      <c r="AE356" s="4">
        <v>6</v>
      </c>
      <c r="AF356" s="4">
        <v>1</v>
      </c>
      <c r="AG356" s="4">
        <v>1</v>
      </c>
      <c r="AH356" s="4">
        <v>2</v>
      </c>
      <c r="AI356" s="4">
        <v>2</v>
      </c>
      <c r="AJ356" s="4">
        <v>3</v>
      </c>
      <c r="AK356" s="4">
        <v>3</v>
      </c>
      <c r="AL356" s="4">
        <v>2</v>
      </c>
      <c r="AM356" s="4">
        <v>2</v>
      </c>
      <c r="AN356" s="4">
        <v>0</v>
      </c>
      <c r="AO356" s="4">
        <v>0</v>
      </c>
      <c r="AP356" s="3" t="s">
        <v>59</v>
      </c>
      <c r="AQ356" s="3" t="s">
        <v>69</v>
      </c>
      <c r="AR356" s="6" t="str">
        <f>HYPERLINK("http://catalog.hathitrust.org/Record/000267644","HathiTrust Record")</f>
        <v>HathiTrust Record</v>
      </c>
      <c r="AS356" s="6" t="str">
        <f>HYPERLINK("https://creighton-primo.hosted.exlibrisgroup.com/primo-explore/search?tab=default_tab&amp;search_scope=EVERYTHING&amp;vid=01CRU&amp;lang=en_US&amp;offset=0&amp;query=any,contains,991005032459702656","Catalog Record")</f>
        <v>Catalog Record</v>
      </c>
      <c r="AT356" s="6" t="str">
        <f>HYPERLINK("http://www.worldcat.org/oclc/6734613","WorldCat Record")</f>
        <v>WorldCat Record</v>
      </c>
      <c r="AU356" s="3" t="s">
        <v>4223</v>
      </c>
      <c r="AV356" s="3" t="s">
        <v>4224</v>
      </c>
      <c r="AW356" s="3" t="s">
        <v>4225</v>
      </c>
      <c r="AX356" s="3" t="s">
        <v>4225</v>
      </c>
      <c r="AY356" s="3" t="s">
        <v>4226</v>
      </c>
      <c r="AZ356" s="3" t="s">
        <v>74</v>
      </c>
      <c r="BB356" s="3" t="s">
        <v>4227</v>
      </c>
      <c r="BC356" s="3" t="s">
        <v>4228</v>
      </c>
      <c r="BD356" s="3" t="s">
        <v>4229</v>
      </c>
    </row>
    <row r="357" spans="1:56" ht="57.75" customHeight="1" x14ac:dyDescent="0.25">
      <c r="A357" s="7" t="s">
        <v>59</v>
      </c>
      <c r="B357" s="2" t="s">
        <v>4230</v>
      </c>
      <c r="C357" s="2" t="s">
        <v>4231</v>
      </c>
      <c r="D357" s="2" t="s">
        <v>4232</v>
      </c>
      <c r="F357" s="3" t="s">
        <v>59</v>
      </c>
      <c r="G357" s="3" t="s">
        <v>60</v>
      </c>
      <c r="H357" s="3" t="s">
        <v>59</v>
      </c>
      <c r="I357" s="3" t="s">
        <v>59</v>
      </c>
      <c r="J357" s="3" t="s">
        <v>61</v>
      </c>
      <c r="K357" s="2" t="s">
        <v>4233</v>
      </c>
      <c r="L357" s="2" t="s">
        <v>4234</v>
      </c>
      <c r="M357" s="3" t="s">
        <v>2510</v>
      </c>
      <c r="N357" s="2" t="s">
        <v>877</v>
      </c>
      <c r="O357" s="3" t="s">
        <v>64</v>
      </c>
      <c r="P357" s="3" t="s">
        <v>2362</v>
      </c>
      <c r="Q357" s="2" t="s">
        <v>4235</v>
      </c>
      <c r="R357" s="3" t="s">
        <v>67</v>
      </c>
      <c r="S357" s="4">
        <v>5</v>
      </c>
      <c r="T357" s="4">
        <v>5</v>
      </c>
      <c r="U357" s="5" t="s">
        <v>4236</v>
      </c>
      <c r="V357" s="5" t="s">
        <v>4236</v>
      </c>
      <c r="W357" s="5" t="s">
        <v>4237</v>
      </c>
      <c r="X357" s="5" t="s">
        <v>4237</v>
      </c>
      <c r="Y357" s="4">
        <v>296</v>
      </c>
      <c r="Z357" s="4">
        <v>238</v>
      </c>
      <c r="AA357" s="4">
        <v>377</v>
      </c>
      <c r="AB357" s="4">
        <v>3</v>
      </c>
      <c r="AC357" s="4">
        <v>4</v>
      </c>
      <c r="AD357" s="4">
        <v>9</v>
      </c>
      <c r="AE357" s="4">
        <v>14</v>
      </c>
      <c r="AF357" s="4">
        <v>3</v>
      </c>
      <c r="AG357" s="4">
        <v>7</v>
      </c>
      <c r="AH357" s="4">
        <v>1</v>
      </c>
      <c r="AI357" s="4">
        <v>1</v>
      </c>
      <c r="AJ357" s="4">
        <v>5</v>
      </c>
      <c r="AK357" s="4">
        <v>7</v>
      </c>
      <c r="AL357" s="4">
        <v>2</v>
      </c>
      <c r="AM357" s="4">
        <v>3</v>
      </c>
      <c r="AN357" s="4">
        <v>0</v>
      </c>
      <c r="AO357" s="4">
        <v>0</v>
      </c>
      <c r="AP357" s="3" t="s">
        <v>59</v>
      </c>
      <c r="AQ357" s="3" t="s">
        <v>59</v>
      </c>
      <c r="AS357" s="6" t="str">
        <f>HYPERLINK("https://creighton-primo.hosted.exlibrisgroup.com/primo-explore/search?tab=default_tab&amp;search_scope=EVERYTHING&amp;vid=01CRU&amp;lang=en_US&amp;offset=0&amp;query=any,contains,991002041739702656","Catalog Record")</f>
        <v>Catalog Record</v>
      </c>
      <c r="AT357" s="6" t="str">
        <f>HYPERLINK("http://www.worldcat.org/oclc/26054512","WorldCat Record")</f>
        <v>WorldCat Record</v>
      </c>
      <c r="AU357" s="3" t="s">
        <v>4238</v>
      </c>
      <c r="AV357" s="3" t="s">
        <v>4239</v>
      </c>
      <c r="AW357" s="3" t="s">
        <v>4240</v>
      </c>
      <c r="AX357" s="3" t="s">
        <v>4240</v>
      </c>
      <c r="AY357" s="3" t="s">
        <v>4241</v>
      </c>
      <c r="AZ357" s="3" t="s">
        <v>74</v>
      </c>
      <c r="BB357" s="3" t="s">
        <v>4242</v>
      </c>
      <c r="BC357" s="3" t="s">
        <v>4243</v>
      </c>
      <c r="BD357" s="3" t="s">
        <v>4244</v>
      </c>
    </row>
    <row r="358" spans="1:56" ht="57.75" customHeight="1" x14ac:dyDescent="0.25">
      <c r="A358" s="7" t="s">
        <v>59</v>
      </c>
      <c r="B358" s="2" t="s">
        <v>4245</v>
      </c>
      <c r="C358" s="2" t="s">
        <v>4246</v>
      </c>
      <c r="D358" s="2" t="s">
        <v>4247</v>
      </c>
      <c r="F358" s="3" t="s">
        <v>59</v>
      </c>
      <c r="G358" s="3" t="s">
        <v>60</v>
      </c>
      <c r="H358" s="3" t="s">
        <v>59</v>
      </c>
      <c r="I358" s="3" t="s">
        <v>59</v>
      </c>
      <c r="J358" s="3" t="s">
        <v>61</v>
      </c>
      <c r="K358" s="2" t="s">
        <v>4248</v>
      </c>
      <c r="L358" s="2" t="s">
        <v>4249</v>
      </c>
      <c r="M358" s="3" t="s">
        <v>313</v>
      </c>
      <c r="O358" s="3" t="s">
        <v>64</v>
      </c>
      <c r="P358" s="3" t="s">
        <v>1268</v>
      </c>
      <c r="Q358" s="2" t="s">
        <v>4250</v>
      </c>
      <c r="R358" s="3" t="s">
        <v>67</v>
      </c>
      <c r="S358" s="4">
        <v>5</v>
      </c>
      <c r="T358" s="4">
        <v>5</v>
      </c>
      <c r="U358" s="5" t="s">
        <v>4251</v>
      </c>
      <c r="V358" s="5" t="s">
        <v>4251</v>
      </c>
      <c r="W358" s="5" t="s">
        <v>4252</v>
      </c>
      <c r="X358" s="5" t="s">
        <v>4252</v>
      </c>
      <c r="Y358" s="4">
        <v>395</v>
      </c>
      <c r="Z358" s="4">
        <v>310</v>
      </c>
      <c r="AA358" s="4">
        <v>489</v>
      </c>
      <c r="AB358" s="4">
        <v>2</v>
      </c>
      <c r="AC358" s="4">
        <v>2</v>
      </c>
      <c r="AD358" s="4">
        <v>15</v>
      </c>
      <c r="AE358" s="4">
        <v>27</v>
      </c>
      <c r="AF358" s="4">
        <v>5</v>
      </c>
      <c r="AG358" s="4">
        <v>12</v>
      </c>
      <c r="AH358" s="4">
        <v>4</v>
      </c>
      <c r="AI358" s="4">
        <v>7</v>
      </c>
      <c r="AJ358" s="4">
        <v>10</v>
      </c>
      <c r="AK358" s="4">
        <v>16</v>
      </c>
      <c r="AL358" s="4">
        <v>1</v>
      </c>
      <c r="AM358" s="4">
        <v>1</v>
      </c>
      <c r="AN358" s="4">
        <v>0</v>
      </c>
      <c r="AO358" s="4">
        <v>0</v>
      </c>
      <c r="AP358" s="3" t="s">
        <v>59</v>
      </c>
      <c r="AQ358" s="3" t="s">
        <v>59</v>
      </c>
      <c r="AS358" s="6" t="str">
        <f>HYPERLINK("https://creighton-primo.hosted.exlibrisgroup.com/primo-explore/search?tab=default_tab&amp;search_scope=EVERYTHING&amp;vid=01CRU&amp;lang=en_US&amp;offset=0&amp;query=any,contains,991003671169702656","Catalog Record")</f>
        <v>Catalog Record</v>
      </c>
      <c r="AT358" s="6" t="str">
        <f>HYPERLINK("http://www.worldcat.org/oclc/45804827","WorldCat Record")</f>
        <v>WorldCat Record</v>
      </c>
      <c r="AU358" s="3" t="s">
        <v>4253</v>
      </c>
      <c r="AV358" s="3" t="s">
        <v>4254</v>
      </c>
      <c r="AW358" s="3" t="s">
        <v>4255</v>
      </c>
      <c r="AX358" s="3" t="s">
        <v>4255</v>
      </c>
      <c r="AY358" s="3" t="s">
        <v>4256</v>
      </c>
      <c r="AZ358" s="3" t="s">
        <v>74</v>
      </c>
      <c r="BB358" s="3" t="s">
        <v>4257</v>
      </c>
      <c r="BC358" s="3" t="s">
        <v>4258</v>
      </c>
      <c r="BD358" s="3" t="s">
        <v>4259</v>
      </c>
    </row>
    <row r="359" spans="1:56" ht="57.75" customHeight="1" x14ac:dyDescent="0.25">
      <c r="A359" s="7" t="s">
        <v>59</v>
      </c>
      <c r="B359" s="2" t="s">
        <v>4260</v>
      </c>
      <c r="C359" s="2" t="s">
        <v>4261</v>
      </c>
      <c r="D359" s="2" t="s">
        <v>4262</v>
      </c>
      <c r="F359" s="3" t="s">
        <v>59</v>
      </c>
      <c r="G359" s="3" t="s">
        <v>60</v>
      </c>
      <c r="H359" s="3" t="s">
        <v>59</v>
      </c>
      <c r="I359" s="3" t="s">
        <v>59</v>
      </c>
      <c r="J359" s="3" t="s">
        <v>61</v>
      </c>
      <c r="K359" s="2" t="s">
        <v>4263</v>
      </c>
      <c r="L359" s="2" t="s">
        <v>4264</v>
      </c>
      <c r="M359" s="3" t="s">
        <v>4265</v>
      </c>
      <c r="N359" s="2" t="s">
        <v>4266</v>
      </c>
      <c r="O359" s="3" t="s">
        <v>64</v>
      </c>
      <c r="P359" s="3" t="s">
        <v>932</v>
      </c>
      <c r="R359" s="3" t="s">
        <v>67</v>
      </c>
      <c r="S359" s="4">
        <v>2</v>
      </c>
      <c r="T359" s="4">
        <v>2</v>
      </c>
      <c r="U359" s="5" t="s">
        <v>4267</v>
      </c>
      <c r="V359" s="5" t="s">
        <v>4267</v>
      </c>
      <c r="W359" s="5" t="s">
        <v>1446</v>
      </c>
      <c r="X359" s="5" t="s">
        <v>1446</v>
      </c>
      <c r="Y359" s="4">
        <v>92</v>
      </c>
      <c r="Z359" s="4">
        <v>79</v>
      </c>
      <c r="AA359" s="4">
        <v>248</v>
      </c>
      <c r="AB359" s="4">
        <v>1</v>
      </c>
      <c r="AC359" s="4">
        <v>3</v>
      </c>
      <c r="AD359" s="4">
        <v>3</v>
      </c>
      <c r="AE359" s="4">
        <v>10</v>
      </c>
      <c r="AF359" s="4">
        <v>2</v>
      </c>
      <c r="AG359" s="4">
        <v>3</v>
      </c>
      <c r="AH359" s="4">
        <v>0</v>
      </c>
      <c r="AI359" s="4">
        <v>1</v>
      </c>
      <c r="AJ359" s="4">
        <v>2</v>
      </c>
      <c r="AK359" s="4">
        <v>6</v>
      </c>
      <c r="AL359" s="4">
        <v>0</v>
      </c>
      <c r="AM359" s="4">
        <v>2</v>
      </c>
      <c r="AN359" s="4">
        <v>0</v>
      </c>
      <c r="AO359" s="4">
        <v>0</v>
      </c>
      <c r="AP359" s="3" t="s">
        <v>59</v>
      </c>
      <c r="AQ359" s="3" t="s">
        <v>59</v>
      </c>
      <c r="AR359" s="6" t="str">
        <f>HYPERLINK("http://catalog.hathitrust.org/Record/009072549","HathiTrust Record")</f>
        <v>HathiTrust Record</v>
      </c>
      <c r="AS359" s="6" t="str">
        <f>HYPERLINK("https://creighton-primo.hosted.exlibrisgroup.com/primo-explore/search?tab=default_tab&amp;search_scope=EVERYTHING&amp;vid=01CRU&amp;lang=en_US&amp;offset=0&amp;query=any,contains,991000958159702656","Catalog Record")</f>
        <v>Catalog Record</v>
      </c>
      <c r="AT359" s="6" t="str">
        <f>HYPERLINK("http://www.worldcat.org/oclc/14729640","WorldCat Record")</f>
        <v>WorldCat Record</v>
      </c>
      <c r="AU359" s="3" t="s">
        <v>4268</v>
      </c>
      <c r="AV359" s="3" t="s">
        <v>4269</v>
      </c>
      <c r="AW359" s="3" t="s">
        <v>4270</v>
      </c>
      <c r="AX359" s="3" t="s">
        <v>4270</v>
      </c>
      <c r="AY359" s="3" t="s">
        <v>4271</v>
      </c>
      <c r="AZ359" s="3" t="s">
        <v>74</v>
      </c>
      <c r="BC359" s="3" t="s">
        <v>4272</v>
      </c>
      <c r="BD359" s="3" t="s">
        <v>4273</v>
      </c>
    </row>
    <row r="360" spans="1:56" ht="57.75" customHeight="1" x14ac:dyDescent="0.25">
      <c r="A360" s="7" t="s">
        <v>59</v>
      </c>
      <c r="B360" s="2" t="s">
        <v>4274</v>
      </c>
      <c r="C360" s="2" t="s">
        <v>4275</v>
      </c>
      <c r="D360" s="2" t="s">
        <v>4276</v>
      </c>
      <c r="F360" s="3" t="s">
        <v>59</v>
      </c>
      <c r="G360" s="3" t="s">
        <v>60</v>
      </c>
      <c r="H360" s="3" t="s">
        <v>59</v>
      </c>
      <c r="I360" s="3" t="s">
        <v>59</v>
      </c>
      <c r="J360" s="3" t="s">
        <v>61</v>
      </c>
      <c r="K360" s="2" t="s">
        <v>4277</v>
      </c>
      <c r="L360" s="2" t="s">
        <v>4278</v>
      </c>
      <c r="M360" s="3" t="s">
        <v>3827</v>
      </c>
      <c r="N360" s="2" t="s">
        <v>2496</v>
      </c>
      <c r="O360" s="3" t="s">
        <v>64</v>
      </c>
      <c r="P360" s="3" t="s">
        <v>932</v>
      </c>
      <c r="R360" s="3" t="s">
        <v>67</v>
      </c>
      <c r="S360" s="4">
        <v>4</v>
      </c>
      <c r="T360" s="4">
        <v>4</v>
      </c>
      <c r="U360" s="5" t="s">
        <v>4267</v>
      </c>
      <c r="V360" s="5" t="s">
        <v>4267</v>
      </c>
      <c r="W360" s="5" t="s">
        <v>4279</v>
      </c>
      <c r="X360" s="5" t="s">
        <v>4279</v>
      </c>
      <c r="Y360" s="4">
        <v>103</v>
      </c>
      <c r="Z360" s="4">
        <v>90</v>
      </c>
      <c r="AA360" s="4">
        <v>731</v>
      </c>
      <c r="AB360" s="4">
        <v>2</v>
      </c>
      <c r="AC360" s="4">
        <v>5</v>
      </c>
      <c r="AD360" s="4">
        <v>1</v>
      </c>
      <c r="AE360" s="4">
        <v>16</v>
      </c>
      <c r="AF360" s="4">
        <v>0</v>
      </c>
      <c r="AG360" s="4">
        <v>7</v>
      </c>
      <c r="AH360" s="4">
        <v>0</v>
      </c>
      <c r="AI360" s="4">
        <v>2</v>
      </c>
      <c r="AJ360" s="4">
        <v>0</v>
      </c>
      <c r="AK360" s="4">
        <v>8</v>
      </c>
      <c r="AL360" s="4">
        <v>1</v>
      </c>
      <c r="AM360" s="4">
        <v>4</v>
      </c>
      <c r="AN360" s="4">
        <v>0</v>
      </c>
      <c r="AO360" s="4">
        <v>0</v>
      </c>
      <c r="AP360" s="3" t="s">
        <v>59</v>
      </c>
      <c r="AQ360" s="3" t="s">
        <v>69</v>
      </c>
      <c r="AR360" s="6" t="str">
        <f>HYPERLINK("http://catalog.hathitrust.org/Record/002542826","HathiTrust Record")</f>
        <v>HathiTrust Record</v>
      </c>
      <c r="AS360" s="6" t="str">
        <f>HYPERLINK("https://creighton-primo.hosted.exlibrisgroup.com/primo-explore/search?tab=default_tab&amp;search_scope=EVERYTHING&amp;vid=01CRU&amp;lang=en_US&amp;offset=0&amp;query=any,contains,991003347629702656","Catalog Record")</f>
        <v>Catalog Record</v>
      </c>
      <c r="AT360" s="6" t="str">
        <f>HYPERLINK("http://www.worldcat.org/oclc/879719","WorldCat Record")</f>
        <v>WorldCat Record</v>
      </c>
      <c r="AU360" s="3" t="s">
        <v>4280</v>
      </c>
      <c r="AV360" s="3" t="s">
        <v>4281</v>
      </c>
      <c r="AW360" s="3" t="s">
        <v>4282</v>
      </c>
      <c r="AX360" s="3" t="s">
        <v>4282</v>
      </c>
      <c r="AY360" s="3" t="s">
        <v>4283</v>
      </c>
      <c r="AZ360" s="3" t="s">
        <v>74</v>
      </c>
      <c r="BC360" s="3" t="s">
        <v>4284</v>
      </c>
      <c r="BD360" s="3" t="s">
        <v>4285</v>
      </c>
    </row>
    <row r="361" spans="1:56" ht="57.75" customHeight="1" x14ac:dyDescent="0.25">
      <c r="A361" s="7" t="s">
        <v>59</v>
      </c>
      <c r="B361" s="2" t="s">
        <v>4286</v>
      </c>
      <c r="C361" s="2" t="s">
        <v>4287</v>
      </c>
      <c r="D361" s="2" t="s">
        <v>4288</v>
      </c>
      <c r="F361" s="3" t="s">
        <v>59</v>
      </c>
      <c r="G361" s="3" t="s">
        <v>60</v>
      </c>
      <c r="H361" s="3" t="s">
        <v>59</v>
      </c>
      <c r="I361" s="3" t="s">
        <v>59</v>
      </c>
      <c r="J361" s="3" t="s">
        <v>61</v>
      </c>
      <c r="K361" s="2" t="s">
        <v>4289</v>
      </c>
      <c r="L361" s="2" t="s">
        <v>2313</v>
      </c>
      <c r="M361" s="3" t="s">
        <v>481</v>
      </c>
      <c r="N361" s="2" t="s">
        <v>4290</v>
      </c>
      <c r="O361" s="3" t="s">
        <v>64</v>
      </c>
      <c r="P361" s="3" t="s">
        <v>630</v>
      </c>
      <c r="R361" s="3" t="s">
        <v>67</v>
      </c>
      <c r="S361" s="4">
        <v>9</v>
      </c>
      <c r="T361" s="4">
        <v>9</v>
      </c>
      <c r="U361" s="5" t="s">
        <v>1787</v>
      </c>
      <c r="V361" s="5" t="s">
        <v>1787</v>
      </c>
      <c r="W361" s="5" t="s">
        <v>1867</v>
      </c>
      <c r="X361" s="5" t="s">
        <v>1867</v>
      </c>
      <c r="Y361" s="4">
        <v>191</v>
      </c>
      <c r="Z361" s="4">
        <v>160</v>
      </c>
      <c r="AA361" s="4">
        <v>223</v>
      </c>
      <c r="AB361" s="4">
        <v>2</v>
      </c>
      <c r="AC361" s="4">
        <v>3</v>
      </c>
      <c r="AD361" s="4">
        <v>6</v>
      </c>
      <c r="AE361" s="4">
        <v>8</v>
      </c>
      <c r="AF361" s="4">
        <v>2</v>
      </c>
      <c r="AG361" s="4">
        <v>3</v>
      </c>
      <c r="AH361" s="4">
        <v>2</v>
      </c>
      <c r="AI361" s="4">
        <v>2</v>
      </c>
      <c r="AJ361" s="4">
        <v>2</v>
      </c>
      <c r="AK361" s="4">
        <v>2</v>
      </c>
      <c r="AL361" s="4">
        <v>1</v>
      </c>
      <c r="AM361" s="4">
        <v>2</v>
      </c>
      <c r="AN361" s="4">
        <v>0</v>
      </c>
      <c r="AO361" s="4">
        <v>0</v>
      </c>
      <c r="AP361" s="3" t="s">
        <v>59</v>
      </c>
      <c r="AQ361" s="3" t="s">
        <v>59</v>
      </c>
      <c r="AS361" s="6" t="str">
        <f>HYPERLINK("https://creighton-primo.hosted.exlibrisgroup.com/primo-explore/search?tab=default_tab&amp;search_scope=EVERYTHING&amp;vid=01CRU&amp;lang=en_US&amp;offset=0&amp;query=any,contains,991003755459702656","Catalog Record")</f>
        <v>Catalog Record</v>
      </c>
      <c r="AT361" s="6" t="str">
        <f>HYPERLINK("http://www.worldcat.org/oclc/1435647","WorldCat Record")</f>
        <v>WorldCat Record</v>
      </c>
      <c r="AU361" s="3" t="s">
        <v>4291</v>
      </c>
      <c r="AV361" s="3" t="s">
        <v>4292</v>
      </c>
      <c r="AW361" s="3" t="s">
        <v>4293</v>
      </c>
      <c r="AX361" s="3" t="s">
        <v>4293</v>
      </c>
      <c r="AY361" s="3" t="s">
        <v>4294</v>
      </c>
      <c r="AZ361" s="3" t="s">
        <v>74</v>
      </c>
      <c r="BC361" s="3" t="s">
        <v>4295</v>
      </c>
      <c r="BD361" s="3" t="s">
        <v>4296</v>
      </c>
    </row>
    <row r="362" spans="1:56" ht="57.75" customHeight="1" x14ac:dyDescent="0.25">
      <c r="A362" s="7" t="s">
        <v>59</v>
      </c>
      <c r="B362" s="2" t="s">
        <v>4297</v>
      </c>
      <c r="C362" s="2" t="s">
        <v>4298</v>
      </c>
      <c r="D362" s="2" t="s">
        <v>4299</v>
      </c>
      <c r="F362" s="3" t="s">
        <v>59</v>
      </c>
      <c r="G362" s="3" t="s">
        <v>60</v>
      </c>
      <c r="H362" s="3" t="s">
        <v>59</v>
      </c>
      <c r="I362" s="3" t="s">
        <v>59</v>
      </c>
      <c r="J362" s="3" t="s">
        <v>61</v>
      </c>
      <c r="K362" s="2" t="s">
        <v>4300</v>
      </c>
      <c r="L362" s="2" t="s">
        <v>4301</v>
      </c>
      <c r="M362" s="3" t="s">
        <v>4302</v>
      </c>
      <c r="O362" s="3" t="s">
        <v>64</v>
      </c>
      <c r="P362" s="3" t="s">
        <v>467</v>
      </c>
      <c r="R362" s="3" t="s">
        <v>67</v>
      </c>
      <c r="S362" s="4">
        <v>4</v>
      </c>
      <c r="T362" s="4">
        <v>4</v>
      </c>
      <c r="U362" s="5" t="s">
        <v>1787</v>
      </c>
      <c r="V362" s="5" t="s">
        <v>1787</v>
      </c>
      <c r="W362" s="5" t="s">
        <v>4303</v>
      </c>
      <c r="X362" s="5" t="s">
        <v>4303</v>
      </c>
      <c r="Y362" s="4">
        <v>338</v>
      </c>
      <c r="Z362" s="4">
        <v>304</v>
      </c>
      <c r="AA362" s="4">
        <v>329</v>
      </c>
      <c r="AB362" s="4">
        <v>2</v>
      </c>
      <c r="AC362" s="4">
        <v>2</v>
      </c>
      <c r="AD362" s="4">
        <v>14</v>
      </c>
      <c r="AE362" s="4">
        <v>14</v>
      </c>
      <c r="AF362" s="4">
        <v>6</v>
      </c>
      <c r="AG362" s="4">
        <v>6</v>
      </c>
      <c r="AH362" s="4">
        <v>2</v>
      </c>
      <c r="AI362" s="4">
        <v>2</v>
      </c>
      <c r="AJ362" s="4">
        <v>7</v>
      </c>
      <c r="AK362" s="4">
        <v>7</v>
      </c>
      <c r="AL362" s="4">
        <v>1</v>
      </c>
      <c r="AM362" s="4">
        <v>1</v>
      </c>
      <c r="AN362" s="4">
        <v>0</v>
      </c>
      <c r="AO362" s="4">
        <v>0</v>
      </c>
      <c r="AP362" s="3" t="s">
        <v>59</v>
      </c>
      <c r="AQ362" s="3" t="s">
        <v>59</v>
      </c>
      <c r="AR362" s="6" t="str">
        <f>HYPERLINK("http://catalog.hathitrust.org/Record/001498728","HathiTrust Record")</f>
        <v>HathiTrust Record</v>
      </c>
      <c r="AS362" s="6" t="str">
        <f>HYPERLINK("https://creighton-primo.hosted.exlibrisgroup.com/primo-explore/search?tab=default_tab&amp;search_scope=EVERYTHING&amp;vid=01CRU&amp;lang=en_US&amp;offset=0&amp;query=any,contains,991002986999702656","Catalog Record")</f>
        <v>Catalog Record</v>
      </c>
      <c r="AT362" s="6" t="str">
        <f>HYPERLINK("http://www.worldcat.org/oclc/558080","WorldCat Record")</f>
        <v>WorldCat Record</v>
      </c>
      <c r="AU362" s="3" t="s">
        <v>4304</v>
      </c>
      <c r="AV362" s="3" t="s">
        <v>4305</v>
      </c>
      <c r="AW362" s="3" t="s">
        <v>4306</v>
      </c>
      <c r="AX362" s="3" t="s">
        <v>4306</v>
      </c>
      <c r="AY362" s="3" t="s">
        <v>4307</v>
      </c>
      <c r="AZ362" s="3" t="s">
        <v>74</v>
      </c>
      <c r="BC362" s="3" t="s">
        <v>4308</v>
      </c>
      <c r="BD362" s="3" t="s">
        <v>4309</v>
      </c>
    </row>
    <row r="363" spans="1:56" ht="57.75" customHeight="1" x14ac:dyDescent="0.25">
      <c r="A363" s="7" t="s">
        <v>59</v>
      </c>
      <c r="B363" s="2" t="s">
        <v>4310</v>
      </c>
      <c r="C363" s="2" t="s">
        <v>4311</v>
      </c>
      <c r="D363" s="2" t="s">
        <v>4312</v>
      </c>
      <c r="E363" s="3" t="s">
        <v>917</v>
      </c>
      <c r="F363" s="3" t="s">
        <v>69</v>
      </c>
      <c r="G363" s="3" t="s">
        <v>60</v>
      </c>
      <c r="H363" s="3" t="s">
        <v>59</v>
      </c>
      <c r="I363" s="3" t="s">
        <v>59</v>
      </c>
      <c r="J363" s="3" t="s">
        <v>61</v>
      </c>
      <c r="K363" s="2" t="s">
        <v>4313</v>
      </c>
      <c r="L363" s="2" t="s">
        <v>4314</v>
      </c>
      <c r="M363" s="3" t="s">
        <v>1786</v>
      </c>
      <c r="N363" s="2" t="s">
        <v>4315</v>
      </c>
      <c r="O363" s="3" t="s">
        <v>64</v>
      </c>
      <c r="P363" s="3" t="s">
        <v>405</v>
      </c>
      <c r="R363" s="3" t="s">
        <v>67</v>
      </c>
      <c r="S363" s="4">
        <v>0</v>
      </c>
      <c r="T363" s="4">
        <v>2</v>
      </c>
      <c r="V363" s="5" t="s">
        <v>2802</v>
      </c>
      <c r="W363" s="5" t="s">
        <v>1446</v>
      </c>
      <c r="X363" s="5" t="s">
        <v>1446</v>
      </c>
      <c r="Y363" s="4">
        <v>353</v>
      </c>
      <c r="Z363" s="4">
        <v>262</v>
      </c>
      <c r="AA363" s="4">
        <v>607</v>
      </c>
      <c r="AB363" s="4">
        <v>3</v>
      </c>
      <c r="AC363" s="4">
        <v>6</v>
      </c>
      <c r="AD363" s="4">
        <v>10</v>
      </c>
      <c r="AE363" s="4">
        <v>21</v>
      </c>
      <c r="AF363" s="4">
        <v>3</v>
      </c>
      <c r="AG363" s="4">
        <v>6</v>
      </c>
      <c r="AH363" s="4">
        <v>1</v>
      </c>
      <c r="AI363" s="4">
        <v>2</v>
      </c>
      <c r="AJ363" s="4">
        <v>5</v>
      </c>
      <c r="AK363" s="4">
        <v>11</v>
      </c>
      <c r="AL363" s="4">
        <v>2</v>
      </c>
      <c r="AM363" s="4">
        <v>5</v>
      </c>
      <c r="AN363" s="4">
        <v>0</v>
      </c>
      <c r="AO363" s="4">
        <v>0</v>
      </c>
      <c r="AP363" s="3" t="s">
        <v>59</v>
      </c>
      <c r="AQ363" s="3" t="s">
        <v>69</v>
      </c>
      <c r="AR363" s="6" t="str">
        <f>HYPERLINK("http://catalog.hathitrust.org/Record/001498734","HathiTrust Record")</f>
        <v>HathiTrust Record</v>
      </c>
      <c r="AS363" s="6" t="str">
        <f>HYPERLINK("https://creighton-primo.hosted.exlibrisgroup.com/primo-explore/search?tab=default_tab&amp;search_scope=EVERYTHING&amp;vid=01CRU&amp;lang=en_US&amp;offset=0&amp;query=any,contains,991003519399702656","Catalog Record")</f>
        <v>Catalog Record</v>
      </c>
      <c r="AT363" s="6" t="str">
        <f>HYPERLINK("http://www.worldcat.org/oclc/1078792","WorldCat Record")</f>
        <v>WorldCat Record</v>
      </c>
      <c r="AU363" s="3" t="s">
        <v>4316</v>
      </c>
      <c r="AV363" s="3" t="s">
        <v>4317</v>
      </c>
      <c r="AW363" s="3" t="s">
        <v>4318</v>
      </c>
      <c r="AX363" s="3" t="s">
        <v>4318</v>
      </c>
      <c r="AY363" s="3" t="s">
        <v>4319</v>
      </c>
      <c r="AZ363" s="3" t="s">
        <v>74</v>
      </c>
      <c r="BC363" s="3" t="s">
        <v>4320</v>
      </c>
      <c r="BD363" s="3" t="s">
        <v>4321</v>
      </c>
    </row>
    <row r="364" spans="1:56" ht="57.75" customHeight="1" x14ac:dyDescent="0.25">
      <c r="A364" s="7" t="s">
        <v>59</v>
      </c>
      <c r="B364" s="2" t="s">
        <v>4310</v>
      </c>
      <c r="C364" s="2" t="s">
        <v>4311</v>
      </c>
      <c r="D364" s="2" t="s">
        <v>4312</v>
      </c>
      <c r="E364" s="3" t="s">
        <v>923</v>
      </c>
      <c r="F364" s="3" t="s">
        <v>69</v>
      </c>
      <c r="G364" s="3" t="s">
        <v>60</v>
      </c>
      <c r="H364" s="3" t="s">
        <v>59</v>
      </c>
      <c r="I364" s="3" t="s">
        <v>59</v>
      </c>
      <c r="J364" s="3" t="s">
        <v>61</v>
      </c>
      <c r="K364" s="2" t="s">
        <v>4313</v>
      </c>
      <c r="L364" s="2" t="s">
        <v>4314</v>
      </c>
      <c r="M364" s="3" t="s">
        <v>1786</v>
      </c>
      <c r="N364" s="2" t="s">
        <v>4315</v>
      </c>
      <c r="O364" s="3" t="s">
        <v>64</v>
      </c>
      <c r="P364" s="3" t="s">
        <v>405</v>
      </c>
      <c r="R364" s="3" t="s">
        <v>67</v>
      </c>
      <c r="S364" s="4">
        <v>2</v>
      </c>
      <c r="T364" s="4">
        <v>2</v>
      </c>
      <c r="U364" s="5" t="s">
        <v>2802</v>
      </c>
      <c r="V364" s="5" t="s">
        <v>2802</v>
      </c>
      <c r="W364" s="5" t="s">
        <v>1446</v>
      </c>
      <c r="X364" s="5" t="s">
        <v>1446</v>
      </c>
      <c r="Y364" s="4">
        <v>353</v>
      </c>
      <c r="Z364" s="4">
        <v>262</v>
      </c>
      <c r="AA364" s="4">
        <v>607</v>
      </c>
      <c r="AB364" s="4">
        <v>3</v>
      </c>
      <c r="AC364" s="4">
        <v>6</v>
      </c>
      <c r="AD364" s="4">
        <v>10</v>
      </c>
      <c r="AE364" s="4">
        <v>21</v>
      </c>
      <c r="AF364" s="4">
        <v>3</v>
      </c>
      <c r="AG364" s="4">
        <v>6</v>
      </c>
      <c r="AH364" s="4">
        <v>1</v>
      </c>
      <c r="AI364" s="4">
        <v>2</v>
      </c>
      <c r="AJ364" s="4">
        <v>5</v>
      </c>
      <c r="AK364" s="4">
        <v>11</v>
      </c>
      <c r="AL364" s="4">
        <v>2</v>
      </c>
      <c r="AM364" s="4">
        <v>5</v>
      </c>
      <c r="AN364" s="4">
        <v>0</v>
      </c>
      <c r="AO364" s="4">
        <v>0</v>
      </c>
      <c r="AP364" s="3" t="s">
        <v>59</v>
      </c>
      <c r="AQ364" s="3" t="s">
        <v>69</v>
      </c>
      <c r="AR364" s="6" t="str">
        <f>HYPERLINK("http://catalog.hathitrust.org/Record/001498734","HathiTrust Record")</f>
        <v>HathiTrust Record</v>
      </c>
      <c r="AS364" s="6" t="str">
        <f>HYPERLINK("https://creighton-primo.hosted.exlibrisgroup.com/primo-explore/search?tab=default_tab&amp;search_scope=EVERYTHING&amp;vid=01CRU&amp;lang=en_US&amp;offset=0&amp;query=any,contains,991003519399702656","Catalog Record")</f>
        <v>Catalog Record</v>
      </c>
      <c r="AT364" s="6" t="str">
        <f>HYPERLINK("http://www.worldcat.org/oclc/1078792","WorldCat Record")</f>
        <v>WorldCat Record</v>
      </c>
      <c r="AU364" s="3" t="s">
        <v>4316</v>
      </c>
      <c r="AV364" s="3" t="s">
        <v>4317</v>
      </c>
      <c r="AW364" s="3" t="s">
        <v>4318</v>
      </c>
      <c r="AX364" s="3" t="s">
        <v>4318</v>
      </c>
      <c r="AY364" s="3" t="s">
        <v>4319</v>
      </c>
      <c r="AZ364" s="3" t="s">
        <v>74</v>
      </c>
      <c r="BC364" s="3" t="s">
        <v>4322</v>
      </c>
      <c r="BD364" s="3" t="s">
        <v>4323</v>
      </c>
    </row>
    <row r="365" spans="1:56" ht="57.75" customHeight="1" x14ac:dyDescent="0.25">
      <c r="A365" s="7" t="s">
        <v>59</v>
      </c>
      <c r="B365" s="2" t="s">
        <v>4324</v>
      </c>
      <c r="C365" s="2" t="s">
        <v>4325</v>
      </c>
      <c r="D365" s="2" t="s">
        <v>4326</v>
      </c>
      <c r="F365" s="3" t="s">
        <v>59</v>
      </c>
      <c r="G365" s="3" t="s">
        <v>60</v>
      </c>
      <c r="H365" s="3" t="s">
        <v>59</v>
      </c>
      <c r="I365" s="3" t="s">
        <v>59</v>
      </c>
      <c r="J365" s="3" t="s">
        <v>61</v>
      </c>
      <c r="K365" s="2" t="s">
        <v>4327</v>
      </c>
      <c r="L365" s="2" t="s">
        <v>4328</v>
      </c>
      <c r="M365" s="3" t="s">
        <v>1786</v>
      </c>
      <c r="O365" s="3" t="s">
        <v>64</v>
      </c>
      <c r="P365" s="3" t="s">
        <v>4329</v>
      </c>
      <c r="R365" s="3" t="s">
        <v>67</v>
      </c>
      <c r="S365" s="4">
        <v>2</v>
      </c>
      <c r="T365" s="4">
        <v>2</v>
      </c>
      <c r="U365" s="5" t="s">
        <v>4330</v>
      </c>
      <c r="V365" s="5" t="s">
        <v>4330</v>
      </c>
      <c r="W365" s="5" t="s">
        <v>4331</v>
      </c>
      <c r="X365" s="5" t="s">
        <v>4331</v>
      </c>
      <c r="Y365" s="4">
        <v>37</v>
      </c>
      <c r="Z365" s="4">
        <v>31</v>
      </c>
      <c r="AA365" s="4">
        <v>87</v>
      </c>
      <c r="AB365" s="4">
        <v>1</v>
      </c>
      <c r="AC365" s="4">
        <v>1</v>
      </c>
      <c r="AD365" s="4">
        <v>0</v>
      </c>
      <c r="AE365" s="4">
        <v>0</v>
      </c>
      <c r="AF365" s="4">
        <v>0</v>
      </c>
      <c r="AG365" s="4">
        <v>0</v>
      </c>
      <c r="AH365" s="4">
        <v>0</v>
      </c>
      <c r="AI365" s="4">
        <v>0</v>
      </c>
      <c r="AJ365" s="4">
        <v>0</v>
      </c>
      <c r="AK365" s="4">
        <v>0</v>
      </c>
      <c r="AL365" s="4">
        <v>0</v>
      </c>
      <c r="AM365" s="4">
        <v>0</v>
      </c>
      <c r="AN365" s="4">
        <v>0</v>
      </c>
      <c r="AO365" s="4">
        <v>0</v>
      </c>
      <c r="AP365" s="3" t="s">
        <v>69</v>
      </c>
      <c r="AQ365" s="3" t="s">
        <v>59</v>
      </c>
      <c r="AR365" s="6" t="str">
        <f>HYPERLINK("http://catalog.hathitrust.org/Record/006127622","HathiTrust Record")</f>
        <v>HathiTrust Record</v>
      </c>
      <c r="AS365" s="6" t="str">
        <f>HYPERLINK("https://creighton-primo.hosted.exlibrisgroup.com/primo-explore/search?tab=default_tab&amp;search_scope=EVERYTHING&amp;vid=01CRU&amp;lang=en_US&amp;offset=0&amp;query=any,contains,991004094409702656","Catalog Record")</f>
        <v>Catalog Record</v>
      </c>
      <c r="AT365" s="6" t="str">
        <f>HYPERLINK("http://www.worldcat.org/oclc/2354547","WorldCat Record")</f>
        <v>WorldCat Record</v>
      </c>
      <c r="AU365" s="3" t="s">
        <v>4332</v>
      </c>
      <c r="AV365" s="3" t="s">
        <v>4333</v>
      </c>
      <c r="AW365" s="3" t="s">
        <v>4334</v>
      </c>
      <c r="AX365" s="3" t="s">
        <v>4334</v>
      </c>
      <c r="AY365" s="3" t="s">
        <v>4335</v>
      </c>
      <c r="AZ365" s="3" t="s">
        <v>74</v>
      </c>
      <c r="BC365" s="3" t="s">
        <v>4336</v>
      </c>
      <c r="BD365" s="3" t="s">
        <v>4337</v>
      </c>
    </row>
    <row r="366" spans="1:56" ht="57.75" customHeight="1" x14ac:dyDescent="0.25">
      <c r="A366" s="7" t="s">
        <v>59</v>
      </c>
      <c r="B366" s="2" t="s">
        <v>4338</v>
      </c>
      <c r="C366" s="2" t="s">
        <v>4339</v>
      </c>
      <c r="D366" s="2" t="s">
        <v>4340</v>
      </c>
      <c r="F366" s="3" t="s">
        <v>59</v>
      </c>
      <c r="G366" s="3" t="s">
        <v>60</v>
      </c>
      <c r="H366" s="3" t="s">
        <v>59</v>
      </c>
      <c r="I366" s="3" t="s">
        <v>59</v>
      </c>
      <c r="J366" s="3" t="s">
        <v>61</v>
      </c>
      <c r="K366" s="2" t="s">
        <v>4327</v>
      </c>
      <c r="L366" s="2" t="s">
        <v>4341</v>
      </c>
      <c r="M366" s="3" t="s">
        <v>4265</v>
      </c>
      <c r="O366" s="3" t="s">
        <v>64</v>
      </c>
      <c r="P366" s="3" t="s">
        <v>932</v>
      </c>
      <c r="R366" s="3" t="s">
        <v>67</v>
      </c>
      <c r="S366" s="4">
        <v>3</v>
      </c>
      <c r="T366" s="4">
        <v>3</v>
      </c>
      <c r="U366" s="5" t="s">
        <v>1745</v>
      </c>
      <c r="V366" s="5" t="s">
        <v>1745</v>
      </c>
      <c r="W366" s="5" t="s">
        <v>1446</v>
      </c>
      <c r="X366" s="5" t="s">
        <v>1446</v>
      </c>
      <c r="Y366" s="4">
        <v>69</v>
      </c>
      <c r="Z366" s="4">
        <v>64</v>
      </c>
      <c r="AA366" s="4">
        <v>119</v>
      </c>
      <c r="AB366" s="4">
        <v>2</v>
      </c>
      <c r="AC366" s="4">
        <v>2</v>
      </c>
      <c r="AD366" s="4">
        <v>2</v>
      </c>
      <c r="AE366" s="4">
        <v>4</v>
      </c>
      <c r="AF366" s="4">
        <v>1</v>
      </c>
      <c r="AG366" s="4">
        <v>2</v>
      </c>
      <c r="AH366" s="4">
        <v>0</v>
      </c>
      <c r="AI366" s="4">
        <v>0</v>
      </c>
      <c r="AJ366" s="4">
        <v>1</v>
      </c>
      <c r="AK366" s="4">
        <v>2</v>
      </c>
      <c r="AL366" s="4">
        <v>1</v>
      </c>
      <c r="AM366" s="4">
        <v>1</v>
      </c>
      <c r="AN366" s="4">
        <v>0</v>
      </c>
      <c r="AO366" s="4">
        <v>0</v>
      </c>
      <c r="AP366" s="3" t="s">
        <v>69</v>
      </c>
      <c r="AQ366" s="3" t="s">
        <v>59</v>
      </c>
      <c r="AR366" s="6" t="str">
        <f>HYPERLINK("http://catalog.hathitrust.org/Record/006127624","HathiTrust Record")</f>
        <v>HathiTrust Record</v>
      </c>
      <c r="AS366" s="6" t="str">
        <f>HYPERLINK("https://creighton-primo.hosted.exlibrisgroup.com/primo-explore/search?tab=default_tab&amp;search_scope=EVERYTHING&amp;vid=01CRU&amp;lang=en_US&amp;offset=0&amp;query=any,contains,991003452429702656","Catalog Record")</f>
        <v>Catalog Record</v>
      </c>
      <c r="AT366" s="6" t="str">
        <f>HYPERLINK("http://www.worldcat.org/oclc/991294","WorldCat Record")</f>
        <v>WorldCat Record</v>
      </c>
      <c r="AU366" s="3" t="s">
        <v>4342</v>
      </c>
      <c r="AV366" s="3" t="s">
        <v>4343</v>
      </c>
      <c r="AW366" s="3" t="s">
        <v>4344</v>
      </c>
      <c r="AX366" s="3" t="s">
        <v>4344</v>
      </c>
      <c r="AY366" s="3" t="s">
        <v>4345</v>
      </c>
      <c r="AZ366" s="3" t="s">
        <v>74</v>
      </c>
      <c r="BC366" s="3" t="s">
        <v>4346</v>
      </c>
      <c r="BD366" s="3" t="s">
        <v>4347</v>
      </c>
    </row>
    <row r="367" spans="1:56" ht="57.75" customHeight="1" x14ac:dyDescent="0.25">
      <c r="A367" s="7" t="s">
        <v>59</v>
      </c>
      <c r="B367" s="2" t="s">
        <v>4348</v>
      </c>
      <c r="C367" s="2" t="s">
        <v>4349</v>
      </c>
      <c r="D367" s="2" t="s">
        <v>4350</v>
      </c>
      <c r="F367" s="3" t="s">
        <v>59</v>
      </c>
      <c r="G367" s="3" t="s">
        <v>60</v>
      </c>
      <c r="H367" s="3" t="s">
        <v>59</v>
      </c>
      <c r="I367" s="3" t="s">
        <v>59</v>
      </c>
      <c r="J367" s="3" t="s">
        <v>61</v>
      </c>
      <c r="K367" s="2" t="s">
        <v>4351</v>
      </c>
      <c r="L367" s="2" t="s">
        <v>4352</v>
      </c>
      <c r="M367" s="3" t="s">
        <v>4353</v>
      </c>
      <c r="N367" s="2" t="s">
        <v>556</v>
      </c>
      <c r="O367" s="3" t="s">
        <v>64</v>
      </c>
      <c r="P367" s="3" t="s">
        <v>467</v>
      </c>
      <c r="Q367" s="2" t="s">
        <v>4354</v>
      </c>
      <c r="R367" s="3" t="s">
        <v>67</v>
      </c>
      <c r="S367" s="4">
        <v>7</v>
      </c>
      <c r="T367" s="4">
        <v>7</v>
      </c>
      <c r="U367" s="5" t="s">
        <v>4267</v>
      </c>
      <c r="V367" s="5" t="s">
        <v>4267</v>
      </c>
      <c r="W367" s="5" t="s">
        <v>4331</v>
      </c>
      <c r="X367" s="5" t="s">
        <v>4331</v>
      </c>
      <c r="Y367" s="4">
        <v>197</v>
      </c>
      <c r="Z367" s="4">
        <v>142</v>
      </c>
      <c r="AA367" s="4">
        <v>887</v>
      </c>
      <c r="AB367" s="4">
        <v>3</v>
      </c>
      <c r="AC367" s="4">
        <v>5</v>
      </c>
      <c r="AD367" s="4">
        <v>4</v>
      </c>
      <c r="AE367" s="4">
        <v>22</v>
      </c>
      <c r="AF367" s="4">
        <v>2</v>
      </c>
      <c r="AG367" s="4">
        <v>9</v>
      </c>
      <c r="AH367" s="4">
        <v>0</v>
      </c>
      <c r="AI367" s="4">
        <v>3</v>
      </c>
      <c r="AJ367" s="4">
        <v>2</v>
      </c>
      <c r="AK367" s="4">
        <v>12</v>
      </c>
      <c r="AL367" s="4">
        <v>2</v>
      </c>
      <c r="AM367" s="4">
        <v>3</v>
      </c>
      <c r="AN367" s="4">
        <v>0</v>
      </c>
      <c r="AO367" s="4">
        <v>0</v>
      </c>
      <c r="AP367" s="3" t="s">
        <v>59</v>
      </c>
      <c r="AQ367" s="3" t="s">
        <v>69</v>
      </c>
      <c r="AR367" s="6" t="str">
        <f>HYPERLINK("http://catalog.hathitrust.org/Record/001507973","HathiTrust Record")</f>
        <v>HathiTrust Record</v>
      </c>
      <c r="AS367" s="6" t="str">
        <f>HYPERLINK("https://creighton-primo.hosted.exlibrisgroup.com/primo-explore/search?tab=default_tab&amp;search_scope=EVERYTHING&amp;vid=01CRU&amp;lang=en_US&amp;offset=0&amp;query=any,contains,991003778339702656","Catalog Record")</f>
        <v>Catalog Record</v>
      </c>
      <c r="AT367" s="6" t="str">
        <f>HYPERLINK("http://www.worldcat.org/oclc/1488685","WorldCat Record")</f>
        <v>WorldCat Record</v>
      </c>
      <c r="AU367" s="3" t="s">
        <v>4355</v>
      </c>
      <c r="AV367" s="3" t="s">
        <v>4356</v>
      </c>
      <c r="AW367" s="3" t="s">
        <v>4357</v>
      </c>
      <c r="AX367" s="3" t="s">
        <v>4357</v>
      </c>
      <c r="AY367" s="3" t="s">
        <v>4358</v>
      </c>
      <c r="AZ367" s="3" t="s">
        <v>74</v>
      </c>
      <c r="BC367" s="3" t="s">
        <v>4359</v>
      </c>
      <c r="BD367" s="3" t="s">
        <v>4360</v>
      </c>
    </row>
    <row r="368" spans="1:56" ht="57.75" customHeight="1" x14ac:dyDescent="0.25">
      <c r="A368" s="7" t="s">
        <v>59</v>
      </c>
      <c r="B368" s="2" t="s">
        <v>4361</v>
      </c>
      <c r="C368" s="2" t="s">
        <v>4362</v>
      </c>
      <c r="D368" s="2" t="s">
        <v>4363</v>
      </c>
      <c r="F368" s="3" t="s">
        <v>59</v>
      </c>
      <c r="G368" s="3" t="s">
        <v>60</v>
      </c>
      <c r="H368" s="3" t="s">
        <v>59</v>
      </c>
      <c r="I368" s="3" t="s">
        <v>59</v>
      </c>
      <c r="J368" s="3" t="s">
        <v>61</v>
      </c>
      <c r="K368" s="2" t="s">
        <v>3825</v>
      </c>
      <c r="L368" s="2" t="s">
        <v>4364</v>
      </c>
      <c r="M368" s="3" t="s">
        <v>3968</v>
      </c>
      <c r="O368" s="3" t="s">
        <v>64</v>
      </c>
      <c r="P368" s="3" t="s">
        <v>932</v>
      </c>
      <c r="R368" s="3" t="s">
        <v>67</v>
      </c>
      <c r="S368" s="4">
        <v>5</v>
      </c>
      <c r="T368" s="4">
        <v>5</v>
      </c>
      <c r="U368" s="5" t="s">
        <v>4098</v>
      </c>
      <c r="V368" s="5" t="s">
        <v>4098</v>
      </c>
      <c r="W368" s="5" t="s">
        <v>4365</v>
      </c>
      <c r="X368" s="5" t="s">
        <v>4365</v>
      </c>
      <c r="Y368" s="4">
        <v>259</v>
      </c>
      <c r="Z368" s="4">
        <v>237</v>
      </c>
      <c r="AA368" s="4">
        <v>270</v>
      </c>
      <c r="AB368" s="4">
        <v>2</v>
      </c>
      <c r="AC368" s="4">
        <v>2</v>
      </c>
      <c r="AD368" s="4">
        <v>8</v>
      </c>
      <c r="AE368" s="4">
        <v>8</v>
      </c>
      <c r="AF368" s="4">
        <v>3</v>
      </c>
      <c r="AG368" s="4">
        <v>3</v>
      </c>
      <c r="AH368" s="4">
        <v>2</v>
      </c>
      <c r="AI368" s="4">
        <v>2</v>
      </c>
      <c r="AJ368" s="4">
        <v>4</v>
      </c>
      <c r="AK368" s="4">
        <v>4</v>
      </c>
      <c r="AL368" s="4">
        <v>1</v>
      </c>
      <c r="AM368" s="4">
        <v>1</v>
      </c>
      <c r="AN368" s="4">
        <v>0</v>
      </c>
      <c r="AO368" s="4">
        <v>0</v>
      </c>
      <c r="AP368" s="3" t="s">
        <v>59</v>
      </c>
      <c r="AQ368" s="3" t="s">
        <v>69</v>
      </c>
      <c r="AR368" s="6" t="str">
        <f>HYPERLINK("http://catalog.hathitrust.org/Record/001500058","HathiTrust Record")</f>
        <v>HathiTrust Record</v>
      </c>
      <c r="AS368" s="6" t="str">
        <f>HYPERLINK("https://creighton-primo.hosted.exlibrisgroup.com/primo-explore/search?tab=default_tab&amp;search_scope=EVERYTHING&amp;vid=01CRU&amp;lang=en_US&amp;offset=0&amp;query=any,contains,991003307379702656","Catalog Record")</f>
        <v>Catalog Record</v>
      </c>
      <c r="AT368" s="6" t="str">
        <f>HYPERLINK("http://www.worldcat.org/oclc/830856","WorldCat Record")</f>
        <v>WorldCat Record</v>
      </c>
      <c r="AU368" s="3" t="s">
        <v>4366</v>
      </c>
      <c r="AV368" s="3" t="s">
        <v>4367</v>
      </c>
      <c r="AW368" s="3" t="s">
        <v>4368</v>
      </c>
      <c r="AX368" s="3" t="s">
        <v>4368</v>
      </c>
      <c r="AY368" s="3" t="s">
        <v>4369</v>
      </c>
      <c r="AZ368" s="3" t="s">
        <v>74</v>
      </c>
      <c r="BC368" s="3" t="s">
        <v>4370</v>
      </c>
      <c r="BD368" s="3" t="s">
        <v>4371</v>
      </c>
    </row>
    <row r="369" spans="1:56" ht="57.75" customHeight="1" x14ac:dyDescent="0.25">
      <c r="A369" s="7" t="s">
        <v>59</v>
      </c>
      <c r="B369" s="2" t="s">
        <v>4372</v>
      </c>
      <c r="C369" s="2" t="s">
        <v>4373</v>
      </c>
      <c r="D369" s="2" t="s">
        <v>4374</v>
      </c>
      <c r="F369" s="3" t="s">
        <v>59</v>
      </c>
      <c r="G369" s="3" t="s">
        <v>60</v>
      </c>
      <c r="H369" s="3" t="s">
        <v>59</v>
      </c>
      <c r="I369" s="3" t="s">
        <v>59</v>
      </c>
      <c r="J369" s="3" t="s">
        <v>61</v>
      </c>
      <c r="K369" s="2" t="s">
        <v>4375</v>
      </c>
      <c r="L369" s="2" t="s">
        <v>4376</v>
      </c>
      <c r="M369" s="3" t="s">
        <v>239</v>
      </c>
      <c r="O369" s="3" t="s">
        <v>64</v>
      </c>
      <c r="P369" s="3" t="s">
        <v>2362</v>
      </c>
      <c r="R369" s="3" t="s">
        <v>67</v>
      </c>
      <c r="S369" s="4">
        <v>1</v>
      </c>
      <c r="T369" s="4">
        <v>1</v>
      </c>
      <c r="U369" s="5" t="s">
        <v>836</v>
      </c>
      <c r="V369" s="5" t="s">
        <v>836</v>
      </c>
      <c r="W369" s="5" t="s">
        <v>4377</v>
      </c>
      <c r="X369" s="5" t="s">
        <v>4377</v>
      </c>
      <c r="Y369" s="4">
        <v>21</v>
      </c>
      <c r="Z369" s="4">
        <v>20</v>
      </c>
      <c r="AA369" s="4">
        <v>20</v>
      </c>
      <c r="AB369" s="4">
        <v>1</v>
      </c>
      <c r="AC369" s="4">
        <v>1</v>
      </c>
      <c r="AD369" s="4">
        <v>0</v>
      </c>
      <c r="AE369" s="4">
        <v>0</v>
      </c>
      <c r="AF369" s="4">
        <v>0</v>
      </c>
      <c r="AG369" s="4">
        <v>0</v>
      </c>
      <c r="AH369" s="4">
        <v>0</v>
      </c>
      <c r="AI369" s="4">
        <v>0</v>
      </c>
      <c r="AJ369" s="4">
        <v>0</v>
      </c>
      <c r="AK369" s="4">
        <v>0</v>
      </c>
      <c r="AL369" s="4">
        <v>0</v>
      </c>
      <c r="AM369" s="4">
        <v>0</v>
      </c>
      <c r="AN369" s="4">
        <v>0</v>
      </c>
      <c r="AO369" s="4">
        <v>0</v>
      </c>
      <c r="AP369" s="3" t="s">
        <v>59</v>
      </c>
      <c r="AQ369" s="3" t="s">
        <v>59</v>
      </c>
      <c r="AS369" s="6" t="str">
        <f>HYPERLINK("https://creighton-primo.hosted.exlibrisgroup.com/primo-explore/search?tab=default_tab&amp;search_scope=EVERYTHING&amp;vid=01CRU&amp;lang=en_US&amp;offset=0&amp;query=any,contains,991002782219702656","Catalog Record")</f>
        <v>Catalog Record</v>
      </c>
      <c r="AT369" s="6" t="str">
        <f>HYPERLINK("http://www.worldcat.org/oclc/36525809","WorldCat Record")</f>
        <v>WorldCat Record</v>
      </c>
      <c r="AU369" s="3" t="s">
        <v>4378</v>
      </c>
      <c r="AV369" s="3" t="s">
        <v>4379</v>
      </c>
      <c r="AW369" s="3" t="s">
        <v>4380</v>
      </c>
      <c r="AX369" s="3" t="s">
        <v>4380</v>
      </c>
      <c r="AY369" s="3" t="s">
        <v>4381</v>
      </c>
      <c r="AZ369" s="3" t="s">
        <v>74</v>
      </c>
      <c r="BB369" s="3" t="s">
        <v>4382</v>
      </c>
      <c r="BC369" s="3" t="s">
        <v>4383</v>
      </c>
      <c r="BD369" s="3" t="s">
        <v>4384</v>
      </c>
    </row>
    <row r="370" spans="1:56" ht="57.75" customHeight="1" x14ac:dyDescent="0.25">
      <c r="A370" s="7" t="s">
        <v>59</v>
      </c>
      <c r="B370" s="2" t="s">
        <v>4385</v>
      </c>
      <c r="C370" s="2" t="s">
        <v>4386</v>
      </c>
      <c r="D370" s="2" t="s">
        <v>4387</v>
      </c>
      <c r="F370" s="3" t="s">
        <v>59</v>
      </c>
      <c r="G370" s="3" t="s">
        <v>60</v>
      </c>
      <c r="H370" s="3" t="s">
        <v>59</v>
      </c>
      <c r="I370" s="3" t="s">
        <v>59</v>
      </c>
      <c r="J370" s="3" t="s">
        <v>61</v>
      </c>
      <c r="K370" s="2" t="s">
        <v>4388</v>
      </c>
      <c r="L370" s="2" t="s">
        <v>4389</v>
      </c>
      <c r="M370" s="3" t="s">
        <v>172</v>
      </c>
      <c r="O370" s="3" t="s">
        <v>64</v>
      </c>
      <c r="P370" s="3" t="s">
        <v>467</v>
      </c>
      <c r="R370" s="3" t="s">
        <v>67</v>
      </c>
      <c r="S370" s="4">
        <v>9</v>
      </c>
      <c r="T370" s="4">
        <v>9</v>
      </c>
      <c r="U370" s="5" t="s">
        <v>4390</v>
      </c>
      <c r="V370" s="5" t="s">
        <v>4390</v>
      </c>
      <c r="W370" s="5" t="s">
        <v>4391</v>
      </c>
      <c r="X370" s="5" t="s">
        <v>4391</v>
      </c>
      <c r="Y370" s="4">
        <v>1454</v>
      </c>
      <c r="Z370" s="4">
        <v>1363</v>
      </c>
      <c r="AA370" s="4">
        <v>1584</v>
      </c>
      <c r="AB370" s="4">
        <v>10</v>
      </c>
      <c r="AC370" s="4">
        <v>14</v>
      </c>
      <c r="AD370" s="4">
        <v>33</v>
      </c>
      <c r="AE370" s="4">
        <v>44</v>
      </c>
      <c r="AF370" s="4">
        <v>15</v>
      </c>
      <c r="AG370" s="4">
        <v>19</v>
      </c>
      <c r="AH370" s="4">
        <v>5</v>
      </c>
      <c r="AI370" s="4">
        <v>7</v>
      </c>
      <c r="AJ370" s="4">
        <v>14</v>
      </c>
      <c r="AK370" s="4">
        <v>17</v>
      </c>
      <c r="AL370" s="4">
        <v>6</v>
      </c>
      <c r="AM370" s="4">
        <v>10</v>
      </c>
      <c r="AN370" s="4">
        <v>0</v>
      </c>
      <c r="AO370" s="4">
        <v>0</v>
      </c>
      <c r="AP370" s="3" t="s">
        <v>59</v>
      </c>
      <c r="AQ370" s="3" t="s">
        <v>69</v>
      </c>
      <c r="AR370" s="6" t="str">
        <f>HYPERLINK("http://catalog.hathitrust.org/Record/005236134","HathiTrust Record")</f>
        <v>HathiTrust Record</v>
      </c>
      <c r="AS370" s="6" t="str">
        <f>HYPERLINK("https://creighton-primo.hosted.exlibrisgroup.com/primo-explore/search?tab=default_tab&amp;search_scope=EVERYTHING&amp;vid=01CRU&amp;lang=en_US&amp;offset=0&amp;query=any,contains,991005038229702656","Catalog Record")</f>
        <v>Catalog Record</v>
      </c>
      <c r="AT370" s="6" t="str">
        <f>HYPERLINK("http://www.worldcat.org/oclc/58454955","WorldCat Record")</f>
        <v>WorldCat Record</v>
      </c>
      <c r="AU370" s="3" t="s">
        <v>4392</v>
      </c>
      <c r="AV370" s="3" t="s">
        <v>4393</v>
      </c>
      <c r="AW370" s="3" t="s">
        <v>4394</v>
      </c>
      <c r="AX370" s="3" t="s">
        <v>4394</v>
      </c>
      <c r="AY370" s="3" t="s">
        <v>4395</v>
      </c>
      <c r="AZ370" s="3" t="s">
        <v>74</v>
      </c>
      <c r="BB370" s="3" t="s">
        <v>4396</v>
      </c>
      <c r="BC370" s="3" t="s">
        <v>4397</v>
      </c>
      <c r="BD370" s="3" t="s">
        <v>4398</v>
      </c>
    </row>
    <row r="371" spans="1:56" ht="57.75" customHeight="1" x14ac:dyDescent="0.25">
      <c r="A371" s="7" t="s">
        <v>59</v>
      </c>
      <c r="B371" s="2" t="s">
        <v>4399</v>
      </c>
      <c r="C371" s="2" t="s">
        <v>4400</v>
      </c>
      <c r="D371" s="2" t="s">
        <v>4401</v>
      </c>
      <c r="F371" s="3" t="s">
        <v>59</v>
      </c>
      <c r="G371" s="3" t="s">
        <v>60</v>
      </c>
      <c r="H371" s="3" t="s">
        <v>59</v>
      </c>
      <c r="I371" s="3" t="s">
        <v>59</v>
      </c>
      <c r="J371" s="3" t="s">
        <v>61</v>
      </c>
      <c r="K371" s="2" t="s">
        <v>4005</v>
      </c>
      <c r="L371" s="2" t="s">
        <v>4402</v>
      </c>
      <c r="M371" s="3" t="s">
        <v>684</v>
      </c>
      <c r="N371" s="2" t="s">
        <v>877</v>
      </c>
      <c r="O371" s="3" t="s">
        <v>64</v>
      </c>
      <c r="P371" s="3" t="s">
        <v>2362</v>
      </c>
      <c r="R371" s="3" t="s">
        <v>67</v>
      </c>
      <c r="S371" s="4">
        <v>14</v>
      </c>
      <c r="T371" s="4">
        <v>14</v>
      </c>
      <c r="U371" s="5" t="s">
        <v>4403</v>
      </c>
      <c r="V371" s="5" t="s">
        <v>4403</v>
      </c>
      <c r="W371" s="5" t="s">
        <v>4404</v>
      </c>
      <c r="X371" s="5" t="s">
        <v>4404</v>
      </c>
      <c r="Y371" s="4">
        <v>924</v>
      </c>
      <c r="Z371" s="4">
        <v>840</v>
      </c>
      <c r="AA371" s="4">
        <v>1341</v>
      </c>
      <c r="AB371" s="4">
        <v>9</v>
      </c>
      <c r="AC371" s="4">
        <v>14</v>
      </c>
      <c r="AD371" s="4">
        <v>31</v>
      </c>
      <c r="AE371" s="4">
        <v>46</v>
      </c>
      <c r="AF371" s="4">
        <v>11</v>
      </c>
      <c r="AG371" s="4">
        <v>17</v>
      </c>
      <c r="AH371" s="4">
        <v>6</v>
      </c>
      <c r="AI371" s="4">
        <v>9</v>
      </c>
      <c r="AJ371" s="4">
        <v>13</v>
      </c>
      <c r="AK371" s="4">
        <v>21</v>
      </c>
      <c r="AL371" s="4">
        <v>7</v>
      </c>
      <c r="AM371" s="4">
        <v>10</v>
      </c>
      <c r="AN371" s="4">
        <v>0</v>
      </c>
      <c r="AO371" s="4">
        <v>0</v>
      </c>
      <c r="AP371" s="3" t="s">
        <v>59</v>
      </c>
      <c r="AQ371" s="3" t="s">
        <v>59</v>
      </c>
      <c r="AS371" s="6" t="str">
        <f>HYPERLINK("https://creighton-primo.hosted.exlibrisgroup.com/primo-explore/search?tab=default_tab&amp;search_scope=EVERYTHING&amp;vid=01CRU&amp;lang=en_US&amp;offset=0&amp;query=any,contains,991003661839702656","Catalog Record")</f>
        <v>Catalog Record</v>
      </c>
      <c r="AT371" s="6" t="str">
        <f>HYPERLINK("http://www.worldcat.org/oclc/43311873","WorldCat Record")</f>
        <v>WorldCat Record</v>
      </c>
      <c r="AU371" s="3" t="s">
        <v>4405</v>
      </c>
      <c r="AV371" s="3" t="s">
        <v>4406</v>
      </c>
      <c r="AW371" s="3" t="s">
        <v>4407</v>
      </c>
      <c r="AX371" s="3" t="s">
        <v>4407</v>
      </c>
      <c r="AY371" s="3" t="s">
        <v>4408</v>
      </c>
      <c r="AZ371" s="3" t="s">
        <v>74</v>
      </c>
      <c r="BB371" s="3" t="s">
        <v>4409</v>
      </c>
      <c r="BC371" s="3" t="s">
        <v>4410</v>
      </c>
      <c r="BD371" s="3" t="s">
        <v>4411</v>
      </c>
    </row>
    <row r="372" spans="1:56" ht="57.75" customHeight="1" x14ac:dyDescent="0.25">
      <c r="A372" s="7" t="s">
        <v>59</v>
      </c>
      <c r="B372" s="2" t="s">
        <v>4412</v>
      </c>
      <c r="C372" s="2" t="s">
        <v>4413</v>
      </c>
      <c r="D372" s="2" t="s">
        <v>4414</v>
      </c>
      <c r="F372" s="3" t="s">
        <v>59</v>
      </c>
      <c r="G372" s="3" t="s">
        <v>60</v>
      </c>
      <c r="H372" s="3" t="s">
        <v>59</v>
      </c>
      <c r="I372" s="3" t="s">
        <v>59</v>
      </c>
      <c r="J372" s="3" t="s">
        <v>61</v>
      </c>
      <c r="K372" s="2" t="s">
        <v>4415</v>
      </c>
      <c r="L372" s="2" t="s">
        <v>4416</v>
      </c>
      <c r="M372" s="3" t="s">
        <v>835</v>
      </c>
      <c r="O372" s="3" t="s">
        <v>64</v>
      </c>
      <c r="P372" s="3" t="s">
        <v>1078</v>
      </c>
      <c r="Q372" s="2" t="s">
        <v>4417</v>
      </c>
      <c r="R372" s="3" t="s">
        <v>67</v>
      </c>
      <c r="S372" s="4">
        <v>2</v>
      </c>
      <c r="T372" s="4">
        <v>2</v>
      </c>
      <c r="U372" s="5" t="s">
        <v>1866</v>
      </c>
      <c r="V372" s="5" t="s">
        <v>1866</v>
      </c>
      <c r="W372" s="5" t="s">
        <v>3416</v>
      </c>
      <c r="X372" s="5" t="s">
        <v>3416</v>
      </c>
      <c r="Y372" s="4">
        <v>393</v>
      </c>
      <c r="Z372" s="4">
        <v>365</v>
      </c>
      <c r="AA372" s="4">
        <v>382</v>
      </c>
      <c r="AB372" s="4">
        <v>2</v>
      </c>
      <c r="AC372" s="4">
        <v>2</v>
      </c>
      <c r="AD372" s="4">
        <v>7</v>
      </c>
      <c r="AE372" s="4">
        <v>7</v>
      </c>
      <c r="AF372" s="4">
        <v>1</v>
      </c>
      <c r="AG372" s="4">
        <v>1</v>
      </c>
      <c r="AH372" s="4">
        <v>2</v>
      </c>
      <c r="AI372" s="4">
        <v>2</v>
      </c>
      <c r="AJ372" s="4">
        <v>5</v>
      </c>
      <c r="AK372" s="4">
        <v>5</v>
      </c>
      <c r="AL372" s="4">
        <v>1</v>
      </c>
      <c r="AM372" s="4">
        <v>1</v>
      </c>
      <c r="AN372" s="4">
        <v>0</v>
      </c>
      <c r="AO372" s="4">
        <v>0</v>
      </c>
      <c r="AP372" s="3" t="s">
        <v>59</v>
      </c>
      <c r="AQ372" s="3" t="s">
        <v>59</v>
      </c>
      <c r="AS372" s="6" t="str">
        <f>HYPERLINK("https://creighton-primo.hosted.exlibrisgroup.com/primo-explore/search?tab=default_tab&amp;search_scope=EVERYTHING&amp;vid=01CRU&amp;lang=en_US&amp;offset=0&amp;query=any,contains,991005000459702656","Catalog Record")</f>
        <v>Catalog Record</v>
      </c>
      <c r="AT372" s="6" t="str">
        <f>HYPERLINK("http://www.worldcat.org/oclc/6539734","WorldCat Record")</f>
        <v>WorldCat Record</v>
      </c>
      <c r="AU372" s="3" t="s">
        <v>4418</v>
      </c>
      <c r="AV372" s="3" t="s">
        <v>4419</v>
      </c>
      <c r="AW372" s="3" t="s">
        <v>4420</v>
      </c>
      <c r="AX372" s="3" t="s">
        <v>4420</v>
      </c>
      <c r="AY372" s="3" t="s">
        <v>4421</v>
      </c>
      <c r="AZ372" s="3" t="s">
        <v>74</v>
      </c>
      <c r="BB372" s="3" t="s">
        <v>4422</v>
      </c>
      <c r="BC372" s="3" t="s">
        <v>4423</v>
      </c>
      <c r="BD372" s="3" t="s">
        <v>4424</v>
      </c>
    </row>
    <row r="373" spans="1:56" ht="57.75" customHeight="1" x14ac:dyDescent="0.25">
      <c r="A373" s="7" t="s">
        <v>59</v>
      </c>
      <c r="B373" s="2" t="s">
        <v>4425</v>
      </c>
      <c r="C373" s="2" t="s">
        <v>4426</v>
      </c>
      <c r="D373" s="2" t="s">
        <v>4427</v>
      </c>
      <c r="F373" s="3" t="s">
        <v>59</v>
      </c>
      <c r="G373" s="3" t="s">
        <v>60</v>
      </c>
      <c r="H373" s="3" t="s">
        <v>59</v>
      </c>
      <c r="I373" s="3" t="s">
        <v>59</v>
      </c>
      <c r="J373" s="3" t="s">
        <v>61</v>
      </c>
      <c r="K373" s="2" t="s">
        <v>4428</v>
      </c>
      <c r="L373" s="2" t="s">
        <v>4429</v>
      </c>
      <c r="M373" s="3" t="s">
        <v>511</v>
      </c>
      <c r="O373" s="3" t="s">
        <v>64</v>
      </c>
      <c r="P373" s="3" t="s">
        <v>405</v>
      </c>
      <c r="R373" s="3" t="s">
        <v>67</v>
      </c>
      <c r="S373" s="4">
        <v>9</v>
      </c>
      <c r="T373" s="4">
        <v>9</v>
      </c>
      <c r="U373" s="5" t="s">
        <v>4430</v>
      </c>
      <c r="V373" s="5" t="s">
        <v>4430</v>
      </c>
      <c r="W373" s="5" t="s">
        <v>4431</v>
      </c>
      <c r="X373" s="5" t="s">
        <v>4431</v>
      </c>
      <c r="Y373" s="4">
        <v>94</v>
      </c>
      <c r="Z373" s="4">
        <v>34</v>
      </c>
      <c r="AA373" s="4">
        <v>49</v>
      </c>
      <c r="AB373" s="4">
        <v>1</v>
      </c>
      <c r="AC373" s="4">
        <v>2</v>
      </c>
      <c r="AD373" s="4">
        <v>0</v>
      </c>
      <c r="AE373" s="4">
        <v>2</v>
      </c>
      <c r="AF373" s="4">
        <v>0</v>
      </c>
      <c r="AG373" s="4">
        <v>1</v>
      </c>
      <c r="AH373" s="4">
        <v>0</v>
      </c>
      <c r="AI373" s="4">
        <v>1</v>
      </c>
      <c r="AJ373" s="4">
        <v>0</v>
      </c>
      <c r="AK373" s="4">
        <v>0</v>
      </c>
      <c r="AL373" s="4">
        <v>0</v>
      </c>
      <c r="AM373" s="4">
        <v>1</v>
      </c>
      <c r="AN373" s="4">
        <v>0</v>
      </c>
      <c r="AO373" s="4">
        <v>0</v>
      </c>
      <c r="AP373" s="3" t="s">
        <v>59</v>
      </c>
      <c r="AQ373" s="3" t="s">
        <v>59</v>
      </c>
      <c r="AS373" s="6" t="str">
        <f>HYPERLINK("https://creighton-primo.hosted.exlibrisgroup.com/primo-explore/search?tab=default_tab&amp;search_scope=EVERYTHING&amp;vid=01CRU&amp;lang=en_US&amp;offset=0&amp;query=any,contains,991002596019702656","Catalog Record")</f>
        <v>Catalog Record</v>
      </c>
      <c r="AT373" s="6" t="str">
        <f>HYPERLINK("http://www.worldcat.org/oclc/34596384","WorldCat Record")</f>
        <v>WorldCat Record</v>
      </c>
      <c r="AU373" s="3" t="s">
        <v>4432</v>
      </c>
      <c r="AV373" s="3" t="s">
        <v>4433</v>
      </c>
      <c r="AW373" s="3" t="s">
        <v>4434</v>
      </c>
      <c r="AX373" s="3" t="s">
        <v>4434</v>
      </c>
      <c r="AY373" s="3" t="s">
        <v>4435</v>
      </c>
      <c r="AZ373" s="3" t="s">
        <v>74</v>
      </c>
      <c r="BB373" s="3" t="s">
        <v>4436</v>
      </c>
      <c r="BC373" s="3" t="s">
        <v>4437</v>
      </c>
      <c r="BD373" s="3" t="s">
        <v>4438</v>
      </c>
    </row>
    <row r="374" spans="1:56" ht="57.75" customHeight="1" x14ac:dyDescent="0.25">
      <c r="A374" s="7" t="s">
        <v>59</v>
      </c>
      <c r="B374" s="2" t="s">
        <v>4439</v>
      </c>
      <c r="C374" s="2" t="s">
        <v>4440</v>
      </c>
      <c r="D374" s="2" t="s">
        <v>4441</v>
      </c>
      <c r="F374" s="3" t="s">
        <v>59</v>
      </c>
      <c r="G374" s="3" t="s">
        <v>60</v>
      </c>
      <c r="H374" s="3" t="s">
        <v>59</v>
      </c>
      <c r="I374" s="3" t="s">
        <v>59</v>
      </c>
      <c r="J374" s="3" t="s">
        <v>61</v>
      </c>
      <c r="K374" s="2" t="s">
        <v>4442</v>
      </c>
      <c r="L374" s="2" t="s">
        <v>4443</v>
      </c>
      <c r="M374" s="3" t="s">
        <v>2421</v>
      </c>
      <c r="O374" s="3" t="s">
        <v>64</v>
      </c>
      <c r="P374" s="3" t="s">
        <v>405</v>
      </c>
      <c r="R374" s="3" t="s">
        <v>67</v>
      </c>
      <c r="S374" s="4">
        <v>2</v>
      </c>
      <c r="T374" s="4">
        <v>2</v>
      </c>
      <c r="U374" s="5" t="s">
        <v>4444</v>
      </c>
      <c r="V374" s="5" t="s">
        <v>4444</v>
      </c>
      <c r="W374" s="5" t="s">
        <v>3416</v>
      </c>
      <c r="X374" s="5" t="s">
        <v>3416</v>
      </c>
      <c r="Y374" s="4">
        <v>145</v>
      </c>
      <c r="Z374" s="4">
        <v>77</v>
      </c>
      <c r="AA374" s="4">
        <v>294</v>
      </c>
      <c r="AB374" s="4">
        <v>1</v>
      </c>
      <c r="AC374" s="4">
        <v>1</v>
      </c>
      <c r="AD374" s="4">
        <v>3</v>
      </c>
      <c r="AE374" s="4">
        <v>15</v>
      </c>
      <c r="AF374" s="4">
        <v>0</v>
      </c>
      <c r="AG374" s="4">
        <v>7</v>
      </c>
      <c r="AH374" s="4">
        <v>0</v>
      </c>
      <c r="AI374" s="4">
        <v>4</v>
      </c>
      <c r="AJ374" s="4">
        <v>3</v>
      </c>
      <c r="AK374" s="4">
        <v>9</v>
      </c>
      <c r="AL374" s="4">
        <v>0</v>
      </c>
      <c r="AM374" s="4">
        <v>0</v>
      </c>
      <c r="AN374" s="4">
        <v>0</v>
      </c>
      <c r="AO374" s="4">
        <v>0</v>
      </c>
      <c r="AP374" s="3" t="s">
        <v>59</v>
      </c>
      <c r="AQ374" s="3" t="s">
        <v>69</v>
      </c>
      <c r="AR374" s="6" t="str">
        <f>HYPERLINK("http://catalog.hathitrust.org/Record/001070245","HathiTrust Record")</f>
        <v>HathiTrust Record</v>
      </c>
      <c r="AS374" s="6" t="str">
        <f>HYPERLINK("https://creighton-primo.hosted.exlibrisgroup.com/primo-explore/search?tab=default_tab&amp;search_scope=EVERYTHING&amp;vid=01CRU&amp;lang=en_US&amp;offset=0&amp;query=any,contains,991001329309702656","Catalog Record")</f>
        <v>Catalog Record</v>
      </c>
      <c r="AT374" s="6" t="str">
        <f>HYPERLINK("http://www.worldcat.org/oclc/18307018","WorldCat Record")</f>
        <v>WorldCat Record</v>
      </c>
      <c r="AU374" s="3" t="s">
        <v>4445</v>
      </c>
      <c r="AV374" s="3" t="s">
        <v>4446</v>
      </c>
      <c r="AW374" s="3" t="s">
        <v>4447</v>
      </c>
      <c r="AX374" s="3" t="s">
        <v>4447</v>
      </c>
      <c r="AY374" s="3" t="s">
        <v>4448</v>
      </c>
      <c r="AZ374" s="3" t="s">
        <v>74</v>
      </c>
      <c r="BB374" s="3" t="s">
        <v>4449</v>
      </c>
      <c r="BC374" s="3" t="s">
        <v>4450</v>
      </c>
      <c r="BD374" s="3" t="s">
        <v>4451</v>
      </c>
    </row>
    <row r="375" spans="1:56" ht="57.75" customHeight="1" x14ac:dyDescent="0.25">
      <c r="A375" s="7" t="s">
        <v>59</v>
      </c>
      <c r="B375" s="2" t="s">
        <v>4452</v>
      </c>
      <c r="C375" s="2" t="s">
        <v>4453</v>
      </c>
      <c r="D375" s="2" t="s">
        <v>4454</v>
      </c>
      <c r="E375" s="3" t="s">
        <v>917</v>
      </c>
      <c r="F375" s="3" t="s">
        <v>69</v>
      </c>
      <c r="G375" s="3" t="s">
        <v>60</v>
      </c>
      <c r="H375" s="3" t="s">
        <v>59</v>
      </c>
      <c r="I375" s="3" t="s">
        <v>59</v>
      </c>
      <c r="J375" s="3" t="s">
        <v>61</v>
      </c>
      <c r="L375" s="2" t="s">
        <v>4455</v>
      </c>
      <c r="M375" s="3" t="s">
        <v>2244</v>
      </c>
      <c r="N375" s="2" t="s">
        <v>877</v>
      </c>
      <c r="O375" s="3" t="s">
        <v>64</v>
      </c>
      <c r="P375" s="3" t="s">
        <v>467</v>
      </c>
      <c r="R375" s="3" t="s">
        <v>67</v>
      </c>
      <c r="S375" s="4">
        <v>3</v>
      </c>
      <c r="T375" s="4">
        <v>5</v>
      </c>
      <c r="U375" s="5" t="s">
        <v>242</v>
      </c>
      <c r="V375" s="5" t="s">
        <v>242</v>
      </c>
      <c r="W375" s="5" t="s">
        <v>4456</v>
      </c>
      <c r="X375" s="5" t="s">
        <v>4456</v>
      </c>
      <c r="Y375" s="4">
        <v>160</v>
      </c>
      <c r="Z375" s="4">
        <v>127</v>
      </c>
      <c r="AA375" s="4">
        <v>353</v>
      </c>
      <c r="AB375" s="4">
        <v>3</v>
      </c>
      <c r="AC375" s="4">
        <v>7</v>
      </c>
      <c r="AD375" s="4">
        <v>8</v>
      </c>
      <c r="AE375" s="4">
        <v>18</v>
      </c>
      <c r="AF375" s="4">
        <v>0</v>
      </c>
      <c r="AG375" s="4">
        <v>5</v>
      </c>
      <c r="AH375" s="4">
        <v>2</v>
      </c>
      <c r="AI375" s="4">
        <v>2</v>
      </c>
      <c r="AJ375" s="4">
        <v>5</v>
      </c>
      <c r="AK375" s="4">
        <v>8</v>
      </c>
      <c r="AL375" s="4">
        <v>2</v>
      </c>
      <c r="AM375" s="4">
        <v>6</v>
      </c>
      <c r="AN375" s="4">
        <v>0</v>
      </c>
      <c r="AO375" s="4">
        <v>0</v>
      </c>
      <c r="AP375" s="3" t="s">
        <v>59</v>
      </c>
      <c r="AQ375" s="3" t="s">
        <v>69</v>
      </c>
      <c r="AR375" s="6" t="str">
        <f>HYPERLINK("http://catalog.hathitrust.org/Record/002505419","HathiTrust Record")</f>
        <v>HathiTrust Record</v>
      </c>
      <c r="AS375" s="6" t="str">
        <f>HYPERLINK("https://creighton-primo.hosted.exlibrisgroup.com/primo-explore/search?tab=default_tab&amp;search_scope=EVERYTHING&amp;vid=01CRU&amp;lang=en_US&amp;offset=0&amp;query=any,contains,991001846289702656","Catalog Record")</f>
        <v>Catalog Record</v>
      </c>
      <c r="AT375" s="6" t="str">
        <f>HYPERLINK("http://www.worldcat.org/oclc/23178975","WorldCat Record")</f>
        <v>WorldCat Record</v>
      </c>
      <c r="AU375" s="3" t="s">
        <v>4457</v>
      </c>
      <c r="AV375" s="3" t="s">
        <v>4458</v>
      </c>
      <c r="AW375" s="3" t="s">
        <v>4459</v>
      </c>
      <c r="AX375" s="3" t="s">
        <v>4459</v>
      </c>
      <c r="AY375" s="3" t="s">
        <v>4460</v>
      </c>
      <c r="AZ375" s="3" t="s">
        <v>74</v>
      </c>
      <c r="BB375" s="3" t="s">
        <v>4461</v>
      </c>
      <c r="BC375" s="3" t="s">
        <v>4462</v>
      </c>
      <c r="BD375" s="3" t="s">
        <v>4463</v>
      </c>
    </row>
    <row r="376" spans="1:56" ht="57.75" customHeight="1" x14ac:dyDescent="0.25">
      <c r="A376" s="7" t="s">
        <v>59</v>
      </c>
      <c r="B376" s="2" t="s">
        <v>4452</v>
      </c>
      <c r="C376" s="2" t="s">
        <v>4453</v>
      </c>
      <c r="D376" s="2" t="s">
        <v>4454</v>
      </c>
      <c r="E376" s="3" t="s">
        <v>923</v>
      </c>
      <c r="F376" s="3" t="s">
        <v>69</v>
      </c>
      <c r="G376" s="3" t="s">
        <v>60</v>
      </c>
      <c r="H376" s="3" t="s">
        <v>59</v>
      </c>
      <c r="I376" s="3" t="s">
        <v>59</v>
      </c>
      <c r="J376" s="3" t="s">
        <v>61</v>
      </c>
      <c r="L376" s="2" t="s">
        <v>4455</v>
      </c>
      <c r="M376" s="3" t="s">
        <v>2244</v>
      </c>
      <c r="N376" s="2" t="s">
        <v>877</v>
      </c>
      <c r="O376" s="3" t="s">
        <v>64</v>
      </c>
      <c r="P376" s="3" t="s">
        <v>467</v>
      </c>
      <c r="R376" s="3" t="s">
        <v>67</v>
      </c>
      <c r="S376" s="4">
        <v>2</v>
      </c>
      <c r="T376" s="4">
        <v>5</v>
      </c>
      <c r="U376" s="5" t="s">
        <v>242</v>
      </c>
      <c r="V376" s="5" t="s">
        <v>242</v>
      </c>
      <c r="W376" s="5" t="s">
        <v>4456</v>
      </c>
      <c r="X376" s="5" t="s">
        <v>4456</v>
      </c>
      <c r="Y376" s="4">
        <v>160</v>
      </c>
      <c r="Z376" s="4">
        <v>127</v>
      </c>
      <c r="AA376" s="4">
        <v>353</v>
      </c>
      <c r="AB376" s="4">
        <v>3</v>
      </c>
      <c r="AC376" s="4">
        <v>7</v>
      </c>
      <c r="AD376" s="4">
        <v>8</v>
      </c>
      <c r="AE376" s="4">
        <v>18</v>
      </c>
      <c r="AF376" s="4">
        <v>0</v>
      </c>
      <c r="AG376" s="4">
        <v>5</v>
      </c>
      <c r="AH376" s="4">
        <v>2</v>
      </c>
      <c r="AI376" s="4">
        <v>2</v>
      </c>
      <c r="AJ376" s="4">
        <v>5</v>
      </c>
      <c r="AK376" s="4">
        <v>8</v>
      </c>
      <c r="AL376" s="4">
        <v>2</v>
      </c>
      <c r="AM376" s="4">
        <v>6</v>
      </c>
      <c r="AN376" s="4">
        <v>0</v>
      </c>
      <c r="AO376" s="4">
        <v>0</v>
      </c>
      <c r="AP376" s="3" t="s">
        <v>59</v>
      </c>
      <c r="AQ376" s="3" t="s">
        <v>69</v>
      </c>
      <c r="AR376" s="6" t="str">
        <f>HYPERLINK("http://catalog.hathitrust.org/Record/002505419","HathiTrust Record")</f>
        <v>HathiTrust Record</v>
      </c>
      <c r="AS376" s="6" t="str">
        <f>HYPERLINK("https://creighton-primo.hosted.exlibrisgroup.com/primo-explore/search?tab=default_tab&amp;search_scope=EVERYTHING&amp;vid=01CRU&amp;lang=en_US&amp;offset=0&amp;query=any,contains,991001846289702656","Catalog Record")</f>
        <v>Catalog Record</v>
      </c>
      <c r="AT376" s="6" t="str">
        <f>HYPERLINK("http://www.worldcat.org/oclc/23178975","WorldCat Record")</f>
        <v>WorldCat Record</v>
      </c>
      <c r="AU376" s="3" t="s">
        <v>4457</v>
      </c>
      <c r="AV376" s="3" t="s">
        <v>4458</v>
      </c>
      <c r="AW376" s="3" t="s">
        <v>4459</v>
      </c>
      <c r="AX376" s="3" t="s">
        <v>4459</v>
      </c>
      <c r="AY376" s="3" t="s">
        <v>4460</v>
      </c>
      <c r="AZ376" s="3" t="s">
        <v>74</v>
      </c>
      <c r="BB376" s="3" t="s">
        <v>4461</v>
      </c>
      <c r="BC376" s="3" t="s">
        <v>4464</v>
      </c>
      <c r="BD376" s="3" t="s">
        <v>4465</v>
      </c>
    </row>
    <row r="377" spans="1:56" ht="57.75" customHeight="1" x14ac:dyDescent="0.25">
      <c r="A377" s="7" t="s">
        <v>59</v>
      </c>
      <c r="B377" s="2" t="s">
        <v>4466</v>
      </c>
      <c r="C377" s="2" t="s">
        <v>4467</v>
      </c>
      <c r="D377" s="2" t="s">
        <v>4468</v>
      </c>
      <c r="F377" s="3" t="s">
        <v>59</v>
      </c>
      <c r="G377" s="3" t="s">
        <v>60</v>
      </c>
      <c r="H377" s="3" t="s">
        <v>59</v>
      </c>
      <c r="I377" s="3" t="s">
        <v>59</v>
      </c>
      <c r="J377" s="3" t="s">
        <v>61</v>
      </c>
      <c r="K377" s="2" t="s">
        <v>2017</v>
      </c>
      <c r="L377" s="2" t="s">
        <v>4469</v>
      </c>
      <c r="M377" s="3" t="s">
        <v>1430</v>
      </c>
      <c r="O377" s="3" t="s">
        <v>64</v>
      </c>
      <c r="P377" s="3" t="s">
        <v>2726</v>
      </c>
      <c r="Q377" s="2" t="s">
        <v>4470</v>
      </c>
      <c r="R377" s="3" t="s">
        <v>67</v>
      </c>
      <c r="S377" s="4">
        <v>10</v>
      </c>
      <c r="T377" s="4">
        <v>10</v>
      </c>
      <c r="U377" s="5" t="s">
        <v>4471</v>
      </c>
      <c r="V377" s="5" t="s">
        <v>4471</v>
      </c>
      <c r="W377" s="5" t="s">
        <v>4472</v>
      </c>
      <c r="X377" s="5" t="s">
        <v>4472</v>
      </c>
      <c r="Y377" s="4">
        <v>175</v>
      </c>
      <c r="Z377" s="4">
        <v>100</v>
      </c>
      <c r="AA377" s="4">
        <v>102</v>
      </c>
      <c r="AB377" s="4">
        <v>2</v>
      </c>
      <c r="AC377" s="4">
        <v>2</v>
      </c>
      <c r="AD377" s="4">
        <v>3</v>
      </c>
      <c r="AE377" s="4">
        <v>3</v>
      </c>
      <c r="AF377" s="4">
        <v>0</v>
      </c>
      <c r="AG377" s="4">
        <v>0</v>
      </c>
      <c r="AH377" s="4">
        <v>2</v>
      </c>
      <c r="AI377" s="4">
        <v>2</v>
      </c>
      <c r="AJ377" s="4">
        <v>1</v>
      </c>
      <c r="AK377" s="4">
        <v>1</v>
      </c>
      <c r="AL377" s="4">
        <v>1</v>
      </c>
      <c r="AM377" s="4">
        <v>1</v>
      </c>
      <c r="AN377" s="4">
        <v>0</v>
      </c>
      <c r="AO377" s="4">
        <v>0</v>
      </c>
      <c r="AP377" s="3" t="s">
        <v>59</v>
      </c>
      <c r="AQ377" s="3" t="s">
        <v>69</v>
      </c>
      <c r="AR377" s="6" t="str">
        <f>HYPERLINK("http://catalog.hathitrust.org/Record/000406116","HathiTrust Record")</f>
        <v>HathiTrust Record</v>
      </c>
      <c r="AS377" s="6" t="str">
        <f>HYPERLINK("https://creighton-primo.hosted.exlibrisgroup.com/primo-explore/search?tab=default_tab&amp;search_scope=EVERYTHING&amp;vid=01CRU&amp;lang=en_US&amp;offset=0&amp;query=any,contains,991000475509702656","Catalog Record")</f>
        <v>Catalog Record</v>
      </c>
      <c r="AT377" s="6" t="str">
        <f>HYPERLINK("http://www.worldcat.org/oclc/11029579","WorldCat Record")</f>
        <v>WorldCat Record</v>
      </c>
      <c r="AU377" s="3" t="s">
        <v>4473</v>
      </c>
      <c r="AV377" s="3" t="s">
        <v>4474</v>
      </c>
      <c r="AW377" s="3" t="s">
        <v>4475</v>
      </c>
      <c r="AX377" s="3" t="s">
        <v>4475</v>
      </c>
      <c r="AY377" s="3" t="s">
        <v>4476</v>
      </c>
      <c r="AZ377" s="3" t="s">
        <v>74</v>
      </c>
      <c r="BB377" s="3" t="s">
        <v>4477</v>
      </c>
      <c r="BC377" s="3" t="s">
        <v>4478</v>
      </c>
      <c r="BD377" s="3" t="s">
        <v>4479</v>
      </c>
    </row>
    <row r="378" spans="1:56" ht="57.75" customHeight="1" x14ac:dyDescent="0.25">
      <c r="A378" s="7" t="s">
        <v>59</v>
      </c>
      <c r="B378" s="2" t="s">
        <v>4480</v>
      </c>
      <c r="C378" s="2" t="s">
        <v>4481</v>
      </c>
      <c r="D378" s="2" t="s">
        <v>4482</v>
      </c>
      <c r="F378" s="3" t="s">
        <v>59</v>
      </c>
      <c r="G378" s="3" t="s">
        <v>60</v>
      </c>
      <c r="H378" s="3" t="s">
        <v>59</v>
      </c>
      <c r="I378" s="3" t="s">
        <v>59</v>
      </c>
      <c r="J378" s="3" t="s">
        <v>61</v>
      </c>
      <c r="K378" s="2" t="s">
        <v>2017</v>
      </c>
      <c r="L378" s="2" t="s">
        <v>4483</v>
      </c>
      <c r="M378" s="3" t="s">
        <v>239</v>
      </c>
      <c r="O378" s="3" t="s">
        <v>64</v>
      </c>
      <c r="P378" s="3" t="s">
        <v>1687</v>
      </c>
      <c r="R378" s="3" t="s">
        <v>67</v>
      </c>
      <c r="S378" s="4">
        <v>2</v>
      </c>
      <c r="T378" s="4">
        <v>2</v>
      </c>
      <c r="U378" s="5" t="s">
        <v>836</v>
      </c>
      <c r="V378" s="5" t="s">
        <v>836</v>
      </c>
      <c r="W378" s="5" t="s">
        <v>4484</v>
      </c>
      <c r="X378" s="5" t="s">
        <v>4484</v>
      </c>
      <c r="Y378" s="4">
        <v>130</v>
      </c>
      <c r="Z378" s="4">
        <v>43</v>
      </c>
      <c r="AA378" s="4">
        <v>44</v>
      </c>
      <c r="AB378" s="4">
        <v>1</v>
      </c>
      <c r="AC378" s="4">
        <v>1</v>
      </c>
      <c r="AD378" s="4">
        <v>1</v>
      </c>
      <c r="AE378" s="4">
        <v>1</v>
      </c>
      <c r="AF378" s="4">
        <v>0</v>
      </c>
      <c r="AG378" s="4">
        <v>0</v>
      </c>
      <c r="AH378" s="4">
        <v>0</v>
      </c>
      <c r="AI378" s="4">
        <v>0</v>
      </c>
      <c r="AJ378" s="4">
        <v>1</v>
      </c>
      <c r="AK378" s="4">
        <v>1</v>
      </c>
      <c r="AL378" s="4">
        <v>0</v>
      </c>
      <c r="AM378" s="4">
        <v>0</v>
      </c>
      <c r="AN378" s="4">
        <v>0</v>
      </c>
      <c r="AO378" s="4">
        <v>0</v>
      </c>
      <c r="AP378" s="3" t="s">
        <v>59</v>
      </c>
      <c r="AQ378" s="3" t="s">
        <v>69</v>
      </c>
      <c r="AR378" s="6" t="str">
        <f>HYPERLINK("http://catalog.hathitrust.org/Record/004044466","HathiTrust Record")</f>
        <v>HathiTrust Record</v>
      </c>
      <c r="AS378" s="6" t="str">
        <f>HYPERLINK("https://creighton-primo.hosted.exlibrisgroup.com/primo-explore/search?tab=default_tab&amp;search_scope=EVERYTHING&amp;vid=01CRU&amp;lang=en_US&amp;offset=0&amp;query=any,contains,991002768709702656","Catalog Record")</f>
        <v>Catalog Record</v>
      </c>
      <c r="AT378" s="6" t="str">
        <f>HYPERLINK("http://www.worldcat.org/oclc/36332716","WorldCat Record")</f>
        <v>WorldCat Record</v>
      </c>
      <c r="AU378" s="3" t="s">
        <v>4485</v>
      </c>
      <c r="AV378" s="3" t="s">
        <v>4486</v>
      </c>
      <c r="AW378" s="3" t="s">
        <v>4487</v>
      </c>
      <c r="AX378" s="3" t="s">
        <v>4487</v>
      </c>
      <c r="AY378" s="3" t="s">
        <v>4488</v>
      </c>
      <c r="AZ378" s="3" t="s">
        <v>74</v>
      </c>
      <c r="BB378" s="3" t="s">
        <v>4489</v>
      </c>
      <c r="BC378" s="3" t="s">
        <v>4490</v>
      </c>
      <c r="BD378" s="3" t="s">
        <v>4491</v>
      </c>
    </row>
    <row r="379" spans="1:56" ht="57.75" customHeight="1" x14ac:dyDescent="0.25">
      <c r="A379" s="7" t="s">
        <v>59</v>
      </c>
      <c r="B379" s="2" t="s">
        <v>4492</v>
      </c>
      <c r="C379" s="2" t="s">
        <v>4493</v>
      </c>
      <c r="D379" s="2" t="s">
        <v>4494</v>
      </c>
      <c r="E379" s="3" t="s">
        <v>993</v>
      </c>
      <c r="F379" s="3" t="s">
        <v>69</v>
      </c>
      <c r="G379" s="3" t="s">
        <v>60</v>
      </c>
      <c r="H379" s="3" t="s">
        <v>59</v>
      </c>
      <c r="I379" s="3" t="s">
        <v>59</v>
      </c>
      <c r="J379" s="3" t="s">
        <v>61</v>
      </c>
      <c r="L379" s="2" t="s">
        <v>4495</v>
      </c>
      <c r="M379" s="3" t="s">
        <v>4044</v>
      </c>
      <c r="O379" s="3" t="s">
        <v>64</v>
      </c>
      <c r="P379" s="3" t="s">
        <v>4496</v>
      </c>
      <c r="R379" s="3" t="s">
        <v>67</v>
      </c>
      <c r="S379" s="4">
        <v>2</v>
      </c>
      <c r="T379" s="4">
        <v>4</v>
      </c>
      <c r="U379" s="5" t="s">
        <v>4497</v>
      </c>
      <c r="V379" s="5" t="s">
        <v>4497</v>
      </c>
      <c r="W379" s="5" t="s">
        <v>4498</v>
      </c>
      <c r="X379" s="5" t="s">
        <v>4498</v>
      </c>
      <c r="Y379" s="4">
        <v>299</v>
      </c>
      <c r="Z379" s="4">
        <v>243</v>
      </c>
      <c r="AA379" s="4">
        <v>279</v>
      </c>
      <c r="AB379" s="4">
        <v>2</v>
      </c>
      <c r="AC379" s="4">
        <v>2</v>
      </c>
      <c r="AD379" s="4">
        <v>4</v>
      </c>
      <c r="AE379" s="4">
        <v>4</v>
      </c>
      <c r="AF379" s="4">
        <v>1</v>
      </c>
      <c r="AG379" s="4">
        <v>1</v>
      </c>
      <c r="AH379" s="4">
        <v>1</v>
      </c>
      <c r="AI379" s="4">
        <v>1</v>
      </c>
      <c r="AJ379" s="4">
        <v>1</v>
      </c>
      <c r="AK379" s="4">
        <v>1</v>
      </c>
      <c r="AL379" s="4">
        <v>1</v>
      </c>
      <c r="AM379" s="4">
        <v>1</v>
      </c>
      <c r="AN379" s="4">
        <v>0</v>
      </c>
      <c r="AO379" s="4">
        <v>0</v>
      </c>
      <c r="AP379" s="3" t="s">
        <v>69</v>
      </c>
      <c r="AQ379" s="3" t="s">
        <v>69</v>
      </c>
      <c r="AR379" s="6" t="str">
        <f>HYPERLINK("http://catalog.hathitrust.org/Record/001500088","HathiTrust Record")</f>
        <v>HathiTrust Record</v>
      </c>
      <c r="AS379" s="6" t="str">
        <f>HYPERLINK("https://creighton-primo.hosted.exlibrisgroup.com/primo-explore/search?tab=default_tab&amp;search_scope=EVERYTHING&amp;vid=01CRU&amp;lang=en_US&amp;offset=0&amp;query=any,contains,991003506949702656","Catalog Record")</f>
        <v>Catalog Record</v>
      </c>
      <c r="AT379" s="6" t="str">
        <f>HYPERLINK("http://www.worldcat.org/oclc/1059198","WorldCat Record")</f>
        <v>WorldCat Record</v>
      </c>
      <c r="AU379" s="3" t="s">
        <v>4499</v>
      </c>
      <c r="AV379" s="3" t="s">
        <v>4500</v>
      </c>
      <c r="AW379" s="3" t="s">
        <v>4501</v>
      </c>
      <c r="AX379" s="3" t="s">
        <v>4501</v>
      </c>
      <c r="AY379" s="3" t="s">
        <v>4502</v>
      </c>
      <c r="AZ379" s="3" t="s">
        <v>74</v>
      </c>
      <c r="BB379" s="3" t="s">
        <v>4503</v>
      </c>
      <c r="BC379" s="3" t="s">
        <v>4504</v>
      </c>
      <c r="BD379" s="3" t="s">
        <v>4505</v>
      </c>
    </row>
    <row r="380" spans="1:56" ht="57.75" customHeight="1" x14ac:dyDescent="0.25">
      <c r="A380" s="7" t="s">
        <v>59</v>
      </c>
      <c r="B380" s="2" t="s">
        <v>4492</v>
      </c>
      <c r="C380" s="2" t="s">
        <v>4493</v>
      </c>
      <c r="D380" s="2" t="s">
        <v>4494</v>
      </c>
      <c r="E380" s="3" t="s">
        <v>959</v>
      </c>
      <c r="F380" s="3" t="s">
        <v>69</v>
      </c>
      <c r="G380" s="3" t="s">
        <v>60</v>
      </c>
      <c r="H380" s="3" t="s">
        <v>59</v>
      </c>
      <c r="I380" s="3" t="s">
        <v>59</v>
      </c>
      <c r="J380" s="3" t="s">
        <v>61</v>
      </c>
      <c r="L380" s="2" t="s">
        <v>4495</v>
      </c>
      <c r="M380" s="3" t="s">
        <v>4044</v>
      </c>
      <c r="O380" s="3" t="s">
        <v>64</v>
      </c>
      <c r="P380" s="3" t="s">
        <v>4496</v>
      </c>
      <c r="R380" s="3" t="s">
        <v>67</v>
      </c>
      <c r="S380" s="4">
        <v>2</v>
      </c>
      <c r="T380" s="4">
        <v>4</v>
      </c>
      <c r="U380" s="5" t="s">
        <v>4506</v>
      </c>
      <c r="V380" s="5" t="s">
        <v>4497</v>
      </c>
      <c r="W380" s="5" t="s">
        <v>4507</v>
      </c>
      <c r="X380" s="5" t="s">
        <v>4498</v>
      </c>
      <c r="Y380" s="4">
        <v>299</v>
      </c>
      <c r="Z380" s="4">
        <v>243</v>
      </c>
      <c r="AA380" s="4">
        <v>279</v>
      </c>
      <c r="AB380" s="4">
        <v>2</v>
      </c>
      <c r="AC380" s="4">
        <v>2</v>
      </c>
      <c r="AD380" s="4">
        <v>4</v>
      </c>
      <c r="AE380" s="4">
        <v>4</v>
      </c>
      <c r="AF380" s="4">
        <v>1</v>
      </c>
      <c r="AG380" s="4">
        <v>1</v>
      </c>
      <c r="AH380" s="4">
        <v>1</v>
      </c>
      <c r="AI380" s="4">
        <v>1</v>
      </c>
      <c r="AJ380" s="4">
        <v>1</v>
      </c>
      <c r="AK380" s="4">
        <v>1</v>
      </c>
      <c r="AL380" s="4">
        <v>1</v>
      </c>
      <c r="AM380" s="4">
        <v>1</v>
      </c>
      <c r="AN380" s="4">
        <v>0</v>
      </c>
      <c r="AO380" s="4">
        <v>0</v>
      </c>
      <c r="AP380" s="3" t="s">
        <v>69</v>
      </c>
      <c r="AQ380" s="3" t="s">
        <v>69</v>
      </c>
      <c r="AR380" s="6" t="str">
        <f>HYPERLINK("http://catalog.hathitrust.org/Record/001500088","HathiTrust Record")</f>
        <v>HathiTrust Record</v>
      </c>
      <c r="AS380" s="6" t="str">
        <f>HYPERLINK("https://creighton-primo.hosted.exlibrisgroup.com/primo-explore/search?tab=default_tab&amp;search_scope=EVERYTHING&amp;vid=01CRU&amp;lang=en_US&amp;offset=0&amp;query=any,contains,991003506949702656","Catalog Record")</f>
        <v>Catalog Record</v>
      </c>
      <c r="AT380" s="6" t="str">
        <f>HYPERLINK("http://www.worldcat.org/oclc/1059198","WorldCat Record")</f>
        <v>WorldCat Record</v>
      </c>
      <c r="AU380" s="3" t="s">
        <v>4499</v>
      </c>
      <c r="AV380" s="3" t="s">
        <v>4500</v>
      </c>
      <c r="AW380" s="3" t="s">
        <v>4501</v>
      </c>
      <c r="AX380" s="3" t="s">
        <v>4501</v>
      </c>
      <c r="AY380" s="3" t="s">
        <v>4502</v>
      </c>
      <c r="AZ380" s="3" t="s">
        <v>74</v>
      </c>
      <c r="BB380" s="3" t="s">
        <v>4503</v>
      </c>
      <c r="BC380" s="3" t="s">
        <v>4508</v>
      </c>
      <c r="BD380" s="3" t="s">
        <v>4509</v>
      </c>
    </row>
    <row r="381" spans="1:56" ht="57.75" customHeight="1" x14ac:dyDescent="0.25">
      <c r="A381" s="7" t="s">
        <v>59</v>
      </c>
      <c r="B381" s="2" t="s">
        <v>4510</v>
      </c>
      <c r="C381" s="2" t="s">
        <v>4511</v>
      </c>
      <c r="D381" s="2" t="s">
        <v>4512</v>
      </c>
      <c r="F381" s="3" t="s">
        <v>59</v>
      </c>
      <c r="G381" s="3" t="s">
        <v>60</v>
      </c>
      <c r="H381" s="3" t="s">
        <v>59</v>
      </c>
      <c r="I381" s="3" t="s">
        <v>59</v>
      </c>
      <c r="J381" s="3" t="s">
        <v>61</v>
      </c>
      <c r="K381" s="2" t="s">
        <v>4513</v>
      </c>
      <c r="L381" s="2" t="s">
        <v>4514</v>
      </c>
      <c r="M381" s="3" t="s">
        <v>670</v>
      </c>
      <c r="O381" s="3" t="s">
        <v>64</v>
      </c>
      <c r="P381" s="3" t="s">
        <v>467</v>
      </c>
      <c r="R381" s="3" t="s">
        <v>67</v>
      </c>
      <c r="S381" s="4">
        <v>1</v>
      </c>
      <c r="T381" s="4">
        <v>1</v>
      </c>
      <c r="U381" s="5" t="s">
        <v>4515</v>
      </c>
      <c r="V381" s="5" t="s">
        <v>4515</v>
      </c>
      <c r="W381" s="5" t="s">
        <v>4507</v>
      </c>
      <c r="X381" s="5" t="s">
        <v>4507</v>
      </c>
      <c r="Y381" s="4">
        <v>335</v>
      </c>
      <c r="Z381" s="4">
        <v>234</v>
      </c>
      <c r="AA381" s="4">
        <v>258</v>
      </c>
      <c r="AB381" s="4">
        <v>2</v>
      </c>
      <c r="AC381" s="4">
        <v>2</v>
      </c>
      <c r="AD381" s="4">
        <v>6</v>
      </c>
      <c r="AE381" s="4">
        <v>7</v>
      </c>
      <c r="AF381" s="4">
        <v>3</v>
      </c>
      <c r="AG381" s="4">
        <v>4</v>
      </c>
      <c r="AH381" s="4">
        <v>2</v>
      </c>
      <c r="AI381" s="4">
        <v>2</v>
      </c>
      <c r="AJ381" s="4">
        <v>2</v>
      </c>
      <c r="AK381" s="4">
        <v>3</v>
      </c>
      <c r="AL381" s="4">
        <v>1</v>
      </c>
      <c r="AM381" s="4">
        <v>1</v>
      </c>
      <c r="AN381" s="4">
        <v>0</v>
      </c>
      <c r="AO381" s="4">
        <v>0</v>
      </c>
      <c r="AP381" s="3" t="s">
        <v>59</v>
      </c>
      <c r="AQ381" s="3" t="s">
        <v>69</v>
      </c>
      <c r="AR381" s="6" t="str">
        <f>HYPERLINK("http://catalog.hathitrust.org/Record/000108923","HathiTrust Record")</f>
        <v>HathiTrust Record</v>
      </c>
      <c r="AS381" s="6" t="str">
        <f>HYPERLINK("https://creighton-primo.hosted.exlibrisgroup.com/primo-explore/search?tab=default_tab&amp;search_scope=EVERYTHING&amp;vid=01CRU&amp;lang=en_US&amp;offset=0&amp;query=any,contains,991005240869702656","Catalog Record")</f>
        <v>Catalog Record</v>
      </c>
      <c r="AT381" s="6" t="str">
        <f>HYPERLINK("http://www.worldcat.org/oclc/8411125","WorldCat Record")</f>
        <v>WorldCat Record</v>
      </c>
      <c r="AU381" s="3" t="s">
        <v>4516</v>
      </c>
      <c r="AV381" s="3" t="s">
        <v>4517</v>
      </c>
      <c r="AW381" s="3" t="s">
        <v>4518</v>
      </c>
      <c r="AX381" s="3" t="s">
        <v>4518</v>
      </c>
      <c r="AY381" s="3" t="s">
        <v>4519</v>
      </c>
      <c r="AZ381" s="3" t="s">
        <v>74</v>
      </c>
      <c r="BB381" s="3" t="s">
        <v>4520</v>
      </c>
      <c r="BC381" s="3" t="s">
        <v>4521</v>
      </c>
      <c r="BD381" s="3" t="s">
        <v>4522</v>
      </c>
    </row>
    <row r="382" spans="1:56" ht="57.75" customHeight="1" x14ac:dyDescent="0.25">
      <c r="A382" s="7" t="s">
        <v>59</v>
      </c>
      <c r="B382" s="2" t="s">
        <v>4523</v>
      </c>
      <c r="C382" s="2" t="s">
        <v>4524</v>
      </c>
      <c r="D382" s="2" t="s">
        <v>4525</v>
      </c>
      <c r="F382" s="3" t="s">
        <v>59</v>
      </c>
      <c r="G382" s="3" t="s">
        <v>60</v>
      </c>
      <c r="H382" s="3" t="s">
        <v>59</v>
      </c>
      <c r="I382" s="3" t="s">
        <v>59</v>
      </c>
      <c r="J382" s="3" t="s">
        <v>61</v>
      </c>
      <c r="L382" s="2" t="s">
        <v>4526</v>
      </c>
      <c r="M382" s="3" t="s">
        <v>495</v>
      </c>
      <c r="O382" s="3" t="s">
        <v>64</v>
      </c>
      <c r="P382" s="3" t="s">
        <v>467</v>
      </c>
      <c r="R382" s="3" t="s">
        <v>67</v>
      </c>
      <c r="S382" s="4">
        <v>7</v>
      </c>
      <c r="T382" s="4">
        <v>7</v>
      </c>
      <c r="U382" s="5" t="s">
        <v>2337</v>
      </c>
      <c r="V382" s="5" t="s">
        <v>2337</v>
      </c>
      <c r="W382" s="5" t="s">
        <v>4507</v>
      </c>
      <c r="X382" s="5" t="s">
        <v>4507</v>
      </c>
      <c r="Y382" s="4">
        <v>191</v>
      </c>
      <c r="Z382" s="4">
        <v>140</v>
      </c>
      <c r="AA382" s="4">
        <v>158</v>
      </c>
      <c r="AB382" s="4">
        <v>2</v>
      </c>
      <c r="AC382" s="4">
        <v>2</v>
      </c>
      <c r="AD382" s="4">
        <v>4</v>
      </c>
      <c r="AE382" s="4">
        <v>5</v>
      </c>
      <c r="AF382" s="4">
        <v>0</v>
      </c>
      <c r="AG382" s="4">
        <v>1</v>
      </c>
      <c r="AH382" s="4">
        <v>2</v>
      </c>
      <c r="AI382" s="4">
        <v>2</v>
      </c>
      <c r="AJ382" s="4">
        <v>2</v>
      </c>
      <c r="AK382" s="4">
        <v>3</v>
      </c>
      <c r="AL382" s="4">
        <v>1</v>
      </c>
      <c r="AM382" s="4">
        <v>1</v>
      </c>
      <c r="AN382" s="4">
        <v>0</v>
      </c>
      <c r="AO382" s="4">
        <v>0</v>
      </c>
      <c r="AP382" s="3" t="s">
        <v>59</v>
      </c>
      <c r="AQ382" s="3" t="s">
        <v>59</v>
      </c>
      <c r="AS382" s="6" t="str">
        <f>HYPERLINK("https://creighton-primo.hosted.exlibrisgroup.com/primo-explore/search?tab=default_tab&amp;search_scope=EVERYTHING&amp;vid=01CRU&amp;lang=en_US&amp;offset=0&amp;query=any,contains,991001055629702656","Catalog Record")</f>
        <v>Catalog Record</v>
      </c>
      <c r="AT382" s="6" t="str">
        <f>HYPERLINK("http://www.worldcat.org/oclc/15695977","WorldCat Record")</f>
        <v>WorldCat Record</v>
      </c>
      <c r="AU382" s="3" t="s">
        <v>4527</v>
      </c>
      <c r="AV382" s="3" t="s">
        <v>4528</v>
      </c>
      <c r="AW382" s="3" t="s">
        <v>4529</v>
      </c>
      <c r="AX382" s="3" t="s">
        <v>4529</v>
      </c>
      <c r="AY382" s="3" t="s">
        <v>4530</v>
      </c>
      <c r="AZ382" s="3" t="s">
        <v>74</v>
      </c>
      <c r="BB382" s="3" t="s">
        <v>4531</v>
      </c>
      <c r="BC382" s="3" t="s">
        <v>4532</v>
      </c>
      <c r="BD382" s="3" t="s">
        <v>4533</v>
      </c>
    </row>
    <row r="383" spans="1:56" ht="57.75" customHeight="1" x14ac:dyDescent="0.25">
      <c r="A383" s="7" t="s">
        <v>59</v>
      </c>
      <c r="B383" s="2" t="s">
        <v>4534</v>
      </c>
      <c r="C383" s="2" t="s">
        <v>4535</v>
      </c>
      <c r="D383" s="2" t="s">
        <v>4536</v>
      </c>
      <c r="F383" s="3" t="s">
        <v>59</v>
      </c>
      <c r="G383" s="3" t="s">
        <v>60</v>
      </c>
      <c r="H383" s="3" t="s">
        <v>59</v>
      </c>
      <c r="I383" s="3" t="s">
        <v>59</v>
      </c>
      <c r="J383" s="3" t="s">
        <v>61</v>
      </c>
      <c r="L383" s="2" t="s">
        <v>4537</v>
      </c>
      <c r="M383" s="3" t="s">
        <v>1102</v>
      </c>
      <c r="O383" s="3" t="s">
        <v>64</v>
      </c>
      <c r="P383" s="3" t="s">
        <v>4538</v>
      </c>
      <c r="Q383" s="2" t="s">
        <v>4539</v>
      </c>
      <c r="R383" s="3" t="s">
        <v>67</v>
      </c>
      <c r="S383" s="4">
        <v>5</v>
      </c>
      <c r="T383" s="4">
        <v>5</v>
      </c>
      <c r="U383" s="5" t="s">
        <v>1335</v>
      </c>
      <c r="V383" s="5" t="s">
        <v>1335</v>
      </c>
      <c r="W383" s="5" t="s">
        <v>4540</v>
      </c>
      <c r="X383" s="5" t="s">
        <v>4540</v>
      </c>
      <c r="Y383" s="4">
        <v>218</v>
      </c>
      <c r="Z383" s="4">
        <v>160</v>
      </c>
      <c r="AA383" s="4">
        <v>184</v>
      </c>
      <c r="AB383" s="4">
        <v>1</v>
      </c>
      <c r="AC383" s="4">
        <v>1</v>
      </c>
      <c r="AD383" s="4">
        <v>4</v>
      </c>
      <c r="AE383" s="4">
        <v>4</v>
      </c>
      <c r="AF383" s="4">
        <v>0</v>
      </c>
      <c r="AG383" s="4">
        <v>0</v>
      </c>
      <c r="AH383" s="4">
        <v>2</v>
      </c>
      <c r="AI383" s="4">
        <v>2</v>
      </c>
      <c r="AJ383" s="4">
        <v>3</v>
      </c>
      <c r="AK383" s="4">
        <v>3</v>
      </c>
      <c r="AL383" s="4">
        <v>0</v>
      </c>
      <c r="AM383" s="4">
        <v>0</v>
      </c>
      <c r="AN383" s="4">
        <v>0</v>
      </c>
      <c r="AO383" s="4">
        <v>0</v>
      </c>
      <c r="AP383" s="3" t="s">
        <v>59</v>
      </c>
      <c r="AQ383" s="3" t="s">
        <v>69</v>
      </c>
      <c r="AR383" s="6" t="str">
        <f>HYPERLINK("http://catalog.hathitrust.org/Record/001081106","HathiTrust Record")</f>
        <v>HathiTrust Record</v>
      </c>
      <c r="AS383" s="6" t="str">
        <f>HYPERLINK("https://creighton-primo.hosted.exlibrisgroup.com/primo-explore/search?tab=default_tab&amp;search_scope=EVERYTHING&amp;vid=01CRU&amp;lang=en_US&amp;offset=0&amp;query=any,contains,991001271159702656","Catalog Record")</f>
        <v>Catalog Record</v>
      </c>
      <c r="AT383" s="6" t="str">
        <f>HYPERLINK("http://www.worldcat.org/oclc/17841351","WorldCat Record")</f>
        <v>WorldCat Record</v>
      </c>
      <c r="AU383" s="3" t="s">
        <v>4541</v>
      </c>
      <c r="AV383" s="3" t="s">
        <v>4542</v>
      </c>
      <c r="AW383" s="3" t="s">
        <v>4543</v>
      </c>
      <c r="AX383" s="3" t="s">
        <v>4543</v>
      </c>
      <c r="AY383" s="3" t="s">
        <v>4544</v>
      </c>
      <c r="AZ383" s="3" t="s">
        <v>74</v>
      </c>
      <c r="BB383" s="3" t="s">
        <v>4545</v>
      </c>
      <c r="BC383" s="3" t="s">
        <v>4546</v>
      </c>
      <c r="BD383" s="3" t="s">
        <v>4547</v>
      </c>
    </row>
    <row r="384" spans="1:56" ht="57.75" customHeight="1" x14ac:dyDescent="0.25">
      <c r="A384" s="7" t="s">
        <v>59</v>
      </c>
      <c r="B384" s="2" t="s">
        <v>4548</v>
      </c>
      <c r="C384" s="2" t="s">
        <v>4549</v>
      </c>
      <c r="D384" s="2" t="s">
        <v>4550</v>
      </c>
      <c r="F384" s="3" t="s">
        <v>59</v>
      </c>
      <c r="G384" s="3" t="s">
        <v>60</v>
      </c>
      <c r="H384" s="3" t="s">
        <v>59</v>
      </c>
      <c r="I384" s="3" t="s">
        <v>59</v>
      </c>
      <c r="J384" s="3" t="s">
        <v>61</v>
      </c>
      <c r="K384" s="2" t="s">
        <v>4551</v>
      </c>
      <c r="L384" s="2" t="s">
        <v>4552</v>
      </c>
      <c r="M384" s="3" t="s">
        <v>297</v>
      </c>
      <c r="O384" s="3" t="s">
        <v>64</v>
      </c>
      <c r="P384" s="3" t="s">
        <v>1117</v>
      </c>
      <c r="R384" s="3" t="s">
        <v>67</v>
      </c>
      <c r="S384" s="4">
        <v>3</v>
      </c>
      <c r="T384" s="4">
        <v>3</v>
      </c>
      <c r="U384" s="5" t="s">
        <v>3218</v>
      </c>
      <c r="V384" s="5" t="s">
        <v>3218</v>
      </c>
      <c r="W384" s="5" t="s">
        <v>4553</v>
      </c>
      <c r="X384" s="5" t="s">
        <v>4553</v>
      </c>
      <c r="Y384" s="4">
        <v>147</v>
      </c>
      <c r="Z384" s="4">
        <v>113</v>
      </c>
      <c r="AA384" s="4">
        <v>113</v>
      </c>
      <c r="AB384" s="4">
        <v>1</v>
      </c>
      <c r="AC384" s="4">
        <v>1</v>
      </c>
      <c r="AD384" s="4">
        <v>2</v>
      </c>
      <c r="AE384" s="4">
        <v>2</v>
      </c>
      <c r="AF384" s="4">
        <v>0</v>
      </c>
      <c r="AG384" s="4">
        <v>0</v>
      </c>
      <c r="AH384" s="4">
        <v>1</v>
      </c>
      <c r="AI384" s="4">
        <v>1</v>
      </c>
      <c r="AJ384" s="4">
        <v>1</v>
      </c>
      <c r="AK384" s="4">
        <v>1</v>
      </c>
      <c r="AL384" s="4">
        <v>0</v>
      </c>
      <c r="AM384" s="4">
        <v>0</v>
      </c>
      <c r="AN384" s="4">
        <v>0</v>
      </c>
      <c r="AO384" s="4">
        <v>0</v>
      </c>
      <c r="AP384" s="3" t="s">
        <v>59</v>
      </c>
      <c r="AQ384" s="3" t="s">
        <v>59</v>
      </c>
      <c r="AS384" s="6" t="str">
        <f>HYPERLINK("https://creighton-primo.hosted.exlibrisgroup.com/primo-explore/search?tab=default_tab&amp;search_scope=EVERYTHING&amp;vid=01CRU&amp;lang=en_US&amp;offset=0&amp;query=any,contains,991003511239702656","Catalog Record")</f>
        <v>Catalog Record</v>
      </c>
      <c r="AT384" s="6" t="str">
        <f>HYPERLINK("http://www.worldcat.org/oclc/40588023","WorldCat Record")</f>
        <v>WorldCat Record</v>
      </c>
      <c r="AU384" s="3" t="s">
        <v>4554</v>
      </c>
      <c r="AV384" s="3" t="s">
        <v>4555</v>
      </c>
      <c r="AW384" s="3" t="s">
        <v>4556</v>
      </c>
      <c r="AX384" s="3" t="s">
        <v>4556</v>
      </c>
      <c r="AY384" s="3" t="s">
        <v>4557</v>
      </c>
      <c r="AZ384" s="3" t="s">
        <v>74</v>
      </c>
      <c r="BB384" s="3" t="s">
        <v>4558</v>
      </c>
      <c r="BC384" s="3" t="s">
        <v>4559</v>
      </c>
      <c r="BD384" s="3" t="s">
        <v>4560</v>
      </c>
    </row>
    <row r="385" spans="1:56" ht="57.75" customHeight="1" x14ac:dyDescent="0.25">
      <c r="A385" s="7" t="s">
        <v>59</v>
      </c>
      <c r="B385" s="2" t="s">
        <v>4561</v>
      </c>
      <c r="C385" s="2" t="s">
        <v>4562</v>
      </c>
      <c r="D385" s="2" t="s">
        <v>4563</v>
      </c>
      <c r="F385" s="3" t="s">
        <v>59</v>
      </c>
      <c r="G385" s="3" t="s">
        <v>60</v>
      </c>
      <c r="H385" s="3" t="s">
        <v>59</v>
      </c>
      <c r="I385" s="3" t="s">
        <v>59</v>
      </c>
      <c r="J385" s="3" t="s">
        <v>61</v>
      </c>
      <c r="K385" s="2" t="s">
        <v>4564</v>
      </c>
      <c r="L385" s="2" t="s">
        <v>4565</v>
      </c>
      <c r="M385" s="3" t="s">
        <v>587</v>
      </c>
      <c r="O385" s="3" t="s">
        <v>64</v>
      </c>
      <c r="P385" s="3" t="s">
        <v>467</v>
      </c>
      <c r="R385" s="3" t="s">
        <v>67</v>
      </c>
      <c r="S385" s="4">
        <v>3</v>
      </c>
      <c r="T385" s="4">
        <v>3</v>
      </c>
      <c r="U385" s="5" t="s">
        <v>1963</v>
      </c>
      <c r="V385" s="5" t="s">
        <v>1963</v>
      </c>
      <c r="W385" s="5" t="s">
        <v>4365</v>
      </c>
      <c r="X385" s="5" t="s">
        <v>4365</v>
      </c>
      <c r="Y385" s="4">
        <v>468</v>
      </c>
      <c r="Z385" s="4">
        <v>353</v>
      </c>
      <c r="AA385" s="4">
        <v>396</v>
      </c>
      <c r="AB385" s="4">
        <v>3</v>
      </c>
      <c r="AC385" s="4">
        <v>3</v>
      </c>
      <c r="AD385" s="4">
        <v>18</v>
      </c>
      <c r="AE385" s="4">
        <v>19</v>
      </c>
      <c r="AF385" s="4">
        <v>6</v>
      </c>
      <c r="AG385" s="4">
        <v>6</v>
      </c>
      <c r="AH385" s="4">
        <v>3</v>
      </c>
      <c r="AI385" s="4">
        <v>4</v>
      </c>
      <c r="AJ385" s="4">
        <v>10</v>
      </c>
      <c r="AK385" s="4">
        <v>10</v>
      </c>
      <c r="AL385" s="4">
        <v>2</v>
      </c>
      <c r="AM385" s="4">
        <v>2</v>
      </c>
      <c r="AN385" s="4">
        <v>0</v>
      </c>
      <c r="AO385" s="4">
        <v>0</v>
      </c>
      <c r="AP385" s="3" t="s">
        <v>59</v>
      </c>
      <c r="AQ385" s="3" t="s">
        <v>69</v>
      </c>
      <c r="AR385" s="6" t="str">
        <f>HYPERLINK("http://catalog.hathitrust.org/Record/001500103","HathiTrust Record")</f>
        <v>HathiTrust Record</v>
      </c>
      <c r="AS385" s="6" t="str">
        <f>HYPERLINK("https://creighton-primo.hosted.exlibrisgroup.com/primo-explore/search?tab=default_tab&amp;search_scope=EVERYTHING&amp;vid=01CRU&amp;lang=en_US&amp;offset=0&amp;query=any,contains,991002666799702656","Catalog Record")</f>
        <v>Catalog Record</v>
      </c>
      <c r="AT385" s="6" t="str">
        <f>HYPERLINK("http://www.worldcat.org/oclc/393481","WorldCat Record")</f>
        <v>WorldCat Record</v>
      </c>
      <c r="AU385" s="3" t="s">
        <v>4566</v>
      </c>
      <c r="AV385" s="3" t="s">
        <v>4567</v>
      </c>
      <c r="AW385" s="3" t="s">
        <v>4568</v>
      </c>
      <c r="AX385" s="3" t="s">
        <v>4568</v>
      </c>
      <c r="AY385" s="3" t="s">
        <v>4569</v>
      </c>
      <c r="AZ385" s="3" t="s">
        <v>74</v>
      </c>
      <c r="BB385" s="3" t="s">
        <v>4570</v>
      </c>
      <c r="BC385" s="3" t="s">
        <v>4571</v>
      </c>
      <c r="BD385" s="3" t="s">
        <v>4572</v>
      </c>
    </row>
    <row r="386" spans="1:56" ht="57.75" customHeight="1" x14ac:dyDescent="0.25">
      <c r="A386" s="7" t="s">
        <v>59</v>
      </c>
      <c r="B386" s="2" t="s">
        <v>4573</v>
      </c>
      <c r="C386" s="2" t="s">
        <v>4574</v>
      </c>
      <c r="D386" s="2" t="s">
        <v>4575</v>
      </c>
      <c r="F386" s="3" t="s">
        <v>59</v>
      </c>
      <c r="G386" s="3" t="s">
        <v>60</v>
      </c>
      <c r="H386" s="3" t="s">
        <v>59</v>
      </c>
      <c r="I386" s="3" t="s">
        <v>59</v>
      </c>
      <c r="J386" s="3" t="s">
        <v>61</v>
      </c>
      <c r="K386" s="2" t="s">
        <v>4576</v>
      </c>
      <c r="L386" s="2" t="s">
        <v>4577</v>
      </c>
      <c r="M386" s="3" t="s">
        <v>404</v>
      </c>
      <c r="O386" s="3" t="s">
        <v>64</v>
      </c>
      <c r="P386" s="3" t="s">
        <v>467</v>
      </c>
      <c r="R386" s="3" t="s">
        <v>67</v>
      </c>
      <c r="S386" s="4">
        <v>2</v>
      </c>
      <c r="T386" s="4">
        <v>2</v>
      </c>
      <c r="U386" s="5" t="s">
        <v>4578</v>
      </c>
      <c r="V386" s="5" t="s">
        <v>4578</v>
      </c>
      <c r="W386" s="5" t="s">
        <v>2452</v>
      </c>
      <c r="X386" s="5" t="s">
        <v>2452</v>
      </c>
      <c r="Y386" s="4">
        <v>520</v>
      </c>
      <c r="Z386" s="4">
        <v>390</v>
      </c>
      <c r="AA386" s="4">
        <v>533</v>
      </c>
      <c r="AB386" s="4">
        <v>5</v>
      </c>
      <c r="AC386" s="4">
        <v>6</v>
      </c>
      <c r="AD386" s="4">
        <v>20</v>
      </c>
      <c r="AE386" s="4">
        <v>25</v>
      </c>
      <c r="AF386" s="4">
        <v>8</v>
      </c>
      <c r="AG386" s="4">
        <v>9</v>
      </c>
      <c r="AH386" s="4">
        <v>2</v>
      </c>
      <c r="AI386" s="4">
        <v>5</v>
      </c>
      <c r="AJ386" s="4">
        <v>9</v>
      </c>
      <c r="AK386" s="4">
        <v>11</v>
      </c>
      <c r="AL386" s="4">
        <v>4</v>
      </c>
      <c r="AM386" s="4">
        <v>5</v>
      </c>
      <c r="AN386" s="4">
        <v>0</v>
      </c>
      <c r="AO386" s="4">
        <v>0</v>
      </c>
      <c r="AP386" s="3" t="s">
        <v>59</v>
      </c>
      <c r="AQ386" s="3" t="s">
        <v>69</v>
      </c>
      <c r="AR386" s="6" t="str">
        <f>HYPERLINK("http://catalog.hathitrust.org/Record/001500104","HathiTrust Record")</f>
        <v>HathiTrust Record</v>
      </c>
      <c r="AS386" s="6" t="str">
        <f>HYPERLINK("https://creighton-primo.hosted.exlibrisgroup.com/primo-explore/search?tab=default_tab&amp;search_scope=EVERYTHING&amp;vid=01CRU&amp;lang=en_US&amp;offset=0&amp;query=any,contains,991002778509702656","Catalog Record")</f>
        <v>Catalog Record</v>
      </c>
      <c r="AT386" s="6" t="str">
        <f>HYPERLINK("http://www.worldcat.org/oclc/439470","WorldCat Record")</f>
        <v>WorldCat Record</v>
      </c>
      <c r="AU386" s="3" t="s">
        <v>4579</v>
      </c>
      <c r="AV386" s="3" t="s">
        <v>4580</v>
      </c>
      <c r="AW386" s="3" t="s">
        <v>4581</v>
      </c>
      <c r="AX386" s="3" t="s">
        <v>4581</v>
      </c>
      <c r="AY386" s="3" t="s">
        <v>4582</v>
      </c>
      <c r="AZ386" s="3" t="s">
        <v>74</v>
      </c>
      <c r="BC386" s="3" t="s">
        <v>4583</v>
      </c>
      <c r="BD386" s="3" t="s">
        <v>4584</v>
      </c>
    </row>
    <row r="387" spans="1:56" ht="57.75" customHeight="1" x14ac:dyDescent="0.25">
      <c r="A387" s="7" t="s">
        <v>59</v>
      </c>
      <c r="B387" s="2" t="s">
        <v>4585</v>
      </c>
      <c r="C387" s="2" t="s">
        <v>4586</v>
      </c>
      <c r="D387" s="2" t="s">
        <v>4587</v>
      </c>
      <c r="E387" s="3" t="s">
        <v>917</v>
      </c>
      <c r="F387" s="3" t="s">
        <v>69</v>
      </c>
      <c r="G387" s="3" t="s">
        <v>60</v>
      </c>
      <c r="H387" s="3" t="s">
        <v>59</v>
      </c>
      <c r="I387" s="3" t="s">
        <v>59</v>
      </c>
      <c r="J387" s="3" t="s">
        <v>61</v>
      </c>
      <c r="L387" s="2" t="s">
        <v>4588</v>
      </c>
      <c r="M387" s="3" t="s">
        <v>1430</v>
      </c>
      <c r="O387" s="3" t="s">
        <v>64</v>
      </c>
      <c r="P387" s="3" t="s">
        <v>630</v>
      </c>
      <c r="R387" s="3" t="s">
        <v>67</v>
      </c>
      <c r="S387" s="4">
        <v>1</v>
      </c>
      <c r="T387" s="4">
        <v>4</v>
      </c>
      <c r="V387" s="5" t="s">
        <v>4589</v>
      </c>
      <c r="W387" s="5" t="s">
        <v>4507</v>
      </c>
      <c r="X387" s="5" t="s">
        <v>4590</v>
      </c>
      <c r="Y387" s="4">
        <v>383</v>
      </c>
      <c r="Z387" s="4">
        <v>338</v>
      </c>
      <c r="AA387" s="4">
        <v>406</v>
      </c>
      <c r="AB387" s="4">
        <v>3</v>
      </c>
      <c r="AC387" s="4">
        <v>4</v>
      </c>
      <c r="AD387" s="4">
        <v>15</v>
      </c>
      <c r="AE387" s="4">
        <v>18</v>
      </c>
      <c r="AF387" s="4">
        <v>5</v>
      </c>
      <c r="AG387" s="4">
        <v>6</v>
      </c>
      <c r="AH387" s="4">
        <v>4</v>
      </c>
      <c r="AI387" s="4">
        <v>5</v>
      </c>
      <c r="AJ387" s="4">
        <v>8</v>
      </c>
      <c r="AK387" s="4">
        <v>10</v>
      </c>
      <c r="AL387" s="4">
        <v>2</v>
      </c>
      <c r="AM387" s="4">
        <v>3</v>
      </c>
      <c r="AN387" s="4">
        <v>0</v>
      </c>
      <c r="AO387" s="4">
        <v>0</v>
      </c>
      <c r="AP387" s="3" t="s">
        <v>59</v>
      </c>
      <c r="AQ387" s="3" t="s">
        <v>69</v>
      </c>
      <c r="AR387" s="6" t="str">
        <f>HYPERLINK("http://catalog.hathitrust.org/Record/000286103","HathiTrust Record")</f>
        <v>HathiTrust Record</v>
      </c>
      <c r="AS387" s="6" t="str">
        <f>HYPERLINK("https://creighton-primo.hosted.exlibrisgroup.com/primo-explore/search?tab=default_tab&amp;search_scope=EVERYTHING&amp;vid=01CRU&amp;lang=en_US&amp;offset=0&amp;query=any,contains,991000316359702656","Catalog Record")</f>
        <v>Catalog Record</v>
      </c>
      <c r="AT387" s="6" t="str">
        <f>HYPERLINK("http://www.worldcat.org/oclc/10122235","WorldCat Record")</f>
        <v>WorldCat Record</v>
      </c>
      <c r="AU387" s="3" t="s">
        <v>4591</v>
      </c>
      <c r="AV387" s="3" t="s">
        <v>4592</v>
      </c>
      <c r="AW387" s="3" t="s">
        <v>4593</v>
      </c>
      <c r="AX387" s="3" t="s">
        <v>4593</v>
      </c>
      <c r="AY387" s="3" t="s">
        <v>4594</v>
      </c>
      <c r="AZ387" s="3" t="s">
        <v>74</v>
      </c>
      <c r="BB387" s="3" t="s">
        <v>4595</v>
      </c>
      <c r="BC387" s="3" t="s">
        <v>4596</v>
      </c>
      <c r="BD387" s="3" t="s">
        <v>4597</v>
      </c>
    </row>
    <row r="388" spans="1:56" ht="57.75" customHeight="1" x14ac:dyDescent="0.25">
      <c r="A388" s="7" t="s">
        <v>59</v>
      </c>
      <c r="B388" s="2" t="s">
        <v>4585</v>
      </c>
      <c r="C388" s="2" t="s">
        <v>4586</v>
      </c>
      <c r="D388" s="2" t="s">
        <v>4587</v>
      </c>
      <c r="E388" s="3" t="s">
        <v>923</v>
      </c>
      <c r="F388" s="3" t="s">
        <v>69</v>
      </c>
      <c r="G388" s="3" t="s">
        <v>60</v>
      </c>
      <c r="H388" s="3" t="s">
        <v>59</v>
      </c>
      <c r="I388" s="3" t="s">
        <v>59</v>
      </c>
      <c r="J388" s="3" t="s">
        <v>61</v>
      </c>
      <c r="L388" s="2" t="s">
        <v>4588</v>
      </c>
      <c r="M388" s="3" t="s">
        <v>1430</v>
      </c>
      <c r="O388" s="3" t="s">
        <v>64</v>
      </c>
      <c r="P388" s="3" t="s">
        <v>630</v>
      </c>
      <c r="R388" s="3" t="s">
        <v>67</v>
      </c>
      <c r="S388" s="4">
        <v>3</v>
      </c>
      <c r="T388" s="4">
        <v>4</v>
      </c>
      <c r="U388" s="5" t="s">
        <v>4589</v>
      </c>
      <c r="V388" s="5" t="s">
        <v>4589</v>
      </c>
      <c r="W388" s="5" t="s">
        <v>4590</v>
      </c>
      <c r="X388" s="5" t="s">
        <v>4590</v>
      </c>
      <c r="Y388" s="4">
        <v>383</v>
      </c>
      <c r="Z388" s="4">
        <v>338</v>
      </c>
      <c r="AA388" s="4">
        <v>406</v>
      </c>
      <c r="AB388" s="4">
        <v>3</v>
      </c>
      <c r="AC388" s="4">
        <v>4</v>
      </c>
      <c r="AD388" s="4">
        <v>15</v>
      </c>
      <c r="AE388" s="4">
        <v>18</v>
      </c>
      <c r="AF388" s="4">
        <v>5</v>
      </c>
      <c r="AG388" s="4">
        <v>6</v>
      </c>
      <c r="AH388" s="4">
        <v>4</v>
      </c>
      <c r="AI388" s="4">
        <v>5</v>
      </c>
      <c r="AJ388" s="4">
        <v>8</v>
      </c>
      <c r="AK388" s="4">
        <v>10</v>
      </c>
      <c r="AL388" s="4">
        <v>2</v>
      </c>
      <c r="AM388" s="4">
        <v>3</v>
      </c>
      <c r="AN388" s="4">
        <v>0</v>
      </c>
      <c r="AO388" s="4">
        <v>0</v>
      </c>
      <c r="AP388" s="3" t="s">
        <v>59</v>
      </c>
      <c r="AQ388" s="3" t="s">
        <v>69</v>
      </c>
      <c r="AR388" s="6" t="str">
        <f>HYPERLINK("http://catalog.hathitrust.org/Record/000286103","HathiTrust Record")</f>
        <v>HathiTrust Record</v>
      </c>
      <c r="AS388" s="6" t="str">
        <f>HYPERLINK("https://creighton-primo.hosted.exlibrisgroup.com/primo-explore/search?tab=default_tab&amp;search_scope=EVERYTHING&amp;vid=01CRU&amp;lang=en_US&amp;offset=0&amp;query=any,contains,991000316359702656","Catalog Record")</f>
        <v>Catalog Record</v>
      </c>
      <c r="AT388" s="6" t="str">
        <f>HYPERLINK("http://www.worldcat.org/oclc/10122235","WorldCat Record")</f>
        <v>WorldCat Record</v>
      </c>
      <c r="AU388" s="3" t="s">
        <v>4591</v>
      </c>
      <c r="AV388" s="3" t="s">
        <v>4592</v>
      </c>
      <c r="AW388" s="3" t="s">
        <v>4593</v>
      </c>
      <c r="AX388" s="3" t="s">
        <v>4593</v>
      </c>
      <c r="AY388" s="3" t="s">
        <v>4594</v>
      </c>
      <c r="AZ388" s="3" t="s">
        <v>74</v>
      </c>
      <c r="BB388" s="3" t="s">
        <v>4595</v>
      </c>
      <c r="BC388" s="3" t="s">
        <v>4598</v>
      </c>
      <c r="BD388" s="3" t="s">
        <v>4599</v>
      </c>
    </row>
    <row r="389" spans="1:56" ht="57.75" customHeight="1" x14ac:dyDescent="0.25">
      <c r="A389" s="7" t="s">
        <v>59</v>
      </c>
      <c r="B389" s="2" t="s">
        <v>4600</v>
      </c>
      <c r="C389" s="2" t="s">
        <v>4601</v>
      </c>
      <c r="D389" s="2" t="s">
        <v>4602</v>
      </c>
      <c r="F389" s="3" t="s">
        <v>59</v>
      </c>
      <c r="G389" s="3" t="s">
        <v>60</v>
      </c>
      <c r="H389" s="3" t="s">
        <v>59</v>
      </c>
      <c r="I389" s="3" t="s">
        <v>59</v>
      </c>
      <c r="J389" s="3" t="s">
        <v>61</v>
      </c>
      <c r="L389" s="2" t="s">
        <v>3747</v>
      </c>
      <c r="M389" s="3" t="s">
        <v>864</v>
      </c>
      <c r="O389" s="3" t="s">
        <v>64</v>
      </c>
      <c r="P389" s="3" t="s">
        <v>467</v>
      </c>
      <c r="R389" s="3" t="s">
        <v>67</v>
      </c>
      <c r="S389" s="4">
        <v>2</v>
      </c>
      <c r="T389" s="4">
        <v>2</v>
      </c>
      <c r="U389" s="5" t="s">
        <v>4603</v>
      </c>
      <c r="V389" s="5" t="s">
        <v>4603</v>
      </c>
      <c r="W389" s="5" t="s">
        <v>4365</v>
      </c>
      <c r="X389" s="5" t="s">
        <v>4365</v>
      </c>
      <c r="Y389" s="4">
        <v>710</v>
      </c>
      <c r="Z389" s="4">
        <v>558</v>
      </c>
      <c r="AA389" s="4">
        <v>595</v>
      </c>
      <c r="AB389" s="4">
        <v>6</v>
      </c>
      <c r="AC389" s="4">
        <v>6</v>
      </c>
      <c r="AD389" s="4">
        <v>25</v>
      </c>
      <c r="AE389" s="4">
        <v>28</v>
      </c>
      <c r="AF389" s="4">
        <v>7</v>
      </c>
      <c r="AG389" s="4">
        <v>9</v>
      </c>
      <c r="AH389" s="4">
        <v>6</v>
      </c>
      <c r="AI389" s="4">
        <v>8</v>
      </c>
      <c r="AJ389" s="4">
        <v>13</v>
      </c>
      <c r="AK389" s="4">
        <v>13</v>
      </c>
      <c r="AL389" s="4">
        <v>5</v>
      </c>
      <c r="AM389" s="4">
        <v>5</v>
      </c>
      <c r="AN389" s="4">
        <v>0</v>
      </c>
      <c r="AO389" s="4">
        <v>0</v>
      </c>
      <c r="AP389" s="3" t="s">
        <v>59</v>
      </c>
      <c r="AQ389" s="3" t="s">
        <v>69</v>
      </c>
      <c r="AR389" s="6" t="str">
        <f>HYPERLINK("http://catalog.hathitrust.org/Record/001500107","HathiTrust Record")</f>
        <v>HathiTrust Record</v>
      </c>
      <c r="AS389" s="6" t="str">
        <f>HYPERLINK("https://creighton-primo.hosted.exlibrisgroup.com/primo-explore/search?tab=default_tab&amp;search_scope=EVERYTHING&amp;vid=01CRU&amp;lang=en_US&amp;offset=0&amp;query=any,contains,991000554009702656","Catalog Record")</f>
        <v>Catalog Record</v>
      </c>
      <c r="AT389" s="6" t="str">
        <f>HYPERLINK("http://www.worldcat.org/oclc/93008","WorldCat Record")</f>
        <v>WorldCat Record</v>
      </c>
      <c r="AU389" s="3" t="s">
        <v>4604</v>
      </c>
      <c r="AV389" s="3" t="s">
        <v>4605</v>
      </c>
      <c r="AW389" s="3" t="s">
        <v>4606</v>
      </c>
      <c r="AX389" s="3" t="s">
        <v>4606</v>
      </c>
      <c r="AY389" s="3" t="s">
        <v>4607</v>
      </c>
      <c r="AZ389" s="3" t="s">
        <v>74</v>
      </c>
      <c r="BB389" s="3" t="s">
        <v>4608</v>
      </c>
      <c r="BC389" s="3" t="s">
        <v>4609</v>
      </c>
      <c r="BD389" s="3" t="s">
        <v>4610</v>
      </c>
    </row>
    <row r="390" spans="1:56" ht="57.75" customHeight="1" x14ac:dyDescent="0.25">
      <c r="A390" s="7" t="s">
        <v>59</v>
      </c>
      <c r="B390" s="2" t="s">
        <v>4611</v>
      </c>
      <c r="C390" s="2" t="s">
        <v>4612</v>
      </c>
      <c r="D390" s="2" t="s">
        <v>4613</v>
      </c>
      <c r="F390" s="3" t="s">
        <v>59</v>
      </c>
      <c r="G390" s="3" t="s">
        <v>60</v>
      </c>
      <c r="H390" s="3" t="s">
        <v>59</v>
      </c>
      <c r="I390" s="3" t="s">
        <v>59</v>
      </c>
      <c r="J390" s="3" t="s">
        <v>61</v>
      </c>
      <c r="L390" s="2" t="s">
        <v>4614</v>
      </c>
      <c r="M390" s="3" t="s">
        <v>2073</v>
      </c>
      <c r="O390" s="3" t="s">
        <v>64</v>
      </c>
      <c r="P390" s="3" t="s">
        <v>467</v>
      </c>
      <c r="Q390" s="2" t="s">
        <v>4615</v>
      </c>
      <c r="R390" s="3" t="s">
        <v>67</v>
      </c>
      <c r="S390" s="4">
        <v>3</v>
      </c>
      <c r="T390" s="4">
        <v>3</v>
      </c>
      <c r="U390" s="5" t="s">
        <v>4616</v>
      </c>
      <c r="V390" s="5" t="s">
        <v>4616</v>
      </c>
      <c r="W390" s="5" t="s">
        <v>2436</v>
      </c>
      <c r="X390" s="5" t="s">
        <v>2436</v>
      </c>
      <c r="Y390" s="4">
        <v>299</v>
      </c>
      <c r="Z390" s="4">
        <v>204</v>
      </c>
      <c r="AA390" s="4">
        <v>210</v>
      </c>
      <c r="AB390" s="4">
        <v>3</v>
      </c>
      <c r="AC390" s="4">
        <v>3</v>
      </c>
      <c r="AD390" s="4">
        <v>11</v>
      </c>
      <c r="AE390" s="4">
        <v>11</v>
      </c>
      <c r="AF390" s="4">
        <v>2</v>
      </c>
      <c r="AG390" s="4">
        <v>2</v>
      </c>
      <c r="AH390" s="4">
        <v>3</v>
      </c>
      <c r="AI390" s="4">
        <v>3</v>
      </c>
      <c r="AJ390" s="4">
        <v>7</v>
      </c>
      <c r="AK390" s="4">
        <v>7</v>
      </c>
      <c r="AL390" s="4">
        <v>2</v>
      </c>
      <c r="AM390" s="4">
        <v>2</v>
      </c>
      <c r="AN390" s="4">
        <v>0</v>
      </c>
      <c r="AO390" s="4">
        <v>0</v>
      </c>
      <c r="AP390" s="3" t="s">
        <v>59</v>
      </c>
      <c r="AQ390" s="3" t="s">
        <v>69</v>
      </c>
      <c r="AR390" s="6" t="str">
        <f>HYPERLINK("http://catalog.hathitrust.org/Record/000568211","HathiTrust Record")</f>
        <v>HathiTrust Record</v>
      </c>
      <c r="AS390" s="6" t="str">
        <f>HYPERLINK("https://creighton-primo.hosted.exlibrisgroup.com/primo-explore/search?tab=default_tab&amp;search_scope=EVERYTHING&amp;vid=01CRU&amp;lang=en_US&amp;offset=0&amp;query=any,contains,991000140459702656","Catalog Record")</f>
        <v>Catalog Record</v>
      </c>
      <c r="AT390" s="6" t="str">
        <f>HYPERLINK("http://www.worldcat.org/oclc/9154516","WorldCat Record")</f>
        <v>WorldCat Record</v>
      </c>
      <c r="AU390" s="3" t="s">
        <v>4617</v>
      </c>
      <c r="AV390" s="3" t="s">
        <v>4618</v>
      </c>
      <c r="AW390" s="3" t="s">
        <v>4619</v>
      </c>
      <c r="AX390" s="3" t="s">
        <v>4619</v>
      </c>
      <c r="AY390" s="3" t="s">
        <v>4620</v>
      </c>
      <c r="AZ390" s="3" t="s">
        <v>74</v>
      </c>
      <c r="BB390" s="3" t="s">
        <v>4621</v>
      </c>
      <c r="BC390" s="3" t="s">
        <v>4622</v>
      </c>
      <c r="BD390" s="3" t="s">
        <v>4623</v>
      </c>
    </row>
    <row r="391" spans="1:56" ht="57.75" customHeight="1" x14ac:dyDescent="0.25">
      <c r="A391" s="7" t="s">
        <v>59</v>
      </c>
      <c r="B391" s="2" t="s">
        <v>4624</v>
      </c>
      <c r="C391" s="2" t="s">
        <v>4625</v>
      </c>
      <c r="D391" s="2" t="s">
        <v>4626</v>
      </c>
      <c r="F391" s="3" t="s">
        <v>59</v>
      </c>
      <c r="G391" s="3" t="s">
        <v>60</v>
      </c>
      <c r="H391" s="3" t="s">
        <v>59</v>
      </c>
      <c r="I391" s="3" t="s">
        <v>59</v>
      </c>
      <c r="J391" s="3" t="s">
        <v>61</v>
      </c>
      <c r="L391" s="2" t="s">
        <v>4627</v>
      </c>
      <c r="M391" s="3" t="s">
        <v>540</v>
      </c>
      <c r="O391" s="3" t="s">
        <v>64</v>
      </c>
      <c r="P391" s="3" t="s">
        <v>467</v>
      </c>
      <c r="R391" s="3" t="s">
        <v>67</v>
      </c>
      <c r="S391" s="4">
        <v>6</v>
      </c>
      <c r="T391" s="4">
        <v>6</v>
      </c>
      <c r="U391" s="5" t="s">
        <v>4628</v>
      </c>
      <c r="V391" s="5" t="s">
        <v>4628</v>
      </c>
      <c r="W391" s="5" t="s">
        <v>4507</v>
      </c>
      <c r="X391" s="5" t="s">
        <v>4507</v>
      </c>
      <c r="Y391" s="4">
        <v>269</v>
      </c>
      <c r="Z391" s="4">
        <v>182</v>
      </c>
      <c r="AA391" s="4">
        <v>201</v>
      </c>
      <c r="AB391" s="4">
        <v>1</v>
      </c>
      <c r="AC391" s="4">
        <v>1</v>
      </c>
      <c r="AD391" s="4">
        <v>3</v>
      </c>
      <c r="AE391" s="4">
        <v>4</v>
      </c>
      <c r="AF391" s="4">
        <v>0</v>
      </c>
      <c r="AG391" s="4">
        <v>1</v>
      </c>
      <c r="AH391" s="4">
        <v>2</v>
      </c>
      <c r="AI391" s="4">
        <v>2</v>
      </c>
      <c r="AJ391" s="4">
        <v>2</v>
      </c>
      <c r="AK391" s="4">
        <v>3</v>
      </c>
      <c r="AL391" s="4">
        <v>0</v>
      </c>
      <c r="AM391" s="4">
        <v>0</v>
      </c>
      <c r="AN391" s="4">
        <v>0</v>
      </c>
      <c r="AO391" s="4">
        <v>0</v>
      </c>
      <c r="AP391" s="3" t="s">
        <v>59</v>
      </c>
      <c r="AQ391" s="3" t="s">
        <v>69</v>
      </c>
      <c r="AR391" s="6" t="str">
        <f>HYPERLINK("http://catalog.hathitrust.org/Record/000231575","HathiTrust Record")</f>
        <v>HathiTrust Record</v>
      </c>
      <c r="AS391" s="6" t="str">
        <f>HYPERLINK("https://creighton-primo.hosted.exlibrisgroup.com/primo-explore/search?tab=default_tab&amp;search_scope=EVERYTHING&amp;vid=01CRU&amp;lang=en_US&amp;offset=0&amp;query=any,contains,991005141789702656","Catalog Record")</f>
        <v>Catalog Record</v>
      </c>
      <c r="AT391" s="6" t="str">
        <f>HYPERLINK("http://www.worldcat.org/oclc/7615493","WorldCat Record")</f>
        <v>WorldCat Record</v>
      </c>
      <c r="AU391" s="3" t="s">
        <v>4629</v>
      </c>
      <c r="AV391" s="3" t="s">
        <v>4630</v>
      </c>
      <c r="AW391" s="3" t="s">
        <v>4631</v>
      </c>
      <c r="AX391" s="3" t="s">
        <v>4631</v>
      </c>
      <c r="AY391" s="3" t="s">
        <v>4632</v>
      </c>
      <c r="AZ391" s="3" t="s">
        <v>74</v>
      </c>
      <c r="BB391" s="3" t="s">
        <v>4633</v>
      </c>
      <c r="BC391" s="3" t="s">
        <v>4634</v>
      </c>
      <c r="BD391" s="3" t="s">
        <v>4635</v>
      </c>
    </row>
    <row r="392" spans="1:56" ht="57.75" customHeight="1" x14ac:dyDescent="0.25">
      <c r="A392" s="7" t="s">
        <v>59</v>
      </c>
      <c r="B392" s="2" t="s">
        <v>4636</v>
      </c>
      <c r="C392" s="2" t="s">
        <v>4637</v>
      </c>
      <c r="D392" s="2" t="s">
        <v>4638</v>
      </c>
      <c r="F392" s="3" t="s">
        <v>59</v>
      </c>
      <c r="G392" s="3" t="s">
        <v>60</v>
      </c>
      <c r="H392" s="3" t="s">
        <v>59</v>
      </c>
      <c r="I392" s="3" t="s">
        <v>59</v>
      </c>
      <c r="J392" s="3" t="s">
        <v>61</v>
      </c>
      <c r="K392" s="2" t="s">
        <v>4639</v>
      </c>
      <c r="L392" s="2" t="s">
        <v>4640</v>
      </c>
      <c r="M392" s="3" t="s">
        <v>864</v>
      </c>
      <c r="N392" s="2" t="s">
        <v>572</v>
      </c>
      <c r="O392" s="3" t="s">
        <v>64</v>
      </c>
      <c r="P392" s="3" t="s">
        <v>405</v>
      </c>
      <c r="Q392" s="2" t="s">
        <v>4641</v>
      </c>
      <c r="R392" s="3" t="s">
        <v>67</v>
      </c>
      <c r="S392" s="4">
        <v>4</v>
      </c>
      <c r="T392" s="4">
        <v>4</v>
      </c>
      <c r="U392" s="5" t="s">
        <v>1295</v>
      </c>
      <c r="V392" s="5" t="s">
        <v>1295</v>
      </c>
      <c r="W392" s="5" t="s">
        <v>4642</v>
      </c>
      <c r="X392" s="5" t="s">
        <v>4642</v>
      </c>
      <c r="Y392" s="4">
        <v>414</v>
      </c>
      <c r="Z392" s="4">
        <v>263</v>
      </c>
      <c r="AA392" s="4">
        <v>304</v>
      </c>
      <c r="AB392" s="4">
        <v>3</v>
      </c>
      <c r="AC392" s="4">
        <v>3</v>
      </c>
      <c r="AD392" s="4">
        <v>7</v>
      </c>
      <c r="AE392" s="4">
        <v>10</v>
      </c>
      <c r="AF392" s="4">
        <v>0</v>
      </c>
      <c r="AG392" s="4">
        <v>2</v>
      </c>
      <c r="AH392" s="4">
        <v>2</v>
      </c>
      <c r="AI392" s="4">
        <v>4</v>
      </c>
      <c r="AJ392" s="4">
        <v>4</v>
      </c>
      <c r="AK392" s="4">
        <v>4</v>
      </c>
      <c r="AL392" s="4">
        <v>2</v>
      </c>
      <c r="AM392" s="4">
        <v>2</v>
      </c>
      <c r="AN392" s="4">
        <v>0</v>
      </c>
      <c r="AO392" s="4">
        <v>0</v>
      </c>
      <c r="AP392" s="3" t="s">
        <v>59</v>
      </c>
      <c r="AQ392" s="3" t="s">
        <v>69</v>
      </c>
      <c r="AR392" s="6" t="str">
        <f>HYPERLINK("http://catalog.hathitrust.org/Record/001500108","HathiTrust Record")</f>
        <v>HathiTrust Record</v>
      </c>
      <c r="AS392" s="6" t="str">
        <f>HYPERLINK("https://creighton-primo.hosted.exlibrisgroup.com/primo-explore/search?tab=default_tab&amp;search_scope=EVERYTHING&amp;vid=01CRU&amp;lang=en_US&amp;offset=0&amp;query=any,contains,991000490519702656","Catalog Record")</f>
        <v>Catalog Record</v>
      </c>
      <c r="AT392" s="6" t="str">
        <f>HYPERLINK("http://www.worldcat.org/oclc/80414","WorldCat Record")</f>
        <v>WorldCat Record</v>
      </c>
      <c r="AU392" s="3" t="s">
        <v>4643</v>
      </c>
      <c r="AV392" s="3" t="s">
        <v>4644</v>
      </c>
      <c r="AW392" s="3" t="s">
        <v>4645</v>
      </c>
      <c r="AX392" s="3" t="s">
        <v>4645</v>
      </c>
      <c r="AY392" s="3" t="s">
        <v>4646</v>
      </c>
      <c r="AZ392" s="3" t="s">
        <v>74</v>
      </c>
      <c r="BB392" s="3" t="s">
        <v>4647</v>
      </c>
      <c r="BC392" s="3" t="s">
        <v>4648</v>
      </c>
      <c r="BD392" s="3" t="s">
        <v>4649</v>
      </c>
    </row>
    <row r="393" spans="1:56" ht="57.75" customHeight="1" x14ac:dyDescent="0.25">
      <c r="A393" s="7" t="s">
        <v>59</v>
      </c>
      <c r="B393" s="2" t="s">
        <v>4650</v>
      </c>
      <c r="C393" s="2" t="s">
        <v>4651</v>
      </c>
      <c r="D393" s="2" t="s">
        <v>4652</v>
      </c>
      <c r="F393" s="3" t="s">
        <v>59</v>
      </c>
      <c r="G393" s="3" t="s">
        <v>60</v>
      </c>
      <c r="H393" s="3" t="s">
        <v>59</v>
      </c>
      <c r="I393" s="3" t="s">
        <v>59</v>
      </c>
      <c r="J393" s="3" t="s">
        <v>61</v>
      </c>
      <c r="K393" s="2" t="s">
        <v>1428</v>
      </c>
      <c r="L393" s="2" t="s">
        <v>4653</v>
      </c>
      <c r="M393" s="3" t="s">
        <v>1837</v>
      </c>
      <c r="O393" s="3" t="s">
        <v>64</v>
      </c>
      <c r="P393" s="3" t="s">
        <v>630</v>
      </c>
      <c r="R393" s="3" t="s">
        <v>67</v>
      </c>
      <c r="S393" s="4">
        <v>7</v>
      </c>
      <c r="T393" s="4">
        <v>7</v>
      </c>
      <c r="U393" s="5" t="s">
        <v>1555</v>
      </c>
      <c r="V393" s="5" t="s">
        <v>1555</v>
      </c>
      <c r="W393" s="5" t="s">
        <v>4654</v>
      </c>
      <c r="X393" s="5" t="s">
        <v>4654</v>
      </c>
      <c r="Y393" s="4">
        <v>551</v>
      </c>
      <c r="Z393" s="4">
        <v>471</v>
      </c>
      <c r="AA393" s="4">
        <v>494</v>
      </c>
      <c r="AB393" s="4">
        <v>3</v>
      </c>
      <c r="AC393" s="4">
        <v>3</v>
      </c>
      <c r="AD393" s="4">
        <v>16</v>
      </c>
      <c r="AE393" s="4">
        <v>17</v>
      </c>
      <c r="AF393" s="4">
        <v>7</v>
      </c>
      <c r="AG393" s="4">
        <v>7</v>
      </c>
      <c r="AH393" s="4">
        <v>4</v>
      </c>
      <c r="AI393" s="4">
        <v>4</v>
      </c>
      <c r="AJ393" s="4">
        <v>9</v>
      </c>
      <c r="AK393" s="4">
        <v>10</v>
      </c>
      <c r="AL393" s="4">
        <v>2</v>
      </c>
      <c r="AM393" s="4">
        <v>2</v>
      </c>
      <c r="AN393" s="4">
        <v>0</v>
      </c>
      <c r="AO393" s="4">
        <v>0</v>
      </c>
      <c r="AP393" s="3" t="s">
        <v>59</v>
      </c>
      <c r="AQ393" s="3" t="s">
        <v>69</v>
      </c>
      <c r="AR393" s="6" t="str">
        <f>HYPERLINK("http://catalog.hathitrust.org/Record/002622127","HathiTrust Record")</f>
        <v>HathiTrust Record</v>
      </c>
      <c r="AS393" s="6" t="str">
        <f>HYPERLINK("https://creighton-primo.hosted.exlibrisgroup.com/primo-explore/search?tab=default_tab&amp;search_scope=EVERYTHING&amp;vid=01CRU&amp;lang=en_US&amp;offset=0&amp;query=any,contains,991002018199702656","Catalog Record")</f>
        <v>Catalog Record</v>
      </c>
      <c r="AT393" s="6" t="str">
        <f>HYPERLINK("http://www.worldcat.org/oclc/25675305","WorldCat Record")</f>
        <v>WorldCat Record</v>
      </c>
      <c r="AU393" s="3" t="s">
        <v>4655</v>
      </c>
      <c r="AV393" s="3" t="s">
        <v>4656</v>
      </c>
      <c r="AW393" s="3" t="s">
        <v>4657</v>
      </c>
      <c r="AX393" s="3" t="s">
        <v>4657</v>
      </c>
      <c r="AY393" s="3" t="s">
        <v>4658</v>
      </c>
      <c r="AZ393" s="3" t="s">
        <v>74</v>
      </c>
      <c r="BB393" s="3" t="s">
        <v>4659</v>
      </c>
      <c r="BC393" s="3" t="s">
        <v>4660</v>
      </c>
      <c r="BD393" s="3" t="s">
        <v>4661</v>
      </c>
    </row>
    <row r="394" spans="1:56" ht="57.75" customHeight="1" x14ac:dyDescent="0.25">
      <c r="A394" s="7" t="s">
        <v>59</v>
      </c>
      <c r="B394" s="2" t="s">
        <v>4662</v>
      </c>
      <c r="C394" s="2" t="s">
        <v>4663</v>
      </c>
      <c r="D394" s="2" t="s">
        <v>4664</v>
      </c>
      <c r="F394" s="3" t="s">
        <v>59</v>
      </c>
      <c r="G394" s="3" t="s">
        <v>60</v>
      </c>
      <c r="H394" s="3" t="s">
        <v>59</v>
      </c>
      <c r="I394" s="3" t="s">
        <v>59</v>
      </c>
      <c r="J394" s="3" t="s">
        <v>61</v>
      </c>
      <c r="L394" s="2" t="s">
        <v>4665</v>
      </c>
      <c r="M394" s="3" t="s">
        <v>2510</v>
      </c>
      <c r="O394" s="3" t="s">
        <v>64</v>
      </c>
      <c r="P394" s="3" t="s">
        <v>467</v>
      </c>
      <c r="R394" s="3" t="s">
        <v>67</v>
      </c>
      <c r="S394" s="4">
        <v>6</v>
      </c>
      <c r="T394" s="4">
        <v>6</v>
      </c>
      <c r="U394" s="5" t="s">
        <v>4589</v>
      </c>
      <c r="V394" s="5" t="s">
        <v>4589</v>
      </c>
      <c r="W394" s="5" t="s">
        <v>4666</v>
      </c>
      <c r="X394" s="5" t="s">
        <v>4666</v>
      </c>
      <c r="Y394" s="4">
        <v>329</v>
      </c>
      <c r="Z394" s="4">
        <v>201</v>
      </c>
      <c r="AA394" s="4">
        <v>202</v>
      </c>
      <c r="AB394" s="4">
        <v>1</v>
      </c>
      <c r="AC394" s="4">
        <v>1</v>
      </c>
      <c r="AD394" s="4">
        <v>5</v>
      </c>
      <c r="AE394" s="4">
        <v>5</v>
      </c>
      <c r="AF394" s="4">
        <v>0</v>
      </c>
      <c r="AG394" s="4">
        <v>0</v>
      </c>
      <c r="AH394" s="4">
        <v>2</v>
      </c>
      <c r="AI394" s="4">
        <v>2</v>
      </c>
      <c r="AJ394" s="4">
        <v>4</v>
      </c>
      <c r="AK394" s="4">
        <v>4</v>
      </c>
      <c r="AL394" s="4">
        <v>0</v>
      </c>
      <c r="AM394" s="4">
        <v>0</v>
      </c>
      <c r="AN394" s="4">
        <v>0</v>
      </c>
      <c r="AO394" s="4">
        <v>0</v>
      </c>
      <c r="AP394" s="3" t="s">
        <v>59</v>
      </c>
      <c r="AQ394" s="3" t="s">
        <v>59</v>
      </c>
      <c r="AS394" s="6" t="str">
        <f>HYPERLINK("https://creighton-primo.hosted.exlibrisgroup.com/primo-explore/search?tab=default_tab&amp;search_scope=EVERYTHING&amp;vid=01CRU&amp;lang=en_US&amp;offset=0&amp;query=any,contains,991002016059702656","Catalog Record")</f>
        <v>Catalog Record</v>
      </c>
      <c r="AT394" s="6" t="str">
        <f>HYPERLINK("http://www.worldcat.org/oclc/25631821","WorldCat Record")</f>
        <v>WorldCat Record</v>
      </c>
      <c r="AU394" s="3" t="s">
        <v>4667</v>
      </c>
      <c r="AV394" s="3" t="s">
        <v>4668</v>
      </c>
      <c r="AW394" s="3" t="s">
        <v>4669</v>
      </c>
      <c r="AX394" s="3" t="s">
        <v>4669</v>
      </c>
      <c r="AY394" s="3" t="s">
        <v>4670</v>
      </c>
      <c r="AZ394" s="3" t="s">
        <v>74</v>
      </c>
      <c r="BB394" s="3" t="s">
        <v>4671</v>
      </c>
      <c r="BC394" s="3" t="s">
        <v>4672</v>
      </c>
      <c r="BD394" s="3" t="s">
        <v>4673</v>
      </c>
    </row>
    <row r="395" spans="1:56" ht="57.75" customHeight="1" x14ac:dyDescent="0.25">
      <c r="A395" s="7" t="s">
        <v>59</v>
      </c>
      <c r="B395" s="2" t="s">
        <v>4674</v>
      </c>
      <c r="C395" s="2" t="s">
        <v>4675</v>
      </c>
      <c r="D395" s="2" t="s">
        <v>4676</v>
      </c>
      <c r="F395" s="3" t="s">
        <v>59</v>
      </c>
      <c r="G395" s="3" t="s">
        <v>60</v>
      </c>
      <c r="H395" s="3" t="s">
        <v>59</v>
      </c>
      <c r="I395" s="3" t="s">
        <v>59</v>
      </c>
      <c r="J395" s="3" t="s">
        <v>61</v>
      </c>
      <c r="L395" s="2" t="s">
        <v>4677</v>
      </c>
      <c r="M395" s="3" t="s">
        <v>763</v>
      </c>
      <c r="O395" s="3" t="s">
        <v>64</v>
      </c>
      <c r="P395" s="3" t="s">
        <v>467</v>
      </c>
      <c r="Q395" s="2" t="s">
        <v>4678</v>
      </c>
      <c r="R395" s="3" t="s">
        <v>67</v>
      </c>
      <c r="S395" s="4">
        <v>4</v>
      </c>
      <c r="T395" s="4">
        <v>4</v>
      </c>
      <c r="U395" s="5" t="s">
        <v>4679</v>
      </c>
      <c r="V395" s="5" t="s">
        <v>4679</v>
      </c>
      <c r="W395" s="5" t="s">
        <v>4507</v>
      </c>
      <c r="X395" s="5" t="s">
        <v>4507</v>
      </c>
      <c r="Y395" s="4">
        <v>205</v>
      </c>
      <c r="Z395" s="4">
        <v>157</v>
      </c>
      <c r="AA395" s="4">
        <v>160</v>
      </c>
      <c r="AB395" s="4">
        <v>1</v>
      </c>
      <c r="AC395" s="4">
        <v>1</v>
      </c>
      <c r="AD395" s="4">
        <v>7</v>
      </c>
      <c r="AE395" s="4">
        <v>7</v>
      </c>
      <c r="AF395" s="4">
        <v>0</v>
      </c>
      <c r="AG395" s="4">
        <v>0</v>
      </c>
      <c r="AH395" s="4">
        <v>4</v>
      </c>
      <c r="AI395" s="4">
        <v>4</v>
      </c>
      <c r="AJ395" s="4">
        <v>5</v>
      </c>
      <c r="AK395" s="4">
        <v>5</v>
      </c>
      <c r="AL395" s="4">
        <v>0</v>
      </c>
      <c r="AM395" s="4">
        <v>0</v>
      </c>
      <c r="AN395" s="4">
        <v>0</v>
      </c>
      <c r="AO395" s="4">
        <v>0</v>
      </c>
      <c r="AP395" s="3" t="s">
        <v>59</v>
      </c>
      <c r="AQ395" s="3" t="s">
        <v>69</v>
      </c>
      <c r="AR395" s="6" t="str">
        <f>HYPERLINK("http://catalog.hathitrust.org/Record/000854156","HathiTrust Record")</f>
        <v>HathiTrust Record</v>
      </c>
      <c r="AS395" s="6" t="str">
        <f>HYPERLINK("https://creighton-primo.hosted.exlibrisgroup.com/primo-explore/search?tab=default_tab&amp;search_scope=EVERYTHING&amp;vid=01CRU&amp;lang=en_US&amp;offset=0&amp;query=any,contains,991001003569702656","Catalog Record")</f>
        <v>Catalog Record</v>
      </c>
      <c r="AT395" s="6" t="str">
        <f>HYPERLINK("http://www.worldcat.org/oclc/15222206","WorldCat Record")</f>
        <v>WorldCat Record</v>
      </c>
      <c r="AU395" s="3" t="s">
        <v>4680</v>
      </c>
      <c r="AV395" s="3" t="s">
        <v>4681</v>
      </c>
      <c r="AW395" s="3" t="s">
        <v>4682</v>
      </c>
      <c r="AX395" s="3" t="s">
        <v>4682</v>
      </c>
      <c r="AY395" s="3" t="s">
        <v>4683</v>
      </c>
      <c r="AZ395" s="3" t="s">
        <v>74</v>
      </c>
      <c r="BB395" s="3" t="s">
        <v>4684</v>
      </c>
      <c r="BC395" s="3" t="s">
        <v>4685</v>
      </c>
      <c r="BD395" s="3" t="s">
        <v>4686</v>
      </c>
    </row>
    <row r="396" spans="1:56" ht="57.75" customHeight="1" x14ac:dyDescent="0.25">
      <c r="A396" s="7" t="s">
        <v>59</v>
      </c>
      <c r="B396" s="2" t="s">
        <v>4687</v>
      </c>
      <c r="C396" s="2" t="s">
        <v>4688</v>
      </c>
      <c r="D396" s="2" t="s">
        <v>4689</v>
      </c>
      <c r="F396" s="3" t="s">
        <v>59</v>
      </c>
      <c r="G396" s="3" t="s">
        <v>60</v>
      </c>
      <c r="H396" s="3" t="s">
        <v>59</v>
      </c>
      <c r="I396" s="3" t="s">
        <v>59</v>
      </c>
      <c r="J396" s="3" t="s">
        <v>61</v>
      </c>
      <c r="L396" s="2" t="s">
        <v>4690</v>
      </c>
      <c r="M396" s="3" t="s">
        <v>617</v>
      </c>
      <c r="O396" s="3" t="s">
        <v>64</v>
      </c>
      <c r="P396" s="3" t="s">
        <v>467</v>
      </c>
      <c r="Q396" s="2" t="s">
        <v>4691</v>
      </c>
      <c r="R396" s="3" t="s">
        <v>67</v>
      </c>
      <c r="S396" s="4">
        <v>7</v>
      </c>
      <c r="T396" s="4">
        <v>7</v>
      </c>
      <c r="U396" s="5" t="s">
        <v>4692</v>
      </c>
      <c r="V396" s="5" t="s">
        <v>4692</v>
      </c>
      <c r="W396" s="5" t="s">
        <v>4507</v>
      </c>
      <c r="X396" s="5" t="s">
        <v>4507</v>
      </c>
      <c r="Y396" s="4">
        <v>264</v>
      </c>
      <c r="Z396" s="4">
        <v>162</v>
      </c>
      <c r="AA396" s="4">
        <v>187</v>
      </c>
      <c r="AB396" s="4">
        <v>2</v>
      </c>
      <c r="AC396" s="4">
        <v>2</v>
      </c>
      <c r="AD396" s="4">
        <v>4</v>
      </c>
      <c r="AE396" s="4">
        <v>5</v>
      </c>
      <c r="AF396" s="4">
        <v>0</v>
      </c>
      <c r="AG396" s="4">
        <v>1</v>
      </c>
      <c r="AH396" s="4">
        <v>3</v>
      </c>
      <c r="AI396" s="4">
        <v>3</v>
      </c>
      <c r="AJ396" s="4">
        <v>2</v>
      </c>
      <c r="AK396" s="4">
        <v>3</v>
      </c>
      <c r="AL396" s="4">
        <v>1</v>
      </c>
      <c r="AM396" s="4">
        <v>1</v>
      </c>
      <c r="AN396" s="4">
        <v>0</v>
      </c>
      <c r="AO396" s="4">
        <v>0</v>
      </c>
      <c r="AP396" s="3" t="s">
        <v>59</v>
      </c>
      <c r="AQ396" s="3" t="s">
        <v>69</v>
      </c>
      <c r="AR396" s="6" t="str">
        <f>HYPERLINK("http://catalog.hathitrust.org/Record/000192655","HathiTrust Record")</f>
        <v>HathiTrust Record</v>
      </c>
      <c r="AS396" s="6" t="str">
        <f>HYPERLINK("https://creighton-primo.hosted.exlibrisgroup.com/primo-explore/search?tab=default_tab&amp;search_scope=EVERYTHING&amp;vid=01CRU&amp;lang=en_US&amp;offset=0&amp;query=any,contains,991004895689702656","Catalog Record")</f>
        <v>Catalog Record</v>
      </c>
      <c r="AT396" s="6" t="str">
        <f>HYPERLINK("http://www.worldcat.org/oclc/5893616","WorldCat Record")</f>
        <v>WorldCat Record</v>
      </c>
      <c r="AU396" s="3" t="s">
        <v>4693</v>
      </c>
      <c r="AV396" s="3" t="s">
        <v>4694</v>
      </c>
      <c r="AW396" s="3" t="s">
        <v>4695</v>
      </c>
      <c r="AX396" s="3" t="s">
        <v>4695</v>
      </c>
      <c r="AY396" s="3" t="s">
        <v>4696</v>
      </c>
      <c r="AZ396" s="3" t="s">
        <v>74</v>
      </c>
      <c r="BB396" s="3" t="s">
        <v>4697</v>
      </c>
      <c r="BC396" s="3" t="s">
        <v>4698</v>
      </c>
      <c r="BD396" s="3" t="s">
        <v>4699</v>
      </c>
    </row>
    <row r="397" spans="1:56" ht="57.75" customHeight="1" x14ac:dyDescent="0.25">
      <c r="A397" s="7" t="s">
        <v>59</v>
      </c>
      <c r="B397" s="2" t="s">
        <v>4700</v>
      </c>
      <c r="C397" s="2" t="s">
        <v>4701</v>
      </c>
      <c r="D397" s="2" t="s">
        <v>4702</v>
      </c>
      <c r="F397" s="3" t="s">
        <v>59</v>
      </c>
      <c r="G397" s="3" t="s">
        <v>60</v>
      </c>
      <c r="H397" s="3" t="s">
        <v>59</v>
      </c>
      <c r="I397" s="3" t="s">
        <v>59</v>
      </c>
      <c r="J397" s="3" t="s">
        <v>61</v>
      </c>
      <c r="K397" s="2" t="s">
        <v>4703</v>
      </c>
      <c r="L397" s="2" t="s">
        <v>4704</v>
      </c>
      <c r="M397" s="3" t="s">
        <v>712</v>
      </c>
      <c r="O397" s="3" t="s">
        <v>64</v>
      </c>
      <c r="P397" s="3" t="s">
        <v>1268</v>
      </c>
      <c r="R397" s="3" t="s">
        <v>67</v>
      </c>
      <c r="S397" s="4">
        <v>8</v>
      </c>
      <c r="T397" s="4">
        <v>8</v>
      </c>
      <c r="U397" s="5" t="s">
        <v>4692</v>
      </c>
      <c r="V397" s="5" t="s">
        <v>4692</v>
      </c>
      <c r="W397" s="5" t="s">
        <v>807</v>
      </c>
      <c r="X397" s="5" t="s">
        <v>807</v>
      </c>
      <c r="Y397" s="4">
        <v>505</v>
      </c>
      <c r="Z397" s="4">
        <v>396</v>
      </c>
      <c r="AA397" s="4">
        <v>399</v>
      </c>
      <c r="AB397" s="4">
        <v>3</v>
      </c>
      <c r="AC397" s="4">
        <v>3</v>
      </c>
      <c r="AD397" s="4">
        <v>17</v>
      </c>
      <c r="AE397" s="4">
        <v>17</v>
      </c>
      <c r="AF397" s="4">
        <v>6</v>
      </c>
      <c r="AG397" s="4">
        <v>6</v>
      </c>
      <c r="AH397" s="4">
        <v>4</v>
      </c>
      <c r="AI397" s="4">
        <v>4</v>
      </c>
      <c r="AJ397" s="4">
        <v>9</v>
      </c>
      <c r="AK397" s="4">
        <v>9</v>
      </c>
      <c r="AL397" s="4">
        <v>2</v>
      </c>
      <c r="AM397" s="4">
        <v>2</v>
      </c>
      <c r="AN397" s="4">
        <v>0</v>
      </c>
      <c r="AO397" s="4">
        <v>0</v>
      </c>
      <c r="AP397" s="3" t="s">
        <v>59</v>
      </c>
      <c r="AQ397" s="3" t="s">
        <v>59</v>
      </c>
      <c r="AS397" s="6" t="str">
        <f>HYPERLINK("https://creighton-primo.hosted.exlibrisgroup.com/primo-explore/search?tab=default_tab&amp;search_scope=EVERYTHING&amp;vid=01CRU&amp;lang=en_US&amp;offset=0&amp;query=any,contains,991005417969702656","Catalog Record")</f>
        <v>Catalog Record</v>
      </c>
      <c r="AT397" s="6" t="str">
        <f>HYPERLINK("http://www.worldcat.org/oclc/29359500","WorldCat Record")</f>
        <v>WorldCat Record</v>
      </c>
      <c r="AU397" s="3" t="s">
        <v>4705</v>
      </c>
      <c r="AV397" s="3" t="s">
        <v>4706</v>
      </c>
      <c r="AW397" s="3" t="s">
        <v>4707</v>
      </c>
      <c r="AX397" s="3" t="s">
        <v>4707</v>
      </c>
      <c r="AY397" s="3" t="s">
        <v>4708</v>
      </c>
      <c r="AZ397" s="3" t="s">
        <v>74</v>
      </c>
      <c r="BB397" s="3" t="s">
        <v>4709</v>
      </c>
      <c r="BC397" s="3" t="s">
        <v>4710</v>
      </c>
      <c r="BD397" s="3" t="s">
        <v>4711</v>
      </c>
    </row>
    <row r="398" spans="1:56" ht="57.75" customHeight="1" x14ac:dyDescent="0.25">
      <c r="A398" s="7" t="s">
        <v>59</v>
      </c>
      <c r="B398" s="2" t="s">
        <v>4712</v>
      </c>
      <c r="C398" s="2" t="s">
        <v>4713</v>
      </c>
      <c r="D398" s="2" t="s">
        <v>4714</v>
      </c>
      <c r="F398" s="3" t="s">
        <v>59</v>
      </c>
      <c r="G398" s="3" t="s">
        <v>60</v>
      </c>
      <c r="H398" s="3" t="s">
        <v>59</v>
      </c>
      <c r="I398" s="3" t="s">
        <v>59</v>
      </c>
      <c r="J398" s="3" t="s">
        <v>61</v>
      </c>
      <c r="K398" s="2" t="s">
        <v>4715</v>
      </c>
      <c r="L398" s="2" t="s">
        <v>4716</v>
      </c>
      <c r="M398" s="3" t="s">
        <v>1102</v>
      </c>
      <c r="O398" s="3" t="s">
        <v>64</v>
      </c>
      <c r="P398" s="3" t="s">
        <v>405</v>
      </c>
      <c r="Q398" s="2" t="s">
        <v>4717</v>
      </c>
      <c r="R398" s="3" t="s">
        <v>67</v>
      </c>
      <c r="S398" s="4">
        <v>3</v>
      </c>
      <c r="T398" s="4">
        <v>3</v>
      </c>
      <c r="U398" s="5" t="s">
        <v>4718</v>
      </c>
      <c r="V398" s="5" t="s">
        <v>4718</v>
      </c>
      <c r="W398" s="5" t="s">
        <v>4540</v>
      </c>
      <c r="X398" s="5" t="s">
        <v>4540</v>
      </c>
      <c r="Y398" s="4">
        <v>159</v>
      </c>
      <c r="Z398" s="4">
        <v>117</v>
      </c>
      <c r="AA398" s="4">
        <v>120</v>
      </c>
      <c r="AB398" s="4">
        <v>1</v>
      </c>
      <c r="AC398" s="4">
        <v>1</v>
      </c>
      <c r="AD398" s="4">
        <v>2</v>
      </c>
      <c r="AE398" s="4">
        <v>2</v>
      </c>
      <c r="AF398" s="4">
        <v>0</v>
      </c>
      <c r="AG398" s="4">
        <v>0</v>
      </c>
      <c r="AH398" s="4">
        <v>1</v>
      </c>
      <c r="AI398" s="4">
        <v>1</v>
      </c>
      <c r="AJ398" s="4">
        <v>1</v>
      </c>
      <c r="AK398" s="4">
        <v>1</v>
      </c>
      <c r="AL398" s="4">
        <v>0</v>
      </c>
      <c r="AM398" s="4">
        <v>0</v>
      </c>
      <c r="AN398" s="4">
        <v>0</v>
      </c>
      <c r="AO398" s="4">
        <v>0</v>
      </c>
      <c r="AP398" s="3" t="s">
        <v>59</v>
      </c>
      <c r="AQ398" s="3" t="s">
        <v>69</v>
      </c>
      <c r="AR398" s="6" t="str">
        <f>HYPERLINK("http://catalog.hathitrust.org/Record/001825158","HathiTrust Record")</f>
        <v>HathiTrust Record</v>
      </c>
      <c r="AS398" s="6" t="str">
        <f>HYPERLINK("https://creighton-primo.hosted.exlibrisgroup.com/primo-explore/search?tab=default_tab&amp;search_scope=EVERYTHING&amp;vid=01CRU&amp;lang=en_US&amp;offset=0&amp;query=any,contains,991001365199702656","Catalog Record")</f>
        <v>Catalog Record</v>
      </c>
      <c r="AT398" s="6" t="str">
        <f>HYPERLINK("http://www.worldcat.org/oclc/18557880","WorldCat Record")</f>
        <v>WorldCat Record</v>
      </c>
      <c r="AU398" s="3" t="s">
        <v>4719</v>
      </c>
      <c r="AV398" s="3" t="s">
        <v>4720</v>
      </c>
      <c r="AW398" s="3" t="s">
        <v>4721</v>
      </c>
      <c r="AX398" s="3" t="s">
        <v>4721</v>
      </c>
      <c r="AY398" s="3" t="s">
        <v>4722</v>
      </c>
      <c r="AZ398" s="3" t="s">
        <v>74</v>
      </c>
      <c r="BB398" s="3" t="s">
        <v>4723</v>
      </c>
      <c r="BC398" s="3" t="s">
        <v>4724</v>
      </c>
      <c r="BD398" s="3" t="s">
        <v>4725</v>
      </c>
    </row>
    <row r="399" spans="1:56" ht="57.75" customHeight="1" x14ac:dyDescent="0.25">
      <c r="A399" s="7" t="s">
        <v>59</v>
      </c>
      <c r="B399" s="2" t="s">
        <v>4726</v>
      </c>
      <c r="C399" s="2" t="s">
        <v>4727</v>
      </c>
      <c r="D399" s="2" t="s">
        <v>4728</v>
      </c>
      <c r="F399" s="3" t="s">
        <v>59</v>
      </c>
      <c r="G399" s="3" t="s">
        <v>60</v>
      </c>
      <c r="H399" s="3" t="s">
        <v>59</v>
      </c>
      <c r="I399" s="3" t="s">
        <v>59</v>
      </c>
      <c r="J399" s="3" t="s">
        <v>61</v>
      </c>
      <c r="K399" s="2" t="s">
        <v>4729</v>
      </c>
      <c r="L399" s="2" t="s">
        <v>1851</v>
      </c>
      <c r="M399" s="3" t="s">
        <v>1852</v>
      </c>
      <c r="O399" s="3" t="s">
        <v>64</v>
      </c>
      <c r="P399" s="3" t="s">
        <v>573</v>
      </c>
      <c r="R399" s="3" t="s">
        <v>67</v>
      </c>
      <c r="S399" s="4">
        <v>2</v>
      </c>
      <c r="T399" s="4">
        <v>2</v>
      </c>
      <c r="U399" s="5" t="s">
        <v>4730</v>
      </c>
      <c r="V399" s="5" t="s">
        <v>4730</v>
      </c>
      <c r="W399" s="5" t="s">
        <v>4731</v>
      </c>
      <c r="X399" s="5" t="s">
        <v>4731</v>
      </c>
      <c r="Y399" s="4">
        <v>539</v>
      </c>
      <c r="Z399" s="4">
        <v>438</v>
      </c>
      <c r="AA399" s="4">
        <v>439</v>
      </c>
      <c r="AB399" s="4">
        <v>3</v>
      </c>
      <c r="AC399" s="4">
        <v>3</v>
      </c>
      <c r="AD399" s="4">
        <v>17</v>
      </c>
      <c r="AE399" s="4">
        <v>17</v>
      </c>
      <c r="AF399" s="4">
        <v>9</v>
      </c>
      <c r="AG399" s="4">
        <v>9</v>
      </c>
      <c r="AH399" s="4">
        <v>4</v>
      </c>
      <c r="AI399" s="4">
        <v>4</v>
      </c>
      <c r="AJ399" s="4">
        <v>9</v>
      </c>
      <c r="AK399" s="4">
        <v>9</v>
      </c>
      <c r="AL399" s="4">
        <v>2</v>
      </c>
      <c r="AM399" s="4">
        <v>2</v>
      </c>
      <c r="AN399" s="4">
        <v>0</v>
      </c>
      <c r="AO399" s="4">
        <v>0</v>
      </c>
      <c r="AP399" s="3" t="s">
        <v>59</v>
      </c>
      <c r="AQ399" s="3" t="s">
        <v>69</v>
      </c>
      <c r="AR399" s="6" t="str">
        <f>HYPERLINK("http://catalog.hathitrust.org/Record/001500119","HathiTrust Record")</f>
        <v>HathiTrust Record</v>
      </c>
      <c r="AS399" s="6" t="str">
        <f>HYPERLINK("https://creighton-primo.hosted.exlibrisgroup.com/primo-explore/search?tab=default_tab&amp;search_scope=EVERYTHING&amp;vid=01CRU&amp;lang=en_US&amp;offset=0&amp;query=any,contains,991003176989702656","Catalog Record")</f>
        <v>Catalog Record</v>
      </c>
      <c r="AT399" s="6" t="str">
        <f>HYPERLINK("http://www.worldcat.org/oclc/710953","WorldCat Record")</f>
        <v>WorldCat Record</v>
      </c>
      <c r="AU399" s="3" t="s">
        <v>4732</v>
      </c>
      <c r="AV399" s="3" t="s">
        <v>4733</v>
      </c>
      <c r="AW399" s="3" t="s">
        <v>4734</v>
      </c>
      <c r="AX399" s="3" t="s">
        <v>4734</v>
      </c>
      <c r="AY399" s="3" t="s">
        <v>4735</v>
      </c>
      <c r="AZ399" s="3" t="s">
        <v>74</v>
      </c>
      <c r="BC399" s="3" t="s">
        <v>4736</v>
      </c>
      <c r="BD399" s="3" t="s">
        <v>4737</v>
      </c>
    </row>
    <row r="400" spans="1:56" ht="57.75" customHeight="1" x14ac:dyDescent="0.25">
      <c r="A400" s="7" t="s">
        <v>59</v>
      </c>
      <c r="B400" s="2" t="s">
        <v>4738</v>
      </c>
      <c r="C400" s="2" t="s">
        <v>4739</v>
      </c>
      <c r="D400" s="2" t="s">
        <v>4740</v>
      </c>
      <c r="F400" s="3" t="s">
        <v>59</v>
      </c>
      <c r="G400" s="3" t="s">
        <v>60</v>
      </c>
      <c r="H400" s="3" t="s">
        <v>59</v>
      </c>
      <c r="I400" s="3" t="s">
        <v>59</v>
      </c>
      <c r="J400" s="3" t="s">
        <v>61</v>
      </c>
      <c r="K400" s="2" t="s">
        <v>4741</v>
      </c>
      <c r="L400" s="2" t="s">
        <v>4514</v>
      </c>
      <c r="M400" s="3" t="s">
        <v>670</v>
      </c>
      <c r="O400" s="3" t="s">
        <v>64</v>
      </c>
      <c r="P400" s="3" t="s">
        <v>467</v>
      </c>
      <c r="R400" s="3" t="s">
        <v>67</v>
      </c>
      <c r="S400" s="4">
        <v>4</v>
      </c>
      <c r="T400" s="4">
        <v>4</v>
      </c>
      <c r="U400" s="5" t="s">
        <v>4692</v>
      </c>
      <c r="V400" s="5" t="s">
        <v>4692</v>
      </c>
      <c r="W400" s="5" t="s">
        <v>4507</v>
      </c>
      <c r="X400" s="5" t="s">
        <v>4507</v>
      </c>
      <c r="Y400" s="4">
        <v>368</v>
      </c>
      <c r="Z400" s="4">
        <v>267</v>
      </c>
      <c r="AA400" s="4">
        <v>288</v>
      </c>
      <c r="AB400" s="4">
        <v>2</v>
      </c>
      <c r="AC400" s="4">
        <v>2</v>
      </c>
      <c r="AD400" s="4">
        <v>11</v>
      </c>
      <c r="AE400" s="4">
        <v>11</v>
      </c>
      <c r="AF400" s="4">
        <v>5</v>
      </c>
      <c r="AG400" s="4">
        <v>5</v>
      </c>
      <c r="AH400" s="4">
        <v>5</v>
      </c>
      <c r="AI400" s="4">
        <v>5</v>
      </c>
      <c r="AJ400" s="4">
        <v>6</v>
      </c>
      <c r="AK400" s="4">
        <v>6</v>
      </c>
      <c r="AL400" s="4">
        <v>1</v>
      </c>
      <c r="AM400" s="4">
        <v>1</v>
      </c>
      <c r="AN400" s="4">
        <v>0</v>
      </c>
      <c r="AO400" s="4">
        <v>0</v>
      </c>
      <c r="AP400" s="3" t="s">
        <v>59</v>
      </c>
      <c r="AQ400" s="3" t="s">
        <v>69</v>
      </c>
      <c r="AR400" s="6" t="str">
        <f>HYPERLINK("http://catalog.hathitrust.org/Record/000108924","HathiTrust Record")</f>
        <v>HathiTrust Record</v>
      </c>
      <c r="AS400" s="6" t="str">
        <f>HYPERLINK("https://creighton-primo.hosted.exlibrisgroup.com/primo-explore/search?tab=default_tab&amp;search_scope=EVERYTHING&amp;vid=01CRU&amp;lang=en_US&amp;offset=0&amp;query=any,contains,991005240759702656","Catalog Record")</f>
        <v>Catalog Record</v>
      </c>
      <c r="AT400" s="6" t="str">
        <f>HYPERLINK("http://www.worldcat.org/oclc/8411078","WorldCat Record")</f>
        <v>WorldCat Record</v>
      </c>
      <c r="AU400" s="3" t="s">
        <v>4742</v>
      </c>
      <c r="AV400" s="3" t="s">
        <v>4743</v>
      </c>
      <c r="AW400" s="3" t="s">
        <v>4744</v>
      </c>
      <c r="AX400" s="3" t="s">
        <v>4744</v>
      </c>
      <c r="AY400" s="3" t="s">
        <v>4745</v>
      </c>
      <c r="AZ400" s="3" t="s">
        <v>74</v>
      </c>
      <c r="BB400" s="3" t="s">
        <v>4746</v>
      </c>
      <c r="BC400" s="3" t="s">
        <v>4747</v>
      </c>
      <c r="BD400" s="3" t="s">
        <v>4748</v>
      </c>
    </row>
    <row r="401" spans="1:56" ht="57.75" customHeight="1" x14ac:dyDescent="0.25">
      <c r="A401" s="7" t="s">
        <v>59</v>
      </c>
      <c r="B401" s="2" t="s">
        <v>4749</v>
      </c>
      <c r="C401" s="2" t="s">
        <v>4750</v>
      </c>
      <c r="D401" s="2" t="s">
        <v>4751</v>
      </c>
      <c r="F401" s="3" t="s">
        <v>59</v>
      </c>
      <c r="G401" s="3" t="s">
        <v>60</v>
      </c>
      <c r="H401" s="3" t="s">
        <v>59</v>
      </c>
      <c r="I401" s="3" t="s">
        <v>59</v>
      </c>
      <c r="J401" s="3" t="s">
        <v>61</v>
      </c>
      <c r="K401" s="2" t="s">
        <v>4752</v>
      </c>
      <c r="L401" s="2" t="s">
        <v>4753</v>
      </c>
      <c r="M401" s="3" t="s">
        <v>4754</v>
      </c>
      <c r="O401" s="3" t="s">
        <v>64</v>
      </c>
      <c r="P401" s="3" t="s">
        <v>467</v>
      </c>
      <c r="R401" s="3" t="s">
        <v>67</v>
      </c>
      <c r="S401" s="4">
        <v>4</v>
      </c>
      <c r="T401" s="4">
        <v>4</v>
      </c>
      <c r="U401" s="5" t="s">
        <v>4755</v>
      </c>
      <c r="V401" s="5" t="s">
        <v>4755</v>
      </c>
      <c r="W401" s="5" t="s">
        <v>1064</v>
      </c>
      <c r="X401" s="5" t="s">
        <v>1064</v>
      </c>
      <c r="Y401" s="4">
        <v>547</v>
      </c>
      <c r="Z401" s="4">
        <v>425</v>
      </c>
      <c r="AA401" s="4">
        <v>431</v>
      </c>
      <c r="AB401" s="4">
        <v>2</v>
      </c>
      <c r="AC401" s="4">
        <v>2</v>
      </c>
      <c r="AD401" s="4">
        <v>15</v>
      </c>
      <c r="AE401" s="4">
        <v>16</v>
      </c>
      <c r="AF401" s="4">
        <v>8</v>
      </c>
      <c r="AG401" s="4">
        <v>8</v>
      </c>
      <c r="AH401" s="4">
        <v>1</v>
      </c>
      <c r="AI401" s="4">
        <v>2</v>
      </c>
      <c r="AJ401" s="4">
        <v>6</v>
      </c>
      <c r="AK401" s="4">
        <v>7</v>
      </c>
      <c r="AL401" s="4">
        <v>1</v>
      </c>
      <c r="AM401" s="4">
        <v>1</v>
      </c>
      <c r="AN401" s="4">
        <v>0</v>
      </c>
      <c r="AO401" s="4">
        <v>0</v>
      </c>
      <c r="AP401" s="3" t="s">
        <v>59</v>
      </c>
      <c r="AQ401" s="3" t="s">
        <v>59</v>
      </c>
      <c r="AR401" s="6" t="str">
        <f>HYPERLINK("http://catalog.hathitrust.org/Record/001500122","HathiTrust Record")</f>
        <v>HathiTrust Record</v>
      </c>
      <c r="AS401" s="6" t="str">
        <f>HYPERLINK("https://creighton-primo.hosted.exlibrisgroup.com/primo-explore/search?tab=default_tab&amp;search_scope=EVERYTHING&amp;vid=01CRU&amp;lang=en_US&amp;offset=0&amp;query=any,contains,991002983509702656","Catalog Record")</f>
        <v>Catalog Record</v>
      </c>
      <c r="AT401" s="6" t="str">
        <f>HYPERLINK("http://www.worldcat.org/oclc/556218","WorldCat Record")</f>
        <v>WorldCat Record</v>
      </c>
      <c r="AU401" s="3" t="s">
        <v>4756</v>
      </c>
      <c r="AV401" s="3" t="s">
        <v>4757</v>
      </c>
      <c r="AW401" s="3" t="s">
        <v>4758</v>
      </c>
      <c r="AX401" s="3" t="s">
        <v>4758</v>
      </c>
      <c r="AY401" s="3" t="s">
        <v>4759</v>
      </c>
      <c r="AZ401" s="3" t="s">
        <v>74</v>
      </c>
      <c r="BC401" s="3" t="s">
        <v>4760</v>
      </c>
      <c r="BD401" s="3" t="s">
        <v>4761</v>
      </c>
    </row>
    <row r="402" spans="1:56" ht="57.75" customHeight="1" x14ac:dyDescent="0.25">
      <c r="A402" s="7" t="s">
        <v>59</v>
      </c>
      <c r="B402" s="2" t="s">
        <v>4762</v>
      </c>
      <c r="C402" s="2" t="s">
        <v>4763</v>
      </c>
      <c r="D402" s="2" t="s">
        <v>4764</v>
      </c>
      <c r="F402" s="3" t="s">
        <v>59</v>
      </c>
      <c r="G402" s="3" t="s">
        <v>60</v>
      </c>
      <c r="H402" s="3" t="s">
        <v>59</v>
      </c>
      <c r="I402" s="3" t="s">
        <v>59</v>
      </c>
      <c r="J402" s="3" t="s">
        <v>61</v>
      </c>
      <c r="K402" s="2" t="s">
        <v>4765</v>
      </c>
      <c r="L402" s="2" t="s">
        <v>4766</v>
      </c>
      <c r="M402" s="3" t="s">
        <v>2139</v>
      </c>
      <c r="N402" s="2" t="s">
        <v>556</v>
      </c>
      <c r="O402" s="3" t="s">
        <v>64</v>
      </c>
      <c r="P402" s="3" t="s">
        <v>405</v>
      </c>
      <c r="Q402" s="2" t="s">
        <v>4767</v>
      </c>
      <c r="R402" s="3" t="s">
        <v>67</v>
      </c>
      <c r="S402" s="4">
        <v>2</v>
      </c>
      <c r="T402" s="4">
        <v>2</v>
      </c>
      <c r="U402" s="5" t="s">
        <v>1866</v>
      </c>
      <c r="V402" s="5" t="s">
        <v>1866</v>
      </c>
      <c r="W402" s="5" t="s">
        <v>2452</v>
      </c>
      <c r="X402" s="5" t="s">
        <v>2452</v>
      </c>
      <c r="Y402" s="4">
        <v>396</v>
      </c>
      <c r="Z402" s="4">
        <v>262</v>
      </c>
      <c r="AA402" s="4">
        <v>541</v>
      </c>
      <c r="AB402" s="4">
        <v>2</v>
      </c>
      <c r="AC402" s="4">
        <v>4</v>
      </c>
      <c r="AD402" s="4">
        <v>9</v>
      </c>
      <c r="AE402" s="4">
        <v>18</v>
      </c>
      <c r="AF402" s="4">
        <v>2</v>
      </c>
      <c r="AG402" s="4">
        <v>6</v>
      </c>
      <c r="AH402" s="4">
        <v>3</v>
      </c>
      <c r="AI402" s="4">
        <v>5</v>
      </c>
      <c r="AJ402" s="4">
        <v>5</v>
      </c>
      <c r="AK402" s="4">
        <v>9</v>
      </c>
      <c r="AL402" s="4">
        <v>1</v>
      </c>
      <c r="AM402" s="4">
        <v>3</v>
      </c>
      <c r="AN402" s="4">
        <v>0</v>
      </c>
      <c r="AO402" s="4">
        <v>0</v>
      </c>
      <c r="AP402" s="3" t="s">
        <v>59</v>
      </c>
      <c r="AQ402" s="3" t="s">
        <v>69</v>
      </c>
      <c r="AR402" s="6" t="str">
        <f>HYPERLINK("http://catalog.hathitrust.org/Record/000034514","HathiTrust Record")</f>
        <v>HathiTrust Record</v>
      </c>
      <c r="AS402" s="6" t="str">
        <f>HYPERLINK("https://creighton-primo.hosted.exlibrisgroup.com/primo-explore/search?tab=default_tab&amp;search_scope=EVERYTHING&amp;vid=01CRU&amp;lang=en_US&amp;offset=0&amp;query=any,contains,991003784999702656","Catalog Record")</f>
        <v>Catalog Record</v>
      </c>
      <c r="AT402" s="6" t="str">
        <f>HYPERLINK("http://www.worldcat.org/oclc/1500301","WorldCat Record")</f>
        <v>WorldCat Record</v>
      </c>
      <c r="AU402" s="3" t="s">
        <v>4768</v>
      </c>
      <c r="AV402" s="3" t="s">
        <v>4769</v>
      </c>
      <c r="AW402" s="3" t="s">
        <v>4770</v>
      </c>
      <c r="AX402" s="3" t="s">
        <v>4770</v>
      </c>
      <c r="AY402" s="3" t="s">
        <v>4771</v>
      </c>
      <c r="AZ402" s="3" t="s">
        <v>74</v>
      </c>
      <c r="BB402" s="3" t="s">
        <v>4772</v>
      </c>
      <c r="BC402" s="3" t="s">
        <v>4773</v>
      </c>
      <c r="BD402" s="3" t="s">
        <v>4774</v>
      </c>
    </row>
    <row r="403" spans="1:56" ht="57.75" customHeight="1" x14ac:dyDescent="0.25">
      <c r="A403" s="7" t="s">
        <v>59</v>
      </c>
      <c r="B403" s="2" t="s">
        <v>4775</v>
      </c>
      <c r="C403" s="2" t="s">
        <v>4776</v>
      </c>
      <c r="D403" s="2" t="s">
        <v>4777</v>
      </c>
      <c r="F403" s="3" t="s">
        <v>59</v>
      </c>
      <c r="G403" s="3" t="s">
        <v>60</v>
      </c>
      <c r="H403" s="3" t="s">
        <v>59</v>
      </c>
      <c r="I403" s="3" t="s">
        <v>59</v>
      </c>
      <c r="J403" s="3" t="s">
        <v>61</v>
      </c>
      <c r="K403" s="2" t="s">
        <v>4778</v>
      </c>
      <c r="L403" s="2" t="s">
        <v>4779</v>
      </c>
      <c r="M403" s="3" t="s">
        <v>495</v>
      </c>
      <c r="O403" s="3" t="s">
        <v>64</v>
      </c>
      <c r="P403" s="3" t="s">
        <v>467</v>
      </c>
      <c r="R403" s="3" t="s">
        <v>67</v>
      </c>
      <c r="S403" s="4">
        <v>5</v>
      </c>
      <c r="T403" s="4">
        <v>5</v>
      </c>
      <c r="U403" s="5" t="s">
        <v>1295</v>
      </c>
      <c r="V403" s="5" t="s">
        <v>1295</v>
      </c>
      <c r="W403" s="5" t="s">
        <v>4507</v>
      </c>
      <c r="X403" s="5" t="s">
        <v>4507</v>
      </c>
      <c r="Y403" s="4">
        <v>512</v>
      </c>
      <c r="Z403" s="4">
        <v>396</v>
      </c>
      <c r="AA403" s="4">
        <v>396</v>
      </c>
      <c r="AB403" s="4">
        <v>2</v>
      </c>
      <c r="AC403" s="4">
        <v>2</v>
      </c>
      <c r="AD403" s="4">
        <v>11</v>
      </c>
      <c r="AE403" s="4">
        <v>11</v>
      </c>
      <c r="AF403" s="4">
        <v>3</v>
      </c>
      <c r="AG403" s="4">
        <v>3</v>
      </c>
      <c r="AH403" s="4">
        <v>3</v>
      </c>
      <c r="AI403" s="4">
        <v>3</v>
      </c>
      <c r="AJ403" s="4">
        <v>6</v>
      </c>
      <c r="AK403" s="4">
        <v>6</v>
      </c>
      <c r="AL403" s="4">
        <v>1</v>
      </c>
      <c r="AM403" s="4">
        <v>1</v>
      </c>
      <c r="AN403" s="4">
        <v>0</v>
      </c>
      <c r="AO403" s="4">
        <v>0</v>
      </c>
      <c r="AP403" s="3" t="s">
        <v>59</v>
      </c>
      <c r="AQ403" s="3" t="s">
        <v>59</v>
      </c>
      <c r="AS403" s="6" t="str">
        <f>HYPERLINK("https://creighton-primo.hosted.exlibrisgroup.com/primo-explore/search?tab=default_tab&amp;search_scope=EVERYTHING&amp;vid=01CRU&amp;lang=en_US&amp;offset=0&amp;query=any,contains,991000597579702656","Catalog Record")</f>
        <v>Catalog Record</v>
      </c>
      <c r="AT403" s="6" t="str">
        <f>HYPERLINK("http://www.worldcat.org/oclc/11814392","WorldCat Record")</f>
        <v>WorldCat Record</v>
      </c>
      <c r="AU403" s="3" t="s">
        <v>4780</v>
      </c>
      <c r="AV403" s="3" t="s">
        <v>4781</v>
      </c>
      <c r="AW403" s="3" t="s">
        <v>4782</v>
      </c>
      <c r="AX403" s="3" t="s">
        <v>4782</v>
      </c>
      <c r="AY403" s="3" t="s">
        <v>4783</v>
      </c>
      <c r="AZ403" s="3" t="s">
        <v>74</v>
      </c>
      <c r="BB403" s="3" t="s">
        <v>4784</v>
      </c>
      <c r="BC403" s="3" t="s">
        <v>4785</v>
      </c>
      <c r="BD403" s="3" t="s">
        <v>4786</v>
      </c>
    </row>
    <row r="404" spans="1:56" ht="57.75" customHeight="1" x14ac:dyDescent="0.25">
      <c r="A404" s="7" t="s">
        <v>59</v>
      </c>
      <c r="B404" s="2" t="s">
        <v>4787</v>
      </c>
      <c r="C404" s="2" t="s">
        <v>4788</v>
      </c>
      <c r="D404" s="2" t="s">
        <v>4789</v>
      </c>
      <c r="F404" s="3" t="s">
        <v>59</v>
      </c>
      <c r="G404" s="3" t="s">
        <v>60</v>
      </c>
      <c r="H404" s="3" t="s">
        <v>59</v>
      </c>
      <c r="I404" s="3" t="s">
        <v>69</v>
      </c>
      <c r="J404" s="3" t="s">
        <v>61</v>
      </c>
      <c r="K404" s="2" t="s">
        <v>3978</v>
      </c>
      <c r="L404" s="2" t="s">
        <v>4790</v>
      </c>
      <c r="M404" s="3" t="s">
        <v>1430</v>
      </c>
      <c r="N404" s="2" t="s">
        <v>4791</v>
      </c>
      <c r="O404" s="3" t="s">
        <v>64</v>
      </c>
      <c r="P404" s="3" t="s">
        <v>405</v>
      </c>
      <c r="R404" s="3" t="s">
        <v>67</v>
      </c>
      <c r="S404" s="4">
        <v>11</v>
      </c>
      <c r="T404" s="4">
        <v>11</v>
      </c>
      <c r="U404" s="5" t="s">
        <v>4792</v>
      </c>
      <c r="V404" s="5" t="s">
        <v>4792</v>
      </c>
      <c r="W404" s="5" t="s">
        <v>4507</v>
      </c>
      <c r="X404" s="5" t="s">
        <v>4507</v>
      </c>
      <c r="Y404" s="4">
        <v>313</v>
      </c>
      <c r="Z404" s="4">
        <v>182</v>
      </c>
      <c r="AA404" s="4">
        <v>777</v>
      </c>
      <c r="AB404" s="4">
        <v>2</v>
      </c>
      <c r="AC404" s="4">
        <v>3</v>
      </c>
      <c r="AD404" s="4">
        <v>4</v>
      </c>
      <c r="AE404" s="4">
        <v>24</v>
      </c>
      <c r="AF404" s="4">
        <v>0</v>
      </c>
      <c r="AG404" s="4">
        <v>12</v>
      </c>
      <c r="AH404" s="4">
        <v>2</v>
      </c>
      <c r="AI404" s="4">
        <v>3</v>
      </c>
      <c r="AJ404" s="4">
        <v>2</v>
      </c>
      <c r="AK404" s="4">
        <v>14</v>
      </c>
      <c r="AL404" s="4">
        <v>1</v>
      </c>
      <c r="AM404" s="4">
        <v>2</v>
      </c>
      <c r="AN404" s="4">
        <v>0</v>
      </c>
      <c r="AO404" s="4">
        <v>0</v>
      </c>
      <c r="AP404" s="3" t="s">
        <v>59</v>
      </c>
      <c r="AQ404" s="3" t="s">
        <v>59</v>
      </c>
      <c r="AS404" s="6" t="str">
        <f>HYPERLINK("https://creighton-primo.hosted.exlibrisgroup.com/primo-explore/search?tab=default_tab&amp;search_scope=EVERYTHING&amp;vid=01CRU&amp;lang=en_US&amp;offset=0&amp;query=any,contains,991000416559702656","Catalog Record")</f>
        <v>Catalog Record</v>
      </c>
      <c r="AT404" s="6" t="str">
        <f>HYPERLINK("http://www.worldcat.org/oclc/10724844","WorldCat Record")</f>
        <v>WorldCat Record</v>
      </c>
      <c r="AU404" s="3" t="s">
        <v>4793</v>
      </c>
      <c r="AV404" s="3" t="s">
        <v>4794</v>
      </c>
      <c r="AW404" s="3" t="s">
        <v>4795</v>
      </c>
      <c r="AX404" s="3" t="s">
        <v>4795</v>
      </c>
      <c r="AY404" s="3" t="s">
        <v>4796</v>
      </c>
      <c r="AZ404" s="3" t="s">
        <v>74</v>
      </c>
      <c r="BB404" s="3" t="s">
        <v>4797</v>
      </c>
      <c r="BC404" s="3" t="s">
        <v>4798</v>
      </c>
      <c r="BD404" s="3" t="s">
        <v>4799</v>
      </c>
    </row>
    <row r="405" spans="1:56" ht="57.75" customHeight="1" x14ac:dyDescent="0.25">
      <c r="A405" s="7" t="s">
        <v>59</v>
      </c>
      <c r="B405" s="2" t="s">
        <v>4800</v>
      </c>
      <c r="C405" s="2" t="s">
        <v>4801</v>
      </c>
      <c r="D405" s="2" t="s">
        <v>4802</v>
      </c>
      <c r="F405" s="3" t="s">
        <v>59</v>
      </c>
      <c r="G405" s="3" t="s">
        <v>60</v>
      </c>
      <c r="H405" s="3" t="s">
        <v>59</v>
      </c>
      <c r="I405" s="3" t="s">
        <v>59</v>
      </c>
      <c r="J405" s="3" t="s">
        <v>61</v>
      </c>
      <c r="K405" s="2" t="s">
        <v>4803</v>
      </c>
      <c r="L405" s="2" t="s">
        <v>4804</v>
      </c>
      <c r="M405" s="3" t="s">
        <v>2421</v>
      </c>
      <c r="O405" s="3" t="s">
        <v>64</v>
      </c>
      <c r="P405" s="3" t="s">
        <v>2074</v>
      </c>
      <c r="Q405" s="2" t="s">
        <v>4805</v>
      </c>
      <c r="R405" s="3" t="s">
        <v>67</v>
      </c>
      <c r="S405" s="4">
        <v>5</v>
      </c>
      <c r="T405" s="4">
        <v>5</v>
      </c>
      <c r="U405" s="5" t="s">
        <v>4806</v>
      </c>
      <c r="V405" s="5" t="s">
        <v>4806</v>
      </c>
      <c r="W405" s="5" t="s">
        <v>4507</v>
      </c>
      <c r="X405" s="5" t="s">
        <v>4507</v>
      </c>
      <c r="Y405" s="4">
        <v>208</v>
      </c>
      <c r="Z405" s="4">
        <v>146</v>
      </c>
      <c r="AA405" s="4">
        <v>148</v>
      </c>
      <c r="AB405" s="4">
        <v>2</v>
      </c>
      <c r="AC405" s="4">
        <v>2</v>
      </c>
      <c r="AD405" s="4">
        <v>5</v>
      </c>
      <c r="AE405" s="4">
        <v>5</v>
      </c>
      <c r="AF405" s="4">
        <v>0</v>
      </c>
      <c r="AG405" s="4">
        <v>0</v>
      </c>
      <c r="AH405" s="4">
        <v>2</v>
      </c>
      <c r="AI405" s="4">
        <v>2</v>
      </c>
      <c r="AJ405" s="4">
        <v>3</v>
      </c>
      <c r="AK405" s="4">
        <v>3</v>
      </c>
      <c r="AL405" s="4">
        <v>1</v>
      </c>
      <c r="AM405" s="4">
        <v>1</v>
      </c>
      <c r="AN405" s="4">
        <v>0</v>
      </c>
      <c r="AO405" s="4">
        <v>0</v>
      </c>
      <c r="AP405" s="3" t="s">
        <v>59</v>
      </c>
      <c r="AQ405" s="3" t="s">
        <v>69</v>
      </c>
      <c r="AR405" s="6" t="str">
        <f>HYPERLINK("http://catalog.hathitrust.org/Record/000842077","HathiTrust Record")</f>
        <v>HathiTrust Record</v>
      </c>
      <c r="AS405" s="6" t="str">
        <f>HYPERLINK("https://creighton-primo.hosted.exlibrisgroup.com/primo-explore/search?tab=default_tab&amp;search_scope=EVERYTHING&amp;vid=01CRU&amp;lang=en_US&amp;offset=0&amp;query=any,contains,991001132489702656","Catalog Record")</f>
        <v>Catalog Record</v>
      </c>
      <c r="AT405" s="6" t="str">
        <f>HYPERLINK("http://www.worldcat.org/oclc/16684159","WorldCat Record")</f>
        <v>WorldCat Record</v>
      </c>
      <c r="AU405" s="3" t="s">
        <v>4807</v>
      </c>
      <c r="AV405" s="3" t="s">
        <v>4808</v>
      </c>
      <c r="AW405" s="3" t="s">
        <v>4809</v>
      </c>
      <c r="AX405" s="3" t="s">
        <v>4809</v>
      </c>
      <c r="AY405" s="3" t="s">
        <v>4810</v>
      </c>
      <c r="AZ405" s="3" t="s">
        <v>74</v>
      </c>
      <c r="BB405" s="3" t="s">
        <v>4811</v>
      </c>
      <c r="BC405" s="3" t="s">
        <v>4812</v>
      </c>
      <c r="BD405" s="3" t="s">
        <v>4813</v>
      </c>
    </row>
    <row r="406" spans="1:56" ht="57.75" customHeight="1" x14ac:dyDescent="0.25">
      <c r="A406" s="7" t="s">
        <v>59</v>
      </c>
      <c r="B406" s="2" t="s">
        <v>4814</v>
      </c>
      <c r="C406" s="2" t="s">
        <v>4815</v>
      </c>
      <c r="D406" s="2" t="s">
        <v>4816</v>
      </c>
      <c r="F406" s="3" t="s">
        <v>59</v>
      </c>
      <c r="G406" s="3" t="s">
        <v>60</v>
      </c>
      <c r="H406" s="3" t="s">
        <v>59</v>
      </c>
      <c r="I406" s="3" t="s">
        <v>59</v>
      </c>
      <c r="J406" s="3" t="s">
        <v>61</v>
      </c>
      <c r="K406" s="2" t="s">
        <v>4817</v>
      </c>
      <c r="L406" s="2" t="s">
        <v>4818</v>
      </c>
      <c r="M406" s="3" t="s">
        <v>2244</v>
      </c>
      <c r="N406" s="2" t="s">
        <v>556</v>
      </c>
      <c r="O406" s="3" t="s">
        <v>64</v>
      </c>
      <c r="P406" s="3" t="s">
        <v>405</v>
      </c>
      <c r="R406" s="3" t="s">
        <v>67</v>
      </c>
      <c r="S406" s="4">
        <v>6</v>
      </c>
      <c r="T406" s="4">
        <v>6</v>
      </c>
      <c r="U406" s="5" t="s">
        <v>4692</v>
      </c>
      <c r="V406" s="5" t="s">
        <v>4692</v>
      </c>
      <c r="W406" s="5" t="s">
        <v>4819</v>
      </c>
      <c r="X406" s="5" t="s">
        <v>4819</v>
      </c>
      <c r="Y406" s="4">
        <v>287</v>
      </c>
      <c r="Z406" s="4">
        <v>169</v>
      </c>
      <c r="AA406" s="4">
        <v>171</v>
      </c>
      <c r="AB406" s="4">
        <v>2</v>
      </c>
      <c r="AC406" s="4">
        <v>2</v>
      </c>
      <c r="AD406" s="4">
        <v>7</v>
      </c>
      <c r="AE406" s="4">
        <v>7</v>
      </c>
      <c r="AF406" s="4">
        <v>0</v>
      </c>
      <c r="AG406" s="4">
        <v>0</v>
      </c>
      <c r="AH406" s="4">
        <v>2</v>
      </c>
      <c r="AI406" s="4">
        <v>2</v>
      </c>
      <c r="AJ406" s="4">
        <v>4</v>
      </c>
      <c r="AK406" s="4">
        <v>4</v>
      </c>
      <c r="AL406" s="4">
        <v>1</v>
      </c>
      <c r="AM406" s="4">
        <v>1</v>
      </c>
      <c r="AN406" s="4">
        <v>0</v>
      </c>
      <c r="AO406" s="4">
        <v>0</v>
      </c>
      <c r="AP406" s="3" t="s">
        <v>59</v>
      </c>
      <c r="AQ406" s="3" t="s">
        <v>69</v>
      </c>
      <c r="AR406" s="6" t="str">
        <f>HYPERLINK("http://catalog.hathitrust.org/Record/002235184","HathiTrust Record")</f>
        <v>HathiTrust Record</v>
      </c>
      <c r="AS406" s="6" t="str">
        <f>HYPERLINK("https://creighton-primo.hosted.exlibrisgroup.com/primo-explore/search?tab=default_tab&amp;search_scope=EVERYTHING&amp;vid=01CRU&amp;lang=en_US&amp;offset=0&amp;query=any,contains,991001677479702656","Catalog Record")</f>
        <v>Catalog Record</v>
      </c>
      <c r="AT406" s="6" t="str">
        <f>HYPERLINK("http://www.worldcat.org/oclc/21333822","WorldCat Record")</f>
        <v>WorldCat Record</v>
      </c>
      <c r="AU406" s="3" t="s">
        <v>4820</v>
      </c>
      <c r="AV406" s="3" t="s">
        <v>4821</v>
      </c>
      <c r="AW406" s="3" t="s">
        <v>4822</v>
      </c>
      <c r="AX406" s="3" t="s">
        <v>4822</v>
      </c>
      <c r="AY406" s="3" t="s">
        <v>4823</v>
      </c>
      <c r="AZ406" s="3" t="s">
        <v>74</v>
      </c>
      <c r="BB406" s="3" t="s">
        <v>4824</v>
      </c>
      <c r="BC406" s="3" t="s">
        <v>4825</v>
      </c>
      <c r="BD406" s="3" t="s">
        <v>4826</v>
      </c>
    </row>
    <row r="407" spans="1:56" ht="57.75" customHeight="1" x14ac:dyDescent="0.25">
      <c r="A407" s="7" t="s">
        <v>59</v>
      </c>
      <c r="B407" s="2" t="s">
        <v>4827</v>
      </c>
      <c r="C407" s="2" t="s">
        <v>4828</v>
      </c>
      <c r="D407" s="2" t="s">
        <v>4829</v>
      </c>
      <c r="F407" s="3" t="s">
        <v>59</v>
      </c>
      <c r="G407" s="3" t="s">
        <v>60</v>
      </c>
      <c r="H407" s="3" t="s">
        <v>59</v>
      </c>
      <c r="I407" s="3" t="s">
        <v>59</v>
      </c>
      <c r="J407" s="3" t="s">
        <v>61</v>
      </c>
      <c r="K407" s="2" t="s">
        <v>4830</v>
      </c>
      <c r="L407" s="2" t="s">
        <v>4831</v>
      </c>
      <c r="M407" s="3" t="s">
        <v>2244</v>
      </c>
      <c r="O407" s="3" t="s">
        <v>64</v>
      </c>
      <c r="P407" s="3" t="s">
        <v>1268</v>
      </c>
      <c r="Q407" s="2" t="s">
        <v>4832</v>
      </c>
      <c r="R407" s="3" t="s">
        <v>67</v>
      </c>
      <c r="S407" s="4">
        <v>9</v>
      </c>
      <c r="T407" s="4">
        <v>9</v>
      </c>
      <c r="U407" s="5" t="s">
        <v>3009</v>
      </c>
      <c r="V407" s="5" t="s">
        <v>3009</v>
      </c>
      <c r="W407" s="5" t="s">
        <v>4833</v>
      </c>
      <c r="X407" s="5" t="s">
        <v>4833</v>
      </c>
      <c r="Y407" s="4">
        <v>204</v>
      </c>
      <c r="Z407" s="4">
        <v>153</v>
      </c>
      <c r="AA407" s="4">
        <v>988</v>
      </c>
      <c r="AB407" s="4">
        <v>1</v>
      </c>
      <c r="AC407" s="4">
        <v>6</v>
      </c>
      <c r="AD407" s="4">
        <v>4</v>
      </c>
      <c r="AE407" s="4">
        <v>29</v>
      </c>
      <c r="AF407" s="4">
        <v>2</v>
      </c>
      <c r="AG407" s="4">
        <v>12</v>
      </c>
      <c r="AH407" s="4">
        <v>0</v>
      </c>
      <c r="AI407" s="4">
        <v>5</v>
      </c>
      <c r="AJ407" s="4">
        <v>2</v>
      </c>
      <c r="AK407" s="4">
        <v>15</v>
      </c>
      <c r="AL407" s="4">
        <v>0</v>
      </c>
      <c r="AM407" s="4">
        <v>5</v>
      </c>
      <c r="AN407" s="4">
        <v>0</v>
      </c>
      <c r="AO407" s="4">
        <v>0</v>
      </c>
      <c r="AP407" s="3" t="s">
        <v>59</v>
      </c>
      <c r="AQ407" s="3" t="s">
        <v>59</v>
      </c>
      <c r="AS407" s="6" t="str">
        <f>HYPERLINK("https://creighton-primo.hosted.exlibrisgroup.com/primo-explore/search?tab=default_tab&amp;search_scope=EVERYTHING&amp;vid=01CRU&amp;lang=en_US&amp;offset=0&amp;query=any,contains,991001831909702656","Catalog Record")</f>
        <v>Catalog Record</v>
      </c>
      <c r="AT407" s="6" t="str">
        <f>HYPERLINK("http://www.worldcat.org/oclc/23015891","WorldCat Record")</f>
        <v>WorldCat Record</v>
      </c>
      <c r="AU407" s="3" t="s">
        <v>4834</v>
      </c>
      <c r="AV407" s="3" t="s">
        <v>4835</v>
      </c>
      <c r="AW407" s="3" t="s">
        <v>4836</v>
      </c>
      <c r="AX407" s="3" t="s">
        <v>4836</v>
      </c>
      <c r="AY407" s="3" t="s">
        <v>4837</v>
      </c>
      <c r="AZ407" s="3" t="s">
        <v>74</v>
      </c>
      <c r="BB407" s="3" t="s">
        <v>4838</v>
      </c>
      <c r="BC407" s="3" t="s">
        <v>4839</v>
      </c>
      <c r="BD407" s="3" t="s">
        <v>4840</v>
      </c>
    </row>
    <row r="408" spans="1:56" ht="57.75" customHeight="1" x14ac:dyDescent="0.25">
      <c r="A408" s="7" t="s">
        <v>59</v>
      </c>
      <c r="B408" s="2" t="s">
        <v>4841</v>
      </c>
      <c r="C408" s="2" t="s">
        <v>4842</v>
      </c>
      <c r="D408" s="2" t="s">
        <v>4843</v>
      </c>
      <c r="F408" s="3" t="s">
        <v>59</v>
      </c>
      <c r="G408" s="3" t="s">
        <v>60</v>
      </c>
      <c r="H408" s="3" t="s">
        <v>59</v>
      </c>
      <c r="I408" s="3" t="s">
        <v>59</v>
      </c>
      <c r="J408" s="3" t="s">
        <v>61</v>
      </c>
      <c r="K408" s="2" t="s">
        <v>4844</v>
      </c>
      <c r="L408" s="2" t="s">
        <v>4845</v>
      </c>
      <c r="M408" s="3" t="s">
        <v>712</v>
      </c>
      <c r="O408" s="3" t="s">
        <v>64</v>
      </c>
      <c r="P408" s="3" t="s">
        <v>467</v>
      </c>
      <c r="Q408" s="2" t="s">
        <v>4846</v>
      </c>
      <c r="R408" s="3" t="s">
        <v>67</v>
      </c>
      <c r="S408" s="4">
        <v>5</v>
      </c>
      <c r="T408" s="4">
        <v>5</v>
      </c>
      <c r="U408" s="5" t="s">
        <v>4847</v>
      </c>
      <c r="V408" s="5" t="s">
        <v>4847</v>
      </c>
      <c r="W408" s="5" t="s">
        <v>4848</v>
      </c>
      <c r="X408" s="5" t="s">
        <v>4848</v>
      </c>
      <c r="Y408" s="4">
        <v>480</v>
      </c>
      <c r="Z408" s="4">
        <v>331</v>
      </c>
      <c r="AA408" s="4">
        <v>639</v>
      </c>
      <c r="AB408" s="4">
        <v>2</v>
      </c>
      <c r="AC408" s="4">
        <v>3</v>
      </c>
      <c r="AD408" s="4">
        <v>13</v>
      </c>
      <c r="AE408" s="4">
        <v>21</v>
      </c>
      <c r="AF408" s="4">
        <v>5</v>
      </c>
      <c r="AG408" s="4">
        <v>11</v>
      </c>
      <c r="AH408" s="4">
        <v>3</v>
      </c>
      <c r="AI408" s="4">
        <v>4</v>
      </c>
      <c r="AJ408" s="4">
        <v>8</v>
      </c>
      <c r="AK408" s="4">
        <v>13</v>
      </c>
      <c r="AL408" s="4">
        <v>1</v>
      </c>
      <c r="AM408" s="4">
        <v>1</v>
      </c>
      <c r="AN408" s="4">
        <v>0</v>
      </c>
      <c r="AO408" s="4">
        <v>0</v>
      </c>
      <c r="AP408" s="3" t="s">
        <v>59</v>
      </c>
      <c r="AQ408" s="3" t="s">
        <v>69</v>
      </c>
      <c r="AR408" s="6" t="str">
        <f>HYPERLINK("http://catalog.hathitrust.org/Record/002860286","HathiTrust Record")</f>
        <v>HathiTrust Record</v>
      </c>
      <c r="AS408" s="6" t="str">
        <f>HYPERLINK("https://creighton-primo.hosted.exlibrisgroup.com/primo-explore/search?tab=default_tab&amp;search_scope=EVERYTHING&amp;vid=01CRU&amp;lang=en_US&amp;offset=0&amp;query=any,contains,991002196849702656","Catalog Record")</f>
        <v>Catalog Record</v>
      </c>
      <c r="AT408" s="6" t="str">
        <f>HYPERLINK("http://www.worldcat.org/oclc/28254733","WorldCat Record")</f>
        <v>WorldCat Record</v>
      </c>
      <c r="AU408" s="3" t="s">
        <v>4849</v>
      </c>
      <c r="AV408" s="3" t="s">
        <v>4850</v>
      </c>
      <c r="AW408" s="3" t="s">
        <v>4851</v>
      </c>
      <c r="AX408" s="3" t="s">
        <v>4851</v>
      </c>
      <c r="AY408" s="3" t="s">
        <v>4852</v>
      </c>
      <c r="AZ408" s="3" t="s">
        <v>74</v>
      </c>
      <c r="BB408" s="3" t="s">
        <v>4853</v>
      </c>
      <c r="BC408" s="3" t="s">
        <v>4854</v>
      </c>
      <c r="BD408" s="3" t="s">
        <v>4855</v>
      </c>
    </row>
    <row r="409" spans="1:56" ht="57.75" customHeight="1" x14ac:dyDescent="0.25">
      <c r="A409" s="7" t="s">
        <v>59</v>
      </c>
      <c r="B409" s="2" t="s">
        <v>4856</v>
      </c>
      <c r="C409" s="2" t="s">
        <v>4857</v>
      </c>
      <c r="D409" s="2" t="s">
        <v>4858</v>
      </c>
      <c r="F409" s="3" t="s">
        <v>59</v>
      </c>
      <c r="G409" s="3" t="s">
        <v>60</v>
      </c>
      <c r="H409" s="3" t="s">
        <v>59</v>
      </c>
      <c r="I409" s="3" t="s">
        <v>59</v>
      </c>
      <c r="J409" s="3" t="s">
        <v>61</v>
      </c>
      <c r="K409" s="2" t="s">
        <v>4859</v>
      </c>
      <c r="L409" s="2" t="s">
        <v>4860</v>
      </c>
      <c r="M409" s="3" t="s">
        <v>2073</v>
      </c>
      <c r="O409" s="3" t="s">
        <v>64</v>
      </c>
      <c r="P409" s="3" t="s">
        <v>405</v>
      </c>
      <c r="R409" s="3" t="s">
        <v>67</v>
      </c>
      <c r="S409" s="4">
        <v>6</v>
      </c>
      <c r="T409" s="4">
        <v>6</v>
      </c>
      <c r="U409" s="5" t="s">
        <v>1335</v>
      </c>
      <c r="V409" s="5" t="s">
        <v>1335</v>
      </c>
      <c r="W409" s="5" t="s">
        <v>4507</v>
      </c>
      <c r="X409" s="5" t="s">
        <v>4507</v>
      </c>
      <c r="Y409" s="4">
        <v>499</v>
      </c>
      <c r="Z409" s="4">
        <v>346</v>
      </c>
      <c r="AA409" s="4">
        <v>363</v>
      </c>
      <c r="AB409" s="4">
        <v>2</v>
      </c>
      <c r="AC409" s="4">
        <v>2</v>
      </c>
      <c r="AD409" s="4">
        <v>17</v>
      </c>
      <c r="AE409" s="4">
        <v>17</v>
      </c>
      <c r="AF409" s="4">
        <v>9</v>
      </c>
      <c r="AG409" s="4">
        <v>9</v>
      </c>
      <c r="AH409" s="4">
        <v>6</v>
      </c>
      <c r="AI409" s="4">
        <v>6</v>
      </c>
      <c r="AJ409" s="4">
        <v>9</v>
      </c>
      <c r="AK409" s="4">
        <v>9</v>
      </c>
      <c r="AL409" s="4">
        <v>1</v>
      </c>
      <c r="AM409" s="4">
        <v>1</v>
      </c>
      <c r="AN409" s="4">
        <v>0</v>
      </c>
      <c r="AO409" s="4">
        <v>0</v>
      </c>
      <c r="AP409" s="3" t="s">
        <v>59</v>
      </c>
      <c r="AQ409" s="3" t="s">
        <v>69</v>
      </c>
      <c r="AR409" s="6" t="str">
        <f>HYPERLINK("http://catalog.hathitrust.org/Record/000336141","HathiTrust Record")</f>
        <v>HathiTrust Record</v>
      </c>
      <c r="AS409" s="6" t="str">
        <f>HYPERLINK("https://creighton-primo.hosted.exlibrisgroup.com/primo-explore/search?tab=default_tab&amp;search_scope=EVERYTHING&amp;vid=01CRU&amp;lang=en_US&amp;offset=0&amp;query=any,contains,991000192719702656","Catalog Record")</f>
        <v>Catalog Record</v>
      </c>
      <c r="AT409" s="6" t="str">
        <f>HYPERLINK("http://www.worldcat.org/oclc/9413543","WorldCat Record")</f>
        <v>WorldCat Record</v>
      </c>
      <c r="AU409" s="3" t="s">
        <v>4861</v>
      </c>
      <c r="AV409" s="3" t="s">
        <v>4862</v>
      </c>
      <c r="AW409" s="3" t="s">
        <v>4863</v>
      </c>
      <c r="AX409" s="3" t="s">
        <v>4863</v>
      </c>
      <c r="AY409" s="3" t="s">
        <v>4864</v>
      </c>
      <c r="AZ409" s="3" t="s">
        <v>74</v>
      </c>
      <c r="BB409" s="3" t="s">
        <v>4865</v>
      </c>
      <c r="BC409" s="3" t="s">
        <v>4866</v>
      </c>
      <c r="BD409" s="3" t="s">
        <v>4867</v>
      </c>
    </row>
    <row r="410" spans="1:56" ht="57.75" customHeight="1" x14ac:dyDescent="0.25">
      <c r="A410" s="7" t="s">
        <v>59</v>
      </c>
      <c r="B410" s="2" t="s">
        <v>4868</v>
      </c>
      <c r="C410" s="2" t="s">
        <v>4869</v>
      </c>
      <c r="D410" s="2" t="s">
        <v>4870</v>
      </c>
      <c r="F410" s="3" t="s">
        <v>59</v>
      </c>
      <c r="G410" s="3" t="s">
        <v>60</v>
      </c>
      <c r="H410" s="3" t="s">
        <v>59</v>
      </c>
      <c r="I410" s="3" t="s">
        <v>59</v>
      </c>
      <c r="J410" s="3" t="s">
        <v>61</v>
      </c>
      <c r="K410" s="2" t="s">
        <v>4871</v>
      </c>
      <c r="L410" s="2" t="s">
        <v>4872</v>
      </c>
      <c r="M410" s="3" t="s">
        <v>4873</v>
      </c>
      <c r="O410" s="3" t="s">
        <v>64</v>
      </c>
      <c r="P410" s="3" t="s">
        <v>467</v>
      </c>
      <c r="Q410" s="2" t="s">
        <v>4874</v>
      </c>
      <c r="R410" s="3" t="s">
        <v>67</v>
      </c>
      <c r="S410" s="4">
        <v>2</v>
      </c>
      <c r="T410" s="4">
        <v>2</v>
      </c>
      <c r="U410" s="5" t="s">
        <v>3009</v>
      </c>
      <c r="V410" s="5" t="s">
        <v>3009</v>
      </c>
      <c r="W410" s="5" t="s">
        <v>2452</v>
      </c>
      <c r="X410" s="5" t="s">
        <v>2452</v>
      </c>
      <c r="Y410" s="4">
        <v>144</v>
      </c>
      <c r="Z410" s="4">
        <v>131</v>
      </c>
      <c r="AA410" s="4">
        <v>188</v>
      </c>
      <c r="AB410" s="4">
        <v>3</v>
      </c>
      <c r="AC410" s="4">
        <v>3</v>
      </c>
      <c r="AD410" s="4">
        <v>6</v>
      </c>
      <c r="AE410" s="4">
        <v>6</v>
      </c>
      <c r="AF410" s="4">
        <v>1</v>
      </c>
      <c r="AG410" s="4">
        <v>1</v>
      </c>
      <c r="AH410" s="4">
        <v>1</v>
      </c>
      <c r="AI410" s="4">
        <v>1</v>
      </c>
      <c r="AJ410" s="4">
        <v>3</v>
      </c>
      <c r="AK410" s="4">
        <v>3</v>
      </c>
      <c r="AL410" s="4">
        <v>2</v>
      </c>
      <c r="AM410" s="4">
        <v>2</v>
      </c>
      <c r="AN410" s="4">
        <v>0</v>
      </c>
      <c r="AO410" s="4">
        <v>0</v>
      </c>
      <c r="AP410" s="3" t="s">
        <v>59</v>
      </c>
      <c r="AQ410" s="3" t="s">
        <v>59</v>
      </c>
      <c r="AS410" s="6" t="str">
        <f>HYPERLINK("https://creighton-primo.hosted.exlibrisgroup.com/primo-explore/search?tab=default_tab&amp;search_scope=EVERYTHING&amp;vid=01CRU&amp;lang=en_US&amp;offset=0&amp;query=any,contains,991003659099702656","Catalog Record")</f>
        <v>Catalog Record</v>
      </c>
      <c r="AT410" s="6" t="str">
        <f>HYPERLINK("http://www.worldcat.org/oclc/1265625","WorldCat Record")</f>
        <v>WorldCat Record</v>
      </c>
      <c r="AU410" s="3" t="s">
        <v>4875</v>
      </c>
      <c r="AV410" s="3" t="s">
        <v>4876</v>
      </c>
      <c r="AW410" s="3" t="s">
        <v>4877</v>
      </c>
      <c r="AX410" s="3" t="s">
        <v>4877</v>
      </c>
      <c r="AY410" s="3" t="s">
        <v>4878</v>
      </c>
      <c r="AZ410" s="3" t="s">
        <v>74</v>
      </c>
      <c r="BC410" s="3" t="s">
        <v>4879</v>
      </c>
      <c r="BD410" s="3" t="s">
        <v>4880</v>
      </c>
    </row>
    <row r="411" spans="1:56" ht="57.75" customHeight="1" x14ac:dyDescent="0.25">
      <c r="A411" s="7" t="s">
        <v>59</v>
      </c>
      <c r="B411" s="2" t="s">
        <v>4881</v>
      </c>
      <c r="C411" s="2" t="s">
        <v>4882</v>
      </c>
      <c r="D411" s="2" t="s">
        <v>4883</v>
      </c>
      <c r="F411" s="3" t="s">
        <v>59</v>
      </c>
      <c r="G411" s="3" t="s">
        <v>60</v>
      </c>
      <c r="H411" s="3" t="s">
        <v>59</v>
      </c>
      <c r="I411" s="3" t="s">
        <v>59</v>
      </c>
      <c r="J411" s="3" t="s">
        <v>61</v>
      </c>
      <c r="L411" s="2" t="s">
        <v>4884</v>
      </c>
      <c r="M411" s="3" t="s">
        <v>1757</v>
      </c>
      <c r="O411" s="3" t="s">
        <v>64</v>
      </c>
      <c r="P411" s="3" t="s">
        <v>467</v>
      </c>
      <c r="Q411" s="2" t="s">
        <v>4885</v>
      </c>
      <c r="R411" s="3" t="s">
        <v>67</v>
      </c>
      <c r="S411" s="4">
        <v>1</v>
      </c>
      <c r="T411" s="4">
        <v>1</v>
      </c>
      <c r="U411" s="5" t="s">
        <v>4886</v>
      </c>
      <c r="V411" s="5" t="s">
        <v>4886</v>
      </c>
      <c r="W411" s="5" t="s">
        <v>4887</v>
      </c>
      <c r="X411" s="5" t="s">
        <v>4887</v>
      </c>
      <c r="Y411" s="4">
        <v>152</v>
      </c>
      <c r="Z411" s="4">
        <v>122</v>
      </c>
      <c r="AA411" s="4">
        <v>140</v>
      </c>
      <c r="AB411" s="4">
        <v>2</v>
      </c>
      <c r="AC411" s="4">
        <v>2</v>
      </c>
      <c r="AD411" s="4">
        <v>4</v>
      </c>
      <c r="AE411" s="4">
        <v>4</v>
      </c>
      <c r="AF411" s="4">
        <v>0</v>
      </c>
      <c r="AG411" s="4">
        <v>0</v>
      </c>
      <c r="AH411" s="4">
        <v>1</v>
      </c>
      <c r="AI411" s="4">
        <v>1</v>
      </c>
      <c r="AJ411" s="4">
        <v>2</v>
      </c>
      <c r="AK411" s="4">
        <v>2</v>
      </c>
      <c r="AL411" s="4">
        <v>1</v>
      </c>
      <c r="AM411" s="4">
        <v>1</v>
      </c>
      <c r="AN411" s="4">
        <v>0</v>
      </c>
      <c r="AO411" s="4">
        <v>0</v>
      </c>
      <c r="AP411" s="3" t="s">
        <v>59</v>
      </c>
      <c r="AQ411" s="3" t="s">
        <v>59</v>
      </c>
      <c r="AS411" s="6" t="str">
        <f>HYPERLINK("https://creighton-primo.hosted.exlibrisgroup.com/primo-explore/search?tab=default_tab&amp;search_scope=EVERYTHING&amp;vid=01CRU&amp;lang=en_US&amp;offset=0&amp;query=any,contains,991002621999702656","Catalog Record")</f>
        <v>Catalog Record</v>
      </c>
      <c r="AT411" s="6" t="str">
        <f>HYPERLINK("http://www.worldcat.org/oclc/34355660","WorldCat Record")</f>
        <v>WorldCat Record</v>
      </c>
      <c r="AU411" s="3" t="s">
        <v>4888</v>
      </c>
      <c r="AV411" s="3" t="s">
        <v>4889</v>
      </c>
      <c r="AW411" s="3" t="s">
        <v>4890</v>
      </c>
      <c r="AX411" s="3" t="s">
        <v>4890</v>
      </c>
      <c r="AY411" s="3" t="s">
        <v>4891</v>
      </c>
      <c r="AZ411" s="3" t="s">
        <v>74</v>
      </c>
      <c r="BB411" s="3" t="s">
        <v>4892</v>
      </c>
      <c r="BC411" s="3" t="s">
        <v>4893</v>
      </c>
      <c r="BD411" s="3" t="s">
        <v>4894</v>
      </c>
    </row>
    <row r="412" spans="1:56" ht="57.75" customHeight="1" x14ac:dyDescent="0.25">
      <c r="A412" s="7" t="s">
        <v>59</v>
      </c>
      <c r="B412" s="2" t="s">
        <v>4895</v>
      </c>
      <c r="C412" s="2" t="s">
        <v>4896</v>
      </c>
      <c r="D412" s="2" t="s">
        <v>4897</v>
      </c>
      <c r="F412" s="3" t="s">
        <v>59</v>
      </c>
      <c r="G412" s="3" t="s">
        <v>60</v>
      </c>
      <c r="H412" s="3" t="s">
        <v>59</v>
      </c>
      <c r="I412" s="3" t="s">
        <v>59</v>
      </c>
      <c r="J412" s="3" t="s">
        <v>61</v>
      </c>
      <c r="K412" s="2" t="s">
        <v>4898</v>
      </c>
      <c r="L412" s="2" t="s">
        <v>4899</v>
      </c>
      <c r="M412" s="3" t="s">
        <v>239</v>
      </c>
      <c r="O412" s="3" t="s">
        <v>64</v>
      </c>
      <c r="P412" s="3" t="s">
        <v>405</v>
      </c>
      <c r="Q412" s="2" t="s">
        <v>4900</v>
      </c>
      <c r="R412" s="3" t="s">
        <v>67</v>
      </c>
      <c r="S412" s="4">
        <v>3</v>
      </c>
      <c r="T412" s="4">
        <v>3</v>
      </c>
      <c r="U412" s="5" t="s">
        <v>4901</v>
      </c>
      <c r="V412" s="5" t="s">
        <v>4901</v>
      </c>
      <c r="W412" s="5" t="s">
        <v>2497</v>
      </c>
      <c r="X412" s="5" t="s">
        <v>2497</v>
      </c>
      <c r="Y412" s="4">
        <v>365</v>
      </c>
      <c r="Z412" s="4">
        <v>251</v>
      </c>
      <c r="AA412" s="4">
        <v>254</v>
      </c>
      <c r="AB412" s="4">
        <v>2</v>
      </c>
      <c r="AC412" s="4">
        <v>2</v>
      </c>
      <c r="AD412" s="4">
        <v>13</v>
      </c>
      <c r="AE412" s="4">
        <v>13</v>
      </c>
      <c r="AF412" s="4">
        <v>5</v>
      </c>
      <c r="AG412" s="4">
        <v>5</v>
      </c>
      <c r="AH412" s="4">
        <v>5</v>
      </c>
      <c r="AI412" s="4">
        <v>5</v>
      </c>
      <c r="AJ412" s="4">
        <v>8</v>
      </c>
      <c r="AK412" s="4">
        <v>8</v>
      </c>
      <c r="AL412" s="4">
        <v>1</v>
      </c>
      <c r="AM412" s="4">
        <v>1</v>
      </c>
      <c r="AN412" s="4">
        <v>0</v>
      </c>
      <c r="AO412" s="4">
        <v>0</v>
      </c>
      <c r="AP412" s="3" t="s">
        <v>59</v>
      </c>
      <c r="AQ412" s="3" t="s">
        <v>69</v>
      </c>
      <c r="AR412" s="6" t="str">
        <f>HYPERLINK("http://catalog.hathitrust.org/Record/003061759","HathiTrust Record")</f>
        <v>HathiTrust Record</v>
      </c>
      <c r="AS412" s="6" t="str">
        <f>HYPERLINK("https://creighton-primo.hosted.exlibrisgroup.com/primo-explore/search?tab=default_tab&amp;search_scope=EVERYTHING&amp;vid=01CRU&amp;lang=en_US&amp;offset=0&amp;query=any,contains,991002517459702656","Catalog Record")</f>
        <v>Catalog Record</v>
      </c>
      <c r="AT412" s="6" t="str">
        <f>HYPERLINK("http://www.worldcat.org/oclc/32739971","WorldCat Record")</f>
        <v>WorldCat Record</v>
      </c>
      <c r="AU412" s="3" t="s">
        <v>4902</v>
      </c>
      <c r="AV412" s="3" t="s">
        <v>4903</v>
      </c>
      <c r="AW412" s="3" t="s">
        <v>4904</v>
      </c>
      <c r="AX412" s="3" t="s">
        <v>4904</v>
      </c>
      <c r="AY412" s="3" t="s">
        <v>4905</v>
      </c>
      <c r="AZ412" s="3" t="s">
        <v>74</v>
      </c>
      <c r="BB412" s="3" t="s">
        <v>4906</v>
      </c>
      <c r="BC412" s="3" t="s">
        <v>4907</v>
      </c>
      <c r="BD412" s="3" t="s">
        <v>4908</v>
      </c>
    </row>
    <row r="413" spans="1:56" ht="57.75" customHeight="1" x14ac:dyDescent="0.25">
      <c r="A413" s="7" t="s">
        <v>59</v>
      </c>
      <c r="B413" s="2" t="s">
        <v>4909</v>
      </c>
      <c r="C413" s="2" t="s">
        <v>4910</v>
      </c>
      <c r="D413" s="2" t="s">
        <v>4911</v>
      </c>
      <c r="F413" s="3" t="s">
        <v>59</v>
      </c>
      <c r="G413" s="3" t="s">
        <v>60</v>
      </c>
      <c r="H413" s="3" t="s">
        <v>59</v>
      </c>
      <c r="I413" s="3" t="s">
        <v>59</v>
      </c>
      <c r="J413" s="3" t="s">
        <v>61</v>
      </c>
      <c r="K413" s="2" t="s">
        <v>4912</v>
      </c>
      <c r="L413" s="2" t="s">
        <v>4913</v>
      </c>
      <c r="M413" s="3" t="s">
        <v>4914</v>
      </c>
      <c r="O413" s="3" t="s">
        <v>64</v>
      </c>
      <c r="P413" s="3" t="s">
        <v>405</v>
      </c>
      <c r="R413" s="3" t="s">
        <v>67</v>
      </c>
      <c r="S413" s="4">
        <v>1</v>
      </c>
      <c r="T413" s="4">
        <v>1</v>
      </c>
      <c r="U413" s="5" t="s">
        <v>4915</v>
      </c>
      <c r="V413" s="5" t="s">
        <v>4915</v>
      </c>
      <c r="W413" s="5" t="s">
        <v>2452</v>
      </c>
      <c r="X413" s="5" t="s">
        <v>2452</v>
      </c>
      <c r="Y413" s="4">
        <v>201</v>
      </c>
      <c r="Z413" s="4">
        <v>150</v>
      </c>
      <c r="AA413" s="4">
        <v>276</v>
      </c>
      <c r="AB413" s="4">
        <v>2</v>
      </c>
      <c r="AC413" s="4">
        <v>4</v>
      </c>
      <c r="AD413" s="4">
        <v>3</v>
      </c>
      <c r="AE413" s="4">
        <v>6</v>
      </c>
      <c r="AF413" s="4">
        <v>0</v>
      </c>
      <c r="AG413" s="4">
        <v>1</v>
      </c>
      <c r="AH413" s="4">
        <v>2</v>
      </c>
      <c r="AI413" s="4">
        <v>3</v>
      </c>
      <c r="AJ413" s="4">
        <v>1</v>
      </c>
      <c r="AK413" s="4">
        <v>1</v>
      </c>
      <c r="AL413" s="4">
        <v>1</v>
      </c>
      <c r="AM413" s="4">
        <v>3</v>
      </c>
      <c r="AN413" s="4">
        <v>0</v>
      </c>
      <c r="AO413" s="4">
        <v>0</v>
      </c>
      <c r="AP413" s="3" t="s">
        <v>69</v>
      </c>
      <c r="AQ413" s="3" t="s">
        <v>59</v>
      </c>
      <c r="AR413" s="6" t="str">
        <f>HYPERLINK("http://catalog.hathitrust.org/Record/007657416","HathiTrust Record")</f>
        <v>HathiTrust Record</v>
      </c>
      <c r="AS413" s="6" t="str">
        <f>HYPERLINK("https://creighton-primo.hosted.exlibrisgroup.com/primo-explore/search?tab=default_tab&amp;search_scope=EVERYTHING&amp;vid=01CRU&amp;lang=en_US&amp;offset=0&amp;query=any,contains,991003816039702656","Catalog Record")</f>
        <v>Catalog Record</v>
      </c>
      <c r="AT413" s="6" t="str">
        <f>HYPERLINK("http://www.worldcat.org/oclc/1548980","WorldCat Record")</f>
        <v>WorldCat Record</v>
      </c>
      <c r="AU413" s="3" t="s">
        <v>4916</v>
      </c>
      <c r="AV413" s="3" t="s">
        <v>4917</v>
      </c>
      <c r="AW413" s="3" t="s">
        <v>4918</v>
      </c>
      <c r="AX413" s="3" t="s">
        <v>4918</v>
      </c>
      <c r="AY413" s="3" t="s">
        <v>4919</v>
      </c>
      <c r="AZ413" s="3" t="s">
        <v>74</v>
      </c>
      <c r="BC413" s="3" t="s">
        <v>4920</v>
      </c>
      <c r="BD413" s="3" t="s">
        <v>4921</v>
      </c>
    </row>
    <row r="414" spans="1:56" ht="57.75" customHeight="1" x14ac:dyDescent="0.25">
      <c r="A414" s="7" t="s">
        <v>59</v>
      </c>
      <c r="B414" s="2" t="s">
        <v>4922</v>
      </c>
      <c r="C414" s="2" t="s">
        <v>4923</v>
      </c>
      <c r="D414" s="2" t="s">
        <v>4924</v>
      </c>
      <c r="F414" s="3" t="s">
        <v>59</v>
      </c>
      <c r="G414" s="3" t="s">
        <v>60</v>
      </c>
      <c r="H414" s="3" t="s">
        <v>59</v>
      </c>
      <c r="I414" s="3" t="s">
        <v>59</v>
      </c>
      <c r="J414" s="3" t="s">
        <v>61</v>
      </c>
      <c r="K414" s="2" t="s">
        <v>4925</v>
      </c>
      <c r="L414" s="2" t="s">
        <v>4926</v>
      </c>
      <c r="M414" s="3" t="s">
        <v>63</v>
      </c>
      <c r="O414" s="3" t="s">
        <v>64</v>
      </c>
      <c r="P414" s="3" t="s">
        <v>821</v>
      </c>
      <c r="R414" s="3" t="s">
        <v>67</v>
      </c>
      <c r="S414" s="4">
        <v>19</v>
      </c>
      <c r="T414" s="4">
        <v>19</v>
      </c>
      <c r="U414" s="5" t="s">
        <v>4927</v>
      </c>
      <c r="V414" s="5" t="s">
        <v>4927</v>
      </c>
      <c r="W414" s="5" t="s">
        <v>4928</v>
      </c>
      <c r="X414" s="5" t="s">
        <v>4928</v>
      </c>
      <c r="Y414" s="4">
        <v>315</v>
      </c>
      <c r="Z414" s="4">
        <v>233</v>
      </c>
      <c r="AA414" s="4">
        <v>233</v>
      </c>
      <c r="AB414" s="4">
        <v>2</v>
      </c>
      <c r="AC414" s="4">
        <v>2</v>
      </c>
      <c r="AD414" s="4">
        <v>6</v>
      </c>
      <c r="AE414" s="4">
        <v>6</v>
      </c>
      <c r="AF414" s="4">
        <v>3</v>
      </c>
      <c r="AG414" s="4">
        <v>3</v>
      </c>
      <c r="AH414" s="4">
        <v>2</v>
      </c>
      <c r="AI414" s="4">
        <v>2</v>
      </c>
      <c r="AJ414" s="4">
        <v>2</v>
      </c>
      <c r="AK414" s="4">
        <v>2</v>
      </c>
      <c r="AL414" s="4">
        <v>1</v>
      </c>
      <c r="AM414" s="4">
        <v>1</v>
      </c>
      <c r="AN414" s="4">
        <v>0</v>
      </c>
      <c r="AO414" s="4">
        <v>0</v>
      </c>
      <c r="AP414" s="3" t="s">
        <v>59</v>
      </c>
      <c r="AQ414" s="3" t="s">
        <v>59</v>
      </c>
      <c r="AS414" s="6" t="str">
        <f>HYPERLINK("https://creighton-primo.hosted.exlibrisgroup.com/primo-explore/search?tab=default_tab&amp;search_scope=EVERYTHING&amp;vid=01CRU&amp;lang=en_US&amp;offset=0&amp;query=any,contains,991004020819702656","Catalog Record")</f>
        <v>Catalog Record</v>
      </c>
      <c r="AT414" s="6" t="str">
        <f>HYPERLINK("http://www.worldcat.org/oclc/48675611","WorldCat Record")</f>
        <v>WorldCat Record</v>
      </c>
      <c r="AU414" s="3" t="s">
        <v>4929</v>
      </c>
      <c r="AV414" s="3" t="s">
        <v>4930</v>
      </c>
      <c r="AW414" s="3" t="s">
        <v>4931</v>
      </c>
      <c r="AX414" s="3" t="s">
        <v>4931</v>
      </c>
      <c r="AY414" s="3" t="s">
        <v>4932</v>
      </c>
      <c r="AZ414" s="3" t="s">
        <v>74</v>
      </c>
      <c r="BB414" s="3" t="s">
        <v>4933</v>
      </c>
      <c r="BC414" s="3" t="s">
        <v>4934</v>
      </c>
      <c r="BD414" s="3" t="s">
        <v>4935</v>
      </c>
    </row>
    <row r="415" spans="1:56" ht="57.75" customHeight="1" x14ac:dyDescent="0.25">
      <c r="A415" s="7" t="s">
        <v>59</v>
      </c>
      <c r="B415" s="2" t="s">
        <v>4936</v>
      </c>
      <c r="C415" s="2" t="s">
        <v>4937</v>
      </c>
      <c r="D415" s="2" t="s">
        <v>4938</v>
      </c>
      <c r="F415" s="3" t="s">
        <v>59</v>
      </c>
      <c r="G415" s="3" t="s">
        <v>60</v>
      </c>
      <c r="H415" s="3" t="s">
        <v>59</v>
      </c>
      <c r="I415" s="3" t="s">
        <v>59</v>
      </c>
      <c r="J415" s="3" t="s">
        <v>61</v>
      </c>
      <c r="K415" s="2" t="s">
        <v>4939</v>
      </c>
      <c r="L415" s="2" t="s">
        <v>4704</v>
      </c>
      <c r="M415" s="3" t="s">
        <v>712</v>
      </c>
      <c r="O415" s="3" t="s">
        <v>64</v>
      </c>
      <c r="P415" s="3" t="s">
        <v>1268</v>
      </c>
      <c r="Q415" s="2" t="s">
        <v>4250</v>
      </c>
      <c r="R415" s="3" t="s">
        <v>67</v>
      </c>
      <c r="S415" s="4">
        <v>3</v>
      </c>
      <c r="T415" s="4">
        <v>3</v>
      </c>
      <c r="U415" s="5" t="s">
        <v>4940</v>
      </c>
      <c r="V415" s="5" t="s">
        <v>4940</v>
      </c>
      <c r="W415" s="5" t="s">
        <v>3658</v>
      </c>
      <c r="X415" s="5" t="s">
        <v>3658</v>
      </c>
      <c r="Y415" s="4">
        <v>534</v>
      </c>
      <c r="Z415" s="4">
        <v>400</v>
      </c>
      <c r="AA415" s="4">
        <v>575</v>
      </c>
      <c r="AB415" s="4">
        <v>4</v>
      </c>
      <c r="AC415" s="4">
        <v>4</v>
      </c>
      <c r="AD415" s="4">
        <v>20</v>
      </c>
      <c r="AE415" s="4">
        <v>30</v>
      </c>
      <c r="AF415" s="4">
        <v>7</v>
      </c>
      <c r="AG415" s="4">
        <v>13</v>
      </c>
      <c r="AH415" s="4">
        <v>5</v>
      </c>
      <c r="AI415" s="4">
        <v>8</v>
      </c>
      <c r="AJ415" s="4">
        <v>11</v>
      </c>
      <c r="AK415" s="4">
        <v>15</v>
      </c>
      <c r="AL415" s="4">
        <v>3</v>
      </c>
      <c r="AM415" s="4">
        <v>3</v>
      </c>
      <c r="AN415" s="4">
        <v>0</v>
      </c>
      <c r="AO415" s="4">
        <v>0</v>
      </c>
      <c r="AP415" s="3" t="s">
        <v>59</v>
      </c>
      <c r="AQ415" s="3" t="s">
        <v>59</v>
      </c>
      <c r="AS415" s="6" t="str">
        <f>HYPERLINK("https://creighton-primo.hosted.exlibrisgroup.com/primo-explore/search?tab=default_tab&amp;search_scope=EVERYTHING&amp;vid=01CRU&amp;lang=en_US&amp;offset=0&amp;query=any,contains,991002171359702656","Catalog Record")</f>
        <v>Catalog Record</v>
      </c>
      <c r="AT415" s="6" t="str">
        <f>HYPERLINK("http://www.worldcat.org/oclc/27937314","WorldCat Record")</f>
        <v>WorldCat Record</v>
      </c>
      <c r="AU415" s="3" t="s">
        <v>4941</v>
      </c>
      <c r="AV415" s="3" t="s">
        <v>4942</v>
      </c>
      <c r="AW415" s="3" t="s">
        <v>4943</v>
      </c>
      <c r="AX415" s="3" t="s">
        <v>4943</v>
      </c>
      <c r="AY415" s="3" t="s">
        <v>4944</v>
      </c>
      <c r="AZ415" s="3" t="s">
        <v>74</v>
      </c>
      <c r="BB415" s="3" t="s">
        <v>4945</v>
      </c>
      <c r="BC415" s="3" t="s">
        <v>4946</v>
      </c>
      <c r="BD415" s="3" t="s">
        <v>4947</v>
      </c>
    </row>
    <row r="416" spans="1:56" ht="57.75" customHeight="1" x14ac:dyDescent="0.25">
      <c r="A416" s="7" t="s">
        <v>59</v>
      </c>
      <c r="B416" s="2" t="s">
        <v>4948</v>
      </c>
      <c r="C416" s="2" t="s">
        <v>4949</v>
      </c>
      <c r="D416" s="2" t="s">
        <v>4950</v>
      </c>
      <c r="F416" s="3" t="s">
        <v>59</v>
      </c>
      <c r="G416" s="3" t="s">
        <v>60</v>
      </c>
      <c r="H416" s="3" t="s">
        <v>59</v>
      </c>
      <c r="I416" s="3" t="s">
        <v>59</v>
      </c>
      <c r="J416" s="3" t="s">
        <v>61</v>
      </c>
      <c r="L416" s="2" t="s">
        <v>4951</v>
      </c>
      <c r="M416" s="3" t="s">
        <v>670</v>
      </c>
      <c r="O416" s="3" t="s">
        <v>64</v>
      </c>
      <c r="P416" s="3" t="s">
        <v>4538</v>
      </c>
      <c r="R416" s="3" t="s">
        <v>67</v>
      </c>
      <c r="S416" s="4">
        <v>12</v>
      </c>
      <c r="T416" s="4">
        <v>12</v>
      </c>
      <c r="U416" s="5" t="s">
        <v>3786</v>
      </c>
      <c r="V416" s="5" t="s">
        <v>3786</v>
      </c>
      <c r="W416" s="5" t="s">
        <v>4952</v>
      </c>
      <c r="X416" s="5" t="s">
        <v>4952</v>
      </c>
      <c r="Y416" s="4">
        <v>227</v>
      </c>
      <c r="Z416" s="4">
        <v>162</v>
      </c>
      <c r="AA416" s="4">
        <v>186</v>
      </c>
      <c r="AB416" s="4">
        <v>3</v>
      </c>
      <c r="AC416" s="4">
        <v>3</v>
      </c>
      <c r="AD416" s="4">
        <v>5</v>
      </c>
      <c r="AE416" s="4">
        <v>5</v>
      </c>
      <c r="AF416" s="4">
        <v>1</v>
      </c>
      <c r="AG416" s="4">
        <v>1</v>
      </c>
      <c r="AH416" s="4">
        <v>1</v>
      </c>
      <c r="AI416" s="4">
        <v>1</v>
      </c>
      <c r="AJ416" s="4">
        <v>3</v>
      </c>
      <c r="AK416" s="4">
        <v>3</v>
      </c>
      <c r="AL416" s="4">
        <v>2</v>
      </c>
      <c r="AM416" s="4">
        <v>2</v>
      </c>
      <c r="AN416" s="4">
        <v>0</v>
      </c>
      <c r="AO416" s="4">
        <v>0</v>
      </c>
      <c r="AP416" s="3" t="s">
        <v>59</v>
      </c>
      <c r="AQ416" s="3" t="s">
        <v>59</v>
      </c>
      <c r="AS416" s="6" t="str">
        <f>HYPERLINK("https://creighton-primo.hosted.exlibrisgroup.com/primo-explore/search?tab=default_tab&amp;search_scope=EVERYTHING&amp;vid=01CRU&amp;lang=en_US&amp;offset=0&amp;query=any,contains,991000152439702656","Catalog Record")</f>
        <v>Catalog Record</v>
      </c>
      <c r="AT416" s="6" t="str">
        <f>HYPERLINK("http://www.worldcat.org/oclc/9217567","WorldCat Record")</f>
        <v>WorldCat Record</v>
      </c>
      <c r="AU416" s="3" t="s">
        <v>4953</v>
      </c>
      <c r="AV416" s="3" t="s">
        <v>4954</v>
      </c>
      <c r="AW416" s="3" t="s">
        <v>4955</v>
      </c>
      <c r="AX416" s="3" t="s">
        <v>4955</v>
      </c>
      <c r="AY416" s="3" t="s">
        <v>4956</v>
      </c>
      <c r="AZ416" s="3" t="s">
        <v>74</v>
      </c>
      <c r="BB416" s="3" t="s">
        <v>4957</v>
      </c>
      <c r="BC416" s="3" t="s">
        <v>4958</v>
      </c>
      <c r="BD416" s="3" t="s">
        <v>4959</v>
      </c>
    </row>
    <row r="417" spans="1:56" ht="57.75" customHeight="1" x14ac:dyDescent="0.25">
      <c r="A417" s="7" t="s">
        <v>59</v>
      </c>
      <c r="B417" s="2" t="s">
        <v>4960</v>
      </c>
      <c r="C417" s="2" t="s">
        <v>4961</v>
      </c>
      <c r="D417" s="2" t="s">
        <v>4962</v>
      </c>
      <c r="F417" s="3" t="s">
        <v>59</v>
      </c>
      <c r="G417" s="3" t="s">
        <v>60</v>
      </c>
      <c r="H417" s="3" t="s">
        <v>59</v>
      </c>
      <c r="I417" s="3" t="s">
        <v>59</v>
      </c>
      <c r="J417" s="3" t="s">
        <v>61</v>
      </c>
      <c r="L417" s="2" t="s">
        <v>4963</v>
      </c>
      <c r="M417" s="3" t="s">
        <v>1430</v>
      </c>
      <c r="O417" s="3" t="s">
        <v>64</v>
      </c>
      <c r="P417" s="3" t="s">
        <v>2362</v>
      </c>
      <c r="Q417" s="2" t="s">
        <v>4964</v>
      </c>
      <c r="R417" s="3" t="s">
        <v>67</v>
      </c>
      <c r="S417" s="4">
        <v>11</v>
      </c>
      <c r="T417" s="4">
        <v>11</v>
      </c>
      <c r="U417" s="5" t="s">
        <v>4965</v>
      </c>
      <c r="V417" s="5" t="s">
        <v>4965</v>
      </c>
      <c r="W417" s="5" t="s">
        <v>4507</v>
      </c>
      <c r="X417" s="5" t="s">
        <v>4507</v>
      </c>
      <c r="Y417" s="4">
        <v>246</v>
      </c>
      <c r="Z417" s="4">
        <v>207</v>
      </c>
      <c r="AA417" s="4">
        <v>236</v>
      </c>
      <c r="AB417" s="4">
        <v>2</v>
      </c>
      <c r="AC417" s="4">
        <v>2</v>
      </c>
      <c r="AD417" s="4">
        <v>5</v>
      </c>
      <c r="AE417" s="4">
        <v>6</v>
      </c>
      <c r="AF417" s="4">
        <v>1</v>
      </c>
      <c r="AG417" s="4">
        <v>1</v>
      </c>
      <c r="AH417" s="4">
        <v>1</v>
      </c>
      <c r="AI417" s="4">
        <v>2</v>
      </c>
      <c r="AJ417" s="4">
        <v>3</v>
      </c>
      <c r="AK417" s="4">
        <v>4</v>
      </c>
      <c r="AL417" s="4">
        <v>1</v>
      </c>
      <c r="AM417" s="4">
        <v>1</v>
      </c>
      <c r="AN417" s="4">
        <v>0</v>
      </c>
      <c r="AO417" s="4">
        <v>0</v>
      </c>
      <c r="AP417" s="3" t="s">
        <v>59</v>
      </c>
      <c r="AQ417" s="3" t="s">
        <v>69</v>
      </c>
      <c r="AR417" s="6" t="str">
        <f>HYPERLINK("http://catalog.hathitrust.org/Record/000417732","HathiTrust Record")</f>
        <v>HathiTrust Record</v>
      </c>
      <c r="AS417" s="6" t="str">
        <f>HYPERLINK("https://creighton-primo.hosted.exlibrisgroup.com/primo-explore/search?tab=default_tab&amp;search_scope=EVERYTHING&amp;vid=01CRU&amp;lang=en_US&amp;offset=0&amp;query=any,contains,991000429119702656","Catalog Record")</f>
        <v>Catalog Record</v>
      </c>
      <c r="AT417" s="6" t="str">
        <f>HYPERLINK("http://www.worldcat.org/oclc/10777356","WorldCat Record")</f>
        <v>WorldCat Record</v>
      </c>
      <c r="AU417" s="3" t="s">
        <v>4966</v>
      </c>
      <c r="AV417" s="3" t="s">
        <v>4967</v>
      </c>
      <c r="AW417" s="3" t="s">
        <v>4968</v>
      </c>
      <c r="AX417" s="3" t="s">
        <v>4968</v>
      </c>
      <c r="AY417" s="3" t="s">
        <v>4969</v>
      </c>
      <c r="AZ417" s="3" t="s">
        <v>74</v>
      </c>
      <c r="BC417" s="3" t="s">
        <v>4970</v>
      </c>
      <c r="BD417" s="3" t="s">
        <v>4971</v>
      </c>
    </row>
    <row r="418" spans="1:56" ht="57.75" customHeight="1" x14ac:dyDescent="0.25">
      <c r="A418" s="7" t="s">
        <v>59</v>
      </c>
      <c r="B418" s="2" t="s">
        <v>4972</v>
      </c>
      <c r="C418" s="2" t="s">
        <v>4973</v>
      </c>
      <c r="D418" s="2" t="s">
        <v>4974</v>
      </c>
      <c r="F418" s="3" t="s">
        <v>59</v>
      </c>
      <c r="G418" s="3" t="s">
        <v>60</v>
      </c>
      <c r="H418" s="3" t="s">
        <v>59</v>
      </c>
      <c r="I418" s="3" t="s">
        <v>59</v>
      </c>
      <c r="J418" s="3" t="s">
        <v>61</v>
      </c>
      <c r="L418" s="2" t="s">
        <v>4975</v>
      </c>
      <c r="M418" s="3" t="s">
        <v>1837</v>
      </c>
      <c r="O418" s="3" t="s">
        <v>64</v>
      </c>
      <c r="P418" s="3" t="s">
        <v>467</v>
      </c>
      <c r="R418" s="3" t="s">
        <v>67</v>
      </c>
      <c r="S418" s="4">
        <v>6</v>
      </c>
      <c r="T418" s="4">
        <v>6</v>
      </c>
      <c r="U418" s="5" t="s">
        <v>4976</v>
      </c>
      <c r="V418" s="5" t="s">
        <v>4976</v>
      </c>
      <c r="W418" s="5" t="s">
        <v>4977</v>
      </c>
      <c r="X418" s="5" t="s">
        <v>4977</v>
      </c>
      <c r="Y418" s="4">
        <v>276</v>
      </c>
      <c r="Z418" s="4">
        <v>202</v>
      </c>
      <c r="AA418" s="4">
        <v>218</v>
      </c>
      <c r="AB418" s="4">
        <v>2</v>
      </c>
      <c r="AC418" s="4">
        <v>2</v>
      </c>
      <c r="AD418" s="4">
        <v>10</v>
      </c>
      <c r="AE418" s="4">
        <v>11</v>
      </c>
      <c r="AF418" s="4">
        <v>2</v>
      </c>
      <c r="AG418" s="4">
        <v>3</v>
      </c>
      <c r="AH418" s="4">
        <v>4</v>
      </c>
      <c r="AI418" s="4">
        <v>4</v>
      </c>
      <c r="AJ418" s="4">
        <v>6</v>
      </c>
      <c r="AK418" s="4">
        <v>7</v>
      </c>
      <c r="AL418" s="4">
        <v>1</v>
      </c>
      <c r="AM418" s="4">
        <v>1</v>
      </c>
      <c r="AN418" s="4">
        <v>0</v>
      </c>
      <c r="AO418" s="4">
        <v>0</v>
      </c>
      <c r="AP418" s="3" t="s">
        <v>59</v>
      </c>
      <c r="AQ418" s="3" t="s">
        <v>59</v>
      </c>
      <c r="AS418" s="6" t="str">
        <f>HYPERLINK("https://creighton-primo.hosted.exlibrisgroup.com/primo-explore/search?tab=default_tab&amp;search_scope=EVERYTHING&amp;vid=01CRU&amp;lang=en_US&amp;offset=0&amp;query=any,contains,991002064369702656","Catalog Record")</f>
        <v>Catalog Record</v>
      </c>
      <c r="AT418" s="6" t="str">
        <f>HYPERLINK("http://www.worldcat.org/oclc/26400387","WorldCat Record")</f>
        <v>WorldCat Record</v>
      </c>
      <c r="AU418" s="3" t="s">
        <v>4978</v>
      </c>
      <c r="AV418" s="3" t="s">
        <v>4979</v>
      </c>
      <c r="AW418" s="3" t="s">
        <v>4980</v>
      </c>
      <c r="AX418" s="3" t="s">
        <v>4980</v>
      </c>
      <c r="AY418" s="3" t="s">
        <v>4981</v>
      </c>
      <c r="AZ418" s="3" t="s">
        <v>74</v>
      </c>
      <c r="BB418" s="3" t="s">
        <v>4982</v>
      </c>
      <c r="BC418" s="3" t="s">
        <v>4983</v>
      </c>
      <c r="BD418" s="3" t="s">
        <v>4984</v>
      </c>
    </row>
    <row r="419" spans="1:56" ht="57.75" customHeight="1" x14ac:dyDescent="0.25">
      <c r="A419" s="7" t="s">
        <v>59</v>
      </c>
      <c r="B419" s="2" t="s">
        <v>4985</v>
      </c>
      <c r="C419" s="2" t="s">
        <v>4986</v>
      </c>
      <c r="D419" s="2" t="s">
        <v>4987</v>
      </c>
      <c r="F419" s="3" t="s">
        <v>59</v>
      </c>
      <c r="G419" s="3" t="s">
        <v>60</v>
      </c>
      <c r="H419" s="3" t="s">
        <v>59</v>
      </c>
      <c r="I419" s="3" t="s">
        <v>59</v>
      </c>
      <c r="J419" s="3" t="s">
        <v>61</v>
      </c>
      <c r="K419" s="2" t="s">
        <v>4988</v>
      </c>
      <c r="L419" s="2" t="s">
        <v>4989</v>
      </c>
      <c r="M419" s="3" t="s">
        <v>820</v>
      </c>
      <c r="O419" s="3" t="s">
        <v>64</v>
      </c>
      <c r="P419" s="3" t="s">
        <v>541</v>
      </c>
      <c r="R419" s="3" t="s">
        <v>67</v>
      </c>
      <c r="S419" s="4">
        <v>6</v>
      </c>
      <c r="T419" s="4">
        <v>6</v>
      </c>
      <c r="U419" s="5" t="s">
        <v>4990</v>
      </c>
      <c r="V419" s="5" t="s">
        <v>4990</v>
      </c>
      <c r="W419" s="5" t="s">
        <v>2436</v>
      </c>
      <c r="X419" s="5" t="s">
        <v>2436</v>
      </c>
      <c r="Y419" s="4">
        <v>178</v>
      </c>
      <c r="Z419" s="4">
        <v>137</v>
      </c>
      <c r="AA419" s="4">
        <v>139</v>
      </c>
      <c r="AB419" s="4">
        <v>1</v>
      </c>
      <c r="AC419" s="4">
        <v>1</v>
      </c>
      <c r="AD419" s="4">
        <v>2</v>
      </c>
      <c r="AE419" s="4">
        <v>2</v>
      </c>
      <c r="AF419" s="4">
        <v>1</v>
      </c>
      <c r="AG419" s="4">
        <v>1</v>
      </c>
      <c r="AH419" s="4">
        <v>0</v>
      </c>
      <c r="AI419" s="4">
        <v>0</v>
      </c>
      <c r="AJ419" s="4">
        <v>2</v>
      </c>
      <c r="AK419" s="4">
        <v>2</v>
      </c>
      <c r="AL419" s="4">
        <v>0</v>
      </c>
      <c r="AM419" s="4">
        <v>0</v>
      </c>
      <c r="AN419" s="4">
        <v>0</v>
      </c>
      <c r="AO419" s="4">
        <v>0</v>
      </c>
      <c r="AP419" s="3" t="s">
        <v>59</v>
      </c>
      <c r="AQ419" s="3" t="s">
        <v>69</v>
      </c>
      <c r="AR419" s="6" t="str">
        <f>HYPERLINK("http://catalog.hathitrust.org/Record/000430139","HathiTrust Record")</f>
        <v>HathiTrust Record</v>
      </c>
      <c r="AS419" s="6" t="str">
        <f>HYPERLINK("https://creighton-primo.hosted.exlibrisgroup.com/primo-explore/search?tab=default_tab&amp;search_scope=EVERYTHING&amp;vid=01CRU&amp;lang=en_US&amp;offset=0&amp;query=any,contains,991000700179702656","Catalog Record")</f>
        <v>Catalog Record</v>
      </c>
      <c r="AT419" s="6" t="str">
        <f>HYPERLINK("http://www.worldcat.org/oclc/12545776","WorldCat Record")</f>
        <v>WorldCat Record</v>
      </c>
      <c r="AU419" s="3" t="s">
        <v>4991</v>
      </c>
      <c r="AV419" s="3" t="s">
        <v>4992</v>
      </c>
      <c r="AW419" s="3" t="s">
        <v>4993</v>
      </c>
      <c r="AX419" s="3" t="s">
        <v>4993</v>
      </c>
      <c r="AY419" s="3" t="s">
        <v>4994</v>
      </c>
      <c r="AZ419" s="3" t="s">
        <v>74</v>
      </c>
      <c r="BB419" s="3" t="s">
        <v>4995</v>
      </c>
      <c r="BC419" s="3" t="s">
        <v>4996</v>
      </c>
      <c r="BD419" s="3" t="s">
        <v>4997</v>
      </c>
    </row>
    <row r="420" spans="1:56" ht="57.75" customHeight="1" x14ac:dyDescent="0.25">
      <c r="A420" s="7" t="s">
        <v>59</v>
      </c>
      <c r="B420" s="2" t="s">
        <v>4998</v>
      </c>
      <c r="C420" s="2" t="s">
        <v>4999</v>
      </c>
      <c r="D420" s="2" t="s">
        <v>5000</v>
      </c>
      <c r="F420" s="3" t="s">
        <v>59</v>
      </c>
      <c r="G420" s="3" t="s">
        <v>60</v>
      </c>
      <c r="H420" s="3" t="s">
        <v>59</v>
      </c>
      <c r="I420" s="3" t="s">
        <v>59</v>
      </c>
      <c r="J420" s="3" t="s">
        <v>61</v>
      </c>
      <c r="K420" s="2" t="s">
        <v>5001</v>
      </c>
      <c r="L420" s="2" t="s">
        <v>4951</v>
      </c>
      <c r="M420" s="3" t="s">
        <v>670</v>
      </c>
      <c r="O420" s="3" t="s">
        <v>64</v>
      </c>
      <c r="P420" s="3" t="s">
        <v>4538</v>
      </c>
      <c r="R420" s="3" t="s">
        <v>67</v>
      </c>
      <c r="S420" s="4">
        <v>5</v>
      </c>
      <c r="T420" s="4">
        <v>5</v>
      </c>
      <c r="U420" s="5" t="s">
        <v>4901</v>
      </c>
      <c r="V420" s="5" t="s">
        <v>4901</v>
      </c>
      <c r="W420" s="5" t="s">
        <v>4507</v>
      </c>
      <c r="X420" s="5" t="s">
        <v>4507</v>
      </c>
      <c r="Y420" s="4">
        <v>190</v>
      </c>
      <c r="Z420" s="4">
        <v>143</v>
      </c>
      <c r="AA420" s="4">
        <v>163</v>
      </c>
      <c r="AB420" s="4">
        <v>1</v>
      </c>
      <c r="AC420" s="4">
        <v>1</v>
      </c>
      <c r="AD420" s="4">
        <v>2</v>
      </c>
      <c r="AE420" s="4">
        <v>2</v>
      </c>
      <c r="AF420" s="4">
        <v>1</v>
      </c>
      <c r="AG420" s="4">
        <v>1</v>
      </c>
      <c r="AH420" s="4">
        <v>1</v>
      </c>
      <c r="AI420" s="4">
        <v>1</v>
      </c>
      <c r="AJ420" s="4">
        <v>2</v>
      </c>
      <c r="AK420" s="4">
        <v>2</v>
      </c>
      <c r="AL420" s="4">
        <v>0</v>
      </c>
      <c r="AM420" s="4">
        <v>0</v>
      </c>
      <c r="AN420" s="4">
        <v>0</v>
      </c>
      <c r="AO420" s="4">
        <v>0</v>
      </c>
      <c r="AP420" s="3" t="s">
        <v>59</v>
      </c>
      <c r="AQ420" s="3" t="s">
        <v>69</v>
      </c>
      <c r="AR420" s="6" t="str">
        <f>HYPERLINK("http://catalog.hathitrust.org/Record/000770579","HathiTrust Record")</f>
        <v>HathiTrust Record</v>
      </c>
      <c r="AS420" s="6" t="str">
        <f>HYPERLINK("https://creighton-primo.hosted.exlibrisgroup.com/primo-explore/search?tab=default_tab&amp;search_scope=EVERYTHING&amp;vid=01CRU&amp;lang=en_US&amp;offset=0&amp;query=any,contains,991000093359702656","Catalog Record")</f>
        <v>Catalog Record</v>
      </c>
      <c r="AT420" s="6" t="str">
        <f>HYPERLINK("http://www.worldcat.org/oclc/8920717","WorldCat Record")</f>
        <v>WorldCat Record</v>
      </c>
      <c r="AU420" s="3" t="s">
        <v>5002</v>
      </c>
      <c r="AV420" s="3" t="s">
        <v>5003</v>
      </c>
      <c r="AW420" s="3" t="s">
        <v>5004</v>
      </c>
      <c r="AX420" s="3" t="s">
        <v>5004</v>
      </c>
      <c r="AY420" s="3" t="s">
        <v>5005</v>
      </c>
      <c r="AZ420" s="3" t="s">
        <v>74</v>
      </c>
      <c r="BB420" s="3" t="s">
        <v>5006</v>
      </c>
      <c r="BC420" s="3" t="s">
        <v>5007</v>
      </c>
      <c r="BD420" s="3" t="s">
        <v>5008</v>
      </c>
    </row>
    <row r="421" spans="1:56" ht="57.75" customHeight="1" x14ac:dyDescent="0.25">
      <c r="A421" s="7" t="s">
        <v>59</v>
      </c>
      <c r="B421" s="2" t="s">
        <v>5009</v>
      </c>
      <c r="C421" s="2" t="s">
        <v>5010</v>
      </c>
      <c r="D421" s="2" t="s">
        <v>5011</v>
      </c>
      <c r="F421" s="3" t="s">
        <v>59</v>
      </c>
      <c r="G421" s="3" t="s">
        <v>60</v>
      </c>
      <c r="H421" s="3" t="s">
        <v>59</v>
      </c>
      <c r="I421" s="3" t="s">
        <v>59</v>
      </c>
      <c r="J421" s="3" t="s">
        <v>61</v>
      </c>
      <c r="K421" s="2" t="s">
        <v>5012</v>
      </c>
      <c r="L421" s="2" t="s">
        <v>5013</v>
      </c>
      <c r="M421" s="3" t="s">
        <v>2202</v>
      </c>
      <c r="O421" s="3" t="s">
        <v>64</v>
      </c>
      <c r="P421" s="3" t="s">
        <v>405</v>
      </c>
      <c r="R421" s="3" t="s">
        <v>67</v>
      </c>
      <c r="S421" s="4">
        <v>7</v>
      </c>
      <c r="T421" s="4">
        <v>7</v>
      </c>
      <c r="U421" s="5" t="s">
        <v>5014</v>
      </c>
      <c r="V421" s="5" t="s">
        <v>5014</v>
      </c>
      <c r="W421" s="5" t="s">
        <v>5015</v>
      </c>
      <c r="X421" s="5" t="s">
        <v>5015</v>
      </c>
      <c r="Y421" s="4">
        <v>618</v>
      </c>
      <c r="Z421" s="4">
        <v>453</v>
      </c>
      <c r="AA421" s="4">
        <v>455</v>
      </c>
      <c r="AB421" s="4">
        <v>4</v>
      </c>
      <c r="AC421" s="4">
        <v>4</v>
      </c>
      <c r="AD421" s="4">
        <v>18</v>
      </c>
      <c r="AE421" s="4">
        <v>18</v>
      </c>
      <c r="AF421" s="4">
        <v>6</v>
      </c>
      <c r="AG421" s="4">
        <v>6</v>
      </c>
      <c r="AH421" s="4">
        <v>1</v>
      </c>
      <c r="AI421" s="4">
        <v>1</v>
      </c>
      <c r="AJ421" s="4">
        <v>9</v>
      </c>
      <c r="AK421" s="4">
        <v>9</v>
      </c>
      <c r="AL421" s="4">
        <v>3</v>
      </c>
      <c r="AM421" s="4">
        <v>3</v>
      </c>
      <c r="AN421" s="4">
        <v>0</v>
      </c>
      <c r="AO421" s="4">
        <v>0</v>
      </c>
      <c r="AP421" s="3" t="s">
        <v>59</v>
      </c>
      <c r="AQ421" s="3" t="s">
        <v>69</v>
      </c>
      <c r="AR421" s="6" t="str">
        <f>HYPERLINK("http://catalog.hathitrust.org/Record/001500138","HathiTrust Record")</f>
        <v>HathiTrust Record</v>
      </c>
      <c r="AS421" s="6" t="str">
        <f>HYPERLINK("https://creighton-primo.hosted.exlibrisgroup.com/primo-explore/search?tab=default_tab&amp;search_scope=EVERYTHING&amp;vid=01CRU&amp;lang=en_US&amp;offset=0&amp;query=any,contains,991000062249702656","Catalog Record")</f>
        <v>Catalog Record</v>
      </c>
      <c r="AT421" s="6" t="str">
        <f>HYPERLINK("http://www.worldcat.org/oclc/25197","WorldCat Record")</f>
        <v>WorldCat Record</v>
      </c>
      <c r="AU421" s="3" t="s">
        <v>5016</v>
      </c>
      <c r="AV421" s="3" t="s">
        <v>5017</v>
      </c>
      <c r="AW421" s="3" t="s">
        <v>5018</v>
      </c>
      <c r="AX421" s="3" t="s">
        <v>5018</v>
      </c>
      <c r="AY421" s="3" t="s">
        <v>5019</v>
      </c>
      <c r="AZ421" s="3" t="s">
        <v>74</v>
      </c>
      <c r="BC421" s="3" t="s">
        <v>5020</v>
      </c>
      <c r="BD421" s="3" t="s">
        <v>5021</v>
      </c>
    </row>
    <row r="422" spans="1:56" ht="57.75" customHeight="1" x14ac:dyDescent="0.25">
      <c r="A422" s="7" t="s">
        <v>59</v>
      </c>
      <c r="B422" s="2" t="s">
        <v>5022</v>
      </c>
      <c r="C422" s="2" t="s">
        <v>5023</v>
      </c>
      <c r="D422" s="2" t="s">
        <v>5024</v>
      </c>
      <c r="F422" s="3" t="s">
        <v>59</v>
      </c>
      <c r="G422" s="3" t="s">
        <v>60</v>
      </c>
      <c r="H422" s="3" t="s">
        <v>59</v>
      </c>
      <c r="I422" s="3" t="s">
        <v>59</v>
      </c>
      <c r="J422" s="3" t="s">
        <v>61</v>
      </c>
      <c r="K422" s="2" t="s">
        <v>5025</v>
      </c>
      <c r="L422" s="2" t="s">
        <v>5026</v>
      </c>
      <c r="M422" s="3" t="s">
        <v>404</v>
      </c>
      <c r="O422" s="3" t="s">
        <v>64</v>
      </c>
      <c r="P422" s="3" t="s">
        <v>405</v>
      </c>
      <c r="R422" s="3" t="s">
        <v>67</v>
      </c>
      <c r="S422" s="4">
        <v>1</v>
      </c>
      <c r="T422" s="4">
        <v>1</v>
      </c>
      <c r="U422" s="5" t="s">
        <v>5027</v>
      </c>
      <c r="V422" s="5" t="s">
        <v>5027</v>
      </c>
      <c r="W422" s="5" t="s">
        <v>2452</v>
      </c>
      <c r="X422" s="5" t="s">
        <v>2452</v>
      </c>
      <c r="Y422" s="4">
        <v>509</v>
      </c>
      <c r="Z422" s="4">
        <v>369</v>
      </c>
      <c r="AA422" s="4">
        <v>408</v>
      </c>
      <c r="AB422" s="4">
        <v>5</v>
      </c>
      <c r="AC422" s="4">
        <v>5</v>
      </c>
      <c r="AD422" s="4">
        <v>13</v>
      </c>
      <c r="AE422" s="4">
        <v>16</v>
      </c>
      <c r="AF422" s="4">
        <v>5</v>
      </c>
      <c r="AG422" s="4">
        <v>7</v>
      </c>
      <c r="AH422" s="4">
        <v>2</v>
      </c>
      <c r="AI422" s="4">
        <v>4</v>
      </c>
      <c r="AJ422" s="4">
        <v>4</v>
      </c>
      <c r="AK422" s="4">
        <v>4</v>
      </c>
      <c r="AL422" s="4">
        <v>4</v>
      </c>
      <c r="AM422" s="4">
        <v>4</v>
      </c>
      <c r="AN422" s="4">
        <v>0</v>
      </c>
      <c r="AO422" s="4">
        <v>0</v>
      </c>
      <c r="AP422" s="3" t="s">
        <v>59</v>
      </c>
      <c r="AQ422" s="3" t="s">
        <v>69</v>
      </c>
      <c r="AR422" s="6" t="str">
        <f>HYPERLINK("http://catalog.hathitrust.org/Record/001500140","HathiTrust Record")</f>
        <v>HathiTrust Record</v>
      </c>
      <c r="AS422" s="6" t="str">
        <f>HYPERLINK("https://creighton-primo.hosted.exlibrisgroup.com/primo-explore/search?tab=default_tab&amp;search_scope=EVERYTHING&amp;vid=01CRU&amp;lang=en_US&amp;offset=0&amp;query=any,contains,991001373839702656","Catalog Record")</f>
        <v>Catalog Record</v>
      </c>
      <c r="AT422" s="6" t="str">
        <f>HYPERLINK("http://www.worldcat.org/oclc/224341","WorldCat Record")</f>
        <v>WorldCat Record</v>
      </c>
      <c r="AU422" s="3" t="s">
        <v>5028</v>
      </c>
      <c r="AV422" s="3" t="s">
        <v>5029</v>
      </c>
      <c r="AW422" s="3" t="s">
        <v>5030</v>
      </c>
      <c r="AX422" s="3" t="s">
        <v>5030</v>
      </c>
      <c r="AY422" s="3" t="s">
        <v>5031</v>
      </c>
      <c r="AZ422" s="3" t="s">
        <v>74</v>
      </c>
      <c r="BC422" s="3" t="s">
        <v>5032</v>
      </c>
      <c r="BD422" s="3" t="s">
        <v>5033</v>
      </c>
    </row>
    <row r="423" spans="1:56" ht="57.75" customHeight="1" x14ac:dyDescent="0.25">
      <c r="A423" s="7" t="s">
        <v>59</v>
      </c>
      <c r="B423" s="2" t="s">
        <v>5034</v>
      </c>
      <c r="C423" s="2" t="s">
        <v>5035</v>
      </c>
      <c r="D423" s="2" t="s">
        <v>5036</v>
      </c>
      <c r="F423" s="3" t="s">
        <v>59</v>
      </c>
      <c r="G423" s="3" t="s">
        <v>60</v>
      </c>
      <c r="H423" s="3" t="s">
        <v>59</v>
      </c>
      <c r="I423" s="3" t="s">
        <v>59</v>
      </c>
      <c r="J423" s="3" t="s">
        <v>61</v>
      </c>
      <c r="L423" s="2" t="s">
        <v>5037</v>
      </c>
      <c r="M423" s="3" t="s">
        <v>1471</v>
      </c>
      <c r="O423" s="3" t="s">
        <v>64</v>
      </c>
      <c r="P423" s="3" t="s">
        <v>630</v>
      </c>
      <c r="R423" s="3" t="s">
        <v>67</v>
      </c>
      <c r="S423" s="4">
        <v>2</v>
      </c>
      <c r="T423" s="4">
        <v>2</v>
      </c>
      <c r="U423" s="5" t="s">
        <v>5038</v>
      </c>
      <c r="V423" s="5" t="s">
        <v>5038</v>
      </c>
      <c r="W423" s="5" t="s">
        <v>5039</v>
      </c>
      <c r="X423" s="5" t="s">
        <v>5039</v>
      </c>
      <c r="Y423" s="4">
        <v>377</v>
      </c>
      <c r="Z423" s="4">
        <v>300</v>
      </c>
      <c r="AA423" s="4">
        <v>302</v>
      </c>
      <c r="AB423" s="4">
        <v>2</v>
      </c>
      <c r="AC423" s="4">
        <v>2</v>
      </c>
      <c r="AD423" s="4">
        <v>17</v>
      </c>
      <c r="AE423" s="4">
        <v>17</v>
      </c>
      <c r="AF423" s="4">
        <v>8</v>
      </c>
      <c r="AG423" s="4">
        <v>8</v>
      </c>
      <c r="AH423" s="4">
        <v>4</v>
      </c>
      <c r="AI423" s="4">
        <v>4</v>
      </c>
      <c r="AJ423" s="4">
        <v>9</v>
      </c>
      <c r="AK423" s="4">
        <v>9</v>
      </c>
      <c r="AL423" s="4">
        <v>1</v>
      </c>
      <c r="AM423" s="4">
        <v>1</v>
      </c>
      <c r="AN423" s="4">
        <v>0</v>
      </c>
      <c r="AO423" s="4">
        <v>0</v>
      </c>
      <c r="AP423" s="3" t="s">
        <v>59</v>
      </c>
      <c r="AQ423" s="3" t="s">
        <v>69</v>
      </c>
      <c r="AR423" s="6" t="str">
        <f>HYPERLINK("http://catalog.hathitrust.org/Record/005953910","HathiTrust Record")</f>
        <v>HathiTrust Record</v>
      </c>
      <c r="AS423" s="6" t="str">
        <f>HYPERLINK("https://creighton-primo.hosted.exlibrisgroup.com/primo-explore/search?tab=default_tab&amp;search_scope=EVERYTHING&amp;vid=01CRU&amp;lang=en_US&amp;offset=0&amp;query=any,contains,991005337449702656","Catalog Record")</f>
        <v>Catalog Record</v>
      </c>
      <c r="AT423" s="6" t="str">
        <f>HYPERLINK("http://www.worldcat.org/oclc/228497969","WorldCat Record")</f>
        <v>WorldCat Record</v>
      </c>
      <c r="AU423" s="3" t="s">
        <v>5040</v>
      </c>
      <c r="AV423" s="3" t="s">
        <v>5041</v>
      </c>
      <c r="AW423" s="3" t="s">
        <v>5042</v>
      </c>
      <c r="AX423" s="3" t="s">
        <v>5042</v>
      </c>
      <c r="AY423" s="3" t="s">
        <v>5043</v>
      </c>
      <c r="AZ423" s="3" t="s">
        <v>74</v>
      </c>
      <c r="BB423" s="3" t="s">
        <v>5044</v>
      </c>
      <c r="BC423" s="3" t="s">
        <v>5045</v>
      </c>
      <c r="BD423" s="3" t="s">
        <v>5046</v>
      </c>
    </row>
    <row r="424" spans="1:56" ht="57.75" customHeight="1" x14ac:dyDescent="0.25">
      <c r="A424" s="7" t="s">
        <v>59</v>
      </c>
      <c r="B424" s="2" t="s">
        <v>5047</v>
      </c>
      <c r="C424" s="2" t="s">
        <v>5048</v>
      </c>
      <c r="D424" s="2" t="s">
        <v>5049</v>
      </c>
      <c r="F424" s="3" t="s">
        <v>59</v>
      </c>
      <c r="G424" s="3" t="s">
        <v>60</v>
      </c>
      <c r="H424" s="3" t="s">
        <v>59</v>
      </c>
      <c r="I424" s="3" t="s">
        <v>59</v>
      </c>
      <c r="J424" s="3" t="s">
        <v>61</v>
      </c>
      <c r="K424" s="2" t="s">
        <v>5050</v>
      </c>
      <c r="L424" s="2" t="s">
        <v>5051</v>
      </c>
      <c r="M424" s="3" t="s">
        <v>2073</v>
      </c>
      <c r="O424" s="3" t="s">
        <v>64</v>
      </c>
      <c r="P424" s="3" t="s">
        <v>405</v>
      </c>
      <c r="R424" s="3" t="s">
        <v>67</v>
      </c>
      <c r="S424" s="4">
        <v>10</v>
      </c>
      <c r="T424" s="4">
        <v>10</v>
      </c>
      <c r="U424" s="5" t="s">
        <v>4430</v>
      </c>
      <c r="V424" s="5" t="s">
        <v>4430</v>
      </c>
      <c r="W424" s="5" t="s">
        <v>5052</v>
      </c>
      <c r="X424" s="5" t="s">
        <v>5052</v>
      </c>
      <c r="Y424" s="4">
        <v>486</v>
      </c>
      <c r="Z424" s="4">
        <v>384</v>
      </c>
      <c r="AA424" s="4">
        <v>396</v>
      </c>
      <c r="AB424" s="4">
        <v>2</v>
      </c>
      <c r="AC424" s="4">
        <v>2</v>
      </c>
      <c r="AD424" s="4">
        <v>12</v>
      </c>
      <c r="AE424" s="4">
        <v>12</v>
      </c>
      <c r="AF424" s="4">
        <v>4</v>
      </c>
      <c r="AG424" s="4">
        <v>4</v>
      </c>
      <c r="AH424" s="4">
        <v>2</v>
      </c>
      <c r="AI424" s="4">
        <v>2</v>
      </c>
      <c r="AJ424" s="4">
        <v>9</v>
      </c>
      <c r="AK424" s="4">
        <v>9</v>
      </c>
      <c r="AL424" s="4">
        <v>1</v>
      </c>
      <c r="AM424" s="4">
        <v>1</v>
      </c>
      <c r="AN424" s="4">
        <v>0</v>
      </c>
      <c r="AO424" s="4">
        <v>0</v>
      </c>
      <c r="AP424" s="3" t="s">
        <v>59</v>
      </c>
      <c r="AQ424" s="3" t="s">
        <v>59</v>
      </c>
      <c r="AS424" s="6" t="str">
        <f>HYPERLINK("https://creighton-primo.hosted.exlibrisgroup.com/primo-explore/search?tab=default_tab&amp;search_scope=EVERYTHING&amp;vid=01CRU&amp;lang=en_US&amp;offset=0&amp;query=any,contains,991000391599702656","Catalog Record")</f>
        <v>Catalog Record</v>
      </c>
      <c r="AT424" s="6" t="str">
        <f>HYPERLINK("http://www.worldcat.org/oclc/10557690","WorldCat Record")</f>
        <v>WorldCat Record</v>
      </c>
      <c r="AU424" s="3" t="s">
        <v>5053</v>
      </c>
      <c r="AV424" s="3" t="s">
        <v>5054</v>
      </c>
      <c r="AW424" s="3" t="s">
        <v>5055</v>
      </c>
      <c r="AX424" s="3" t="s">
        <v>5055</v>
      </c>
      <c r="AY424" s="3" t="s">
        <v>5056</v>
      </c>
      <c r="AZ424" s="3" t="s">
        <v>74</v>
      </c>
      <c r="BB424" s="3" t="s">
        <v>5057</v>
      </c>
      <c r="BC424" s="3" t="s">
        <v>5058</v>
      </c>
      <c r="BD424" s="3" t="s">
        <v>5059</v>
      </c>
    </row>
    <row r="425" spans="1:56" ht="57.75" customHeight="1" x14ac:dyDescent="0.25">
      <c r="A425" s="7" t="s">
        <v>59</v>
      </c>
      <c r="B425" s="2" t="s">
        <v>5060</v>
      </c>
      <c r="C425" s="2" t="s">
        <v>5061</v>
      </c>
      <c r="D425" s="2" t="s">
        <v>5062</v>
      </c>
      <c r="F425" s="3" t="s">
        <v>59</v>
      </c>
      <c r="G425" s="3" t="s">
        <v>60</v>
      </c>
      <c r="H425" s="3" t="s">
        <v>59</v>
      </c>
      <c r="I425" s="3" t="s">
        <v>59</v>
      </c>
      <c r="J425" s="3" t="s">
        <v>61</v>
      </c>
      <c r="L425" s="2" t="s">
        <v>4818</v>
      </c>
      <c r="M425" s="3" t="s">
        <v>2244</v>
      </c>
      <c r="N425" s="2" t="s">
        <v>556</v>
      </c>
      <c r="O425" s="3" t="s">
        <v>64</v>
      </c>
      <c r="P425" s="3" t="s">
        <v>405</v>
      </c>
      <c r="R425" s="3" t="s">
        <v>67</v>
      </c>
      <c r="S425" s="4">
        <v>13</v>
      </c>
      <c r="T425" s="4">
        <v>13</v>
      </c>
      <c r="U425" s="5" t="s">
        <v>5063</v>
      </c>
      <c r="V425" s="5" t="s">
        <v>5063</v>
      </c>
      <c r="W425" s="5" t="s">
        <v>5064</v>
      </c>
      <c r="X425" s="5" t="s">
        <v>5064</v>
      </c>
      <c r="Y425" s="4">
        <v>383</v>
      </c>
      <c r="Z425" s="4">
        <v>232</v>
      </c>
      <c r="AA425" s="4">
        <v>232</v>
      </c>
      <c r="AB425" s="4">
        <v>2</v>
      </c>
      <c r="AC425" s="4">
        <v>2</v>
      </c>
      <c r="AD425" s="4">
        <v>16</v>
      </c>
      <c r="AE425" s="4">
        <v>16</v>
      </c>
      <c r="AF425" s="4">
        <v>5</v>
      </c>
      <c r="AG425" s="4">
        <v>5</v>
      </c>
      <c r="AH425" s="4">
        <v>5</v>
      </c>
      <c r="AI425" s="4">
        <v>5</v>
      </c>
      <c r="AJ425" s="4">
        <v>10</v>
      </c>
      <c r="AK425" s="4">
        <v>10</v>
      </c>
      <c r="AL425" s="4">
        <v>1</v>
      </c>
      <c r="AM425" s="4">
        <v>1</v>
      </c>
      <c r="AN425" s="4">
        <v>0</v>
      </c>
      <c r="AO425" s="4">
        <v>0</v>
      </c>
      <c r="AP425" s="3" t="s">
        <v>59</v>
      </c>
      <c r="AQ425" s="3" t="s">
        <v>59</v>
      </c>
      <c r="AS425" s="6" t="str">
        <f>HYPERLINK("https://creighton-primo.hosted.exlibrisgroup.com/primo-explore/search?tab=default_tab&amp;search_scope=EVERYTHING&amp;vid=01CRU&amp;lang=en_US&amp;offset=0&amp;query=any,contains,991001772299702656","Catalog Record")</f>
        <v>Catalog Record</v>
      </c>
      <c r="AT425" s="6" t="str">
        <f>HYPERLINK("http://www.worldcat.org/oclc/22381348","WorldCat Record")</f>
        <v>WorldCat Record</v>
      </c>
      <c r="AU425" s="3" t="s">
        <v>5065</v>
      </c>
      <c r="AV425" s="3" t="s">
        <v>5066</v>
      </c>
      <c r="AW425" s="3" t="s">
        <v>5067</v>
      </c>
      <c r="AX425" s="3" t="s">
        <v>5067</v>
      </c>
      <c r="AY425" s="3" t="s">
        <v>5068</v>
      </c>
      <c r="AZ425" s="3" t="s">
        <v>74</v>
      </c>
      <c r="BB425" s="3" t="s">
        <v>5069</v>
      </c>
      <c r="BC425" s="3" t="s">
        <v>5070</v>
      </c>
      <c r="BD425" s="3" t="s">
        <v>5071</v>
      </c>
    </row>
    <row r="426" spans="1:56" ht="57.75" customHeight="1" x14ac:dyDescent="0.25">
      <c r="A426" s="7" t="s">
        <v>59</v>
      </c>
      <c r="B426" s="2" t="s">
        <v>5072</v>
      </c>
      <c r="C426" s="2" t="s">
        <v>5073</v>
      </c>
      <c r="D426" s="2" t="s">
        <v>5074</v>
      </c>
      <c r="F426" s="3" t="s">
        <v>59</v>
      </c>
      <c r="G426" s="3" t="s">
        <v>60</v>
      </c>
      <c r="H426" s="3" t="s">
        <v>59</v>
      </c>
      <c r="I426" s="3" t="s">
        <v>59</v>
      </c>
      <c r="J426" s="3" t="s">
        <v>61</v>
      </c>
      <c r="K426" s="2" t="s">
        <v>5075</v>
      </c>
      <c r="L426" s="2" t="s">
        <v>5076</v>
      </c>
      <c r="M426" s="3" t="s">
        <v>481</v>
      </c>
      <c r="N426" s="2" t="s">
        <v>4096</v>
      </c>
      <c r="O426" s="3" t="s">
        <v>64</v>
      </c>
      <c r="P426" s="3" t="s">
        <v>630</v>
      </c>
      <c r="Q426" s="2" t="s">
        <v>5077</v>
      </c>
      <c r="R426" s="3" t="s">
        <v>67</v>
      </c>
      <c r="S426" s="4">
        <v>2</v>
      </c>
      <c r="T426" s="4">
        <v>2</v>
      </c>
      <c r="U426" s="5" t="s">
        <v>963</v>
      </c>
      <c r="V426" s="5" t="s">
        <v>963</v>
      </c>
      <c r="W426" s="5" t="s">
        <v>2452</v>
      </c>
      <c r="X426" s="5" t="s">
        <v>2452</v>
      </c>
      <c r="Y426" s="4">
        <v>590</v>
      </c>
      <c r="Z426" s="4">
        <v>513</v>
      </c>
      <c r="AA426" s="4">
        <v>728</v>
      </c>
      <c r="AB426" s="4">
        <v>3</v>
      </c>
      <c r="AC426" s="4">
        <v>3</v>
      </c>
      <c r="AD426" s="4">
        <v>22</v>
      </c>
      <c r="AE426" s="4">
        <v>28</v>
      </c>
      <c r="AF426" s="4">
        <v>8</v>
      </c>
      <c r="AG426" s="4">
        <v>12</v>
      </c>
      <c r="AH426" s="4">
        <v>5</v>
      </c>
      <c r="AI426" s="4">
        <v>6</v>
      </c>
      <c r="AJ426" s="4">
        <v>15</v>
      </c>
      <c r="AK426" s="4">
        <v>17</v>
      </c>
      <c r="AL426" s="4">
        <v>2</v>
      </c>
      <c r="AM426" s="4">
        <v>2</v>
      </c>
      <c r="AN426" s="4">
        <v>0</v>
      </c>
      <c r="AO426" s="4">
        <v>0</v>
      </c>
      <c r="AP426" s="3" t="s">
        <v>59</v>
      </c>
      <c r="AQ426" s="3" t="s">
        <v>69</v>
      </c>
      <c r="AR426" s="6" t="str">
        <f>HYPERLINK("http://catalog.hathitrust.org/Record/001496766","HathiTrust Record")</f>
        <v>HathiTrust Record</v>
      </c>
      <c r="AS426" s="6" t="str">
        <f>HYPERLINK("https://creighton-primo.hosted.exlibrisgroup.com/primo-explore/search?tab=default_tab&amp;search_scope=EVERYTHING&amp;vid=01CRU&amp;lang=en_US&amp;offset=0&amp;query=any,contains,991003110809702656","Catalog Record")</f>
        <v>Catalog Record</v>
      </c>
      <c r="AT426" s="6" t="str">
        <f>HYPERLINK("http://www.worldcat.org/oclc/656647","WorldCat Record")</f>
        <v>WorldCat Record</v>
      </c>
      <c r="AU426" s="3" t="s">
        <v>5078</v>
      </c>
      <c r="AV426" s="3" t="s">
        <v>5079</v>
      </c>
      <c r="AW426" s="3" t="s">
        <v>5080</v>
      </c>
      <c r="AX426" s="3" t="s">
        <v>5080</v>
      </c>
      <c r="AY426" s="3" t="s">
        <v>5081</v>
      </c>
      <c r="AZ426" s="3" t="s">
        <v>74</v>
      </c>
      <c r="BC426" s="3" t="s">
        <v>5082</v>
      </c>
      <c r="BD426" s="3" t="s">
        <v>5083</v>
      </c>
    </row>
    <row r="427" spans="1:56" ht="57.75" customHeight="1" x14ac:dyDescent="0.25">
      <c r="A427" s="7" t="s">
        <v>59</v>
      </c>
      <c r="B427" s="2" t="s">
        <v>5084</v>
      </c>
      <c r="C427" s="2" t="s">
        <v>5085</v>
      </c>
      <c r="D427" s="2" t="s">
        <v>5086</v>
      </c>
      <c r="F427" s="3" t="s">
        <v>59</v>
      </c>
      <c r="G427" s="3" t="s">
        <v>60</v>
      </c>
      <c r="H427" s="3" t="s">
        <v>59</v>
      </c>
      <c r="I427" s="3" t="s">
        <v>59</v>
      </c>
      <c r="J427" s="3" t="s">
        <v>61</v>
      </c>
      <c r="K427" s="2" t="s">
        <v>5087</v>
      </c>
      <c r="L427" s="2" t="s">
        <v>5088</v>
      </c>
      <c r="M427" s="3" t="s">
        <v>255</v>
      </c>
      <c r="O427" s="3" t="s">
        <v>64</v>
      </c>
      <c r="P427" s="3" t="s">
        <v>1268</v>
      </c>
      <c r="Q427" s="2" t="s">
        <v>4250</v>
      </c>
      <c r="R427" s="3" t="s">
        <v>67</v>
      </c>
      <c r="S427" s="4">
        <v>1</v>
      </c>
      <c r="T427" s="4">
        <v>1</v>
      </c>
      <c r="U427" s="5" t="s">
        <v>5089</v>
      </c>
      <c r="V427" s="5" t="s">
        <v>5089</v>
      </c>
      <c r="W427" s="5" t="s">
        <v>5089</v>
      </c>
      <c r="X427" s="5" t="s">
        <v>5089</v>
      </c>
      <c r="Y427" s="4">
        <v>390</v>
      </c>
      <c r="Z427" s="4">
        <v>291</v>
      </c>
      <c r="AA427" s="4">
        <v>466</v>
      </c>
      <c r="AB427" s="4">
        <v>4</v>
      </c>
      <c r="AC427" s="4">
        <v>4</v>
      </c>
      <c r="AD427" s="4">
        <v>15</v>
      </c>
      <c r="AE427" s="4">
        <v>25</v>
      </c>
      <c r="AF427" s="4">
        <v>6</v>
      </c>
      <c r="AG427" s="4">
        <v>11</v>
      </c>
      <c r="AH427" s="4">
        <v>4</v>
      </c>
      <c r="AI427" s="4">
        <v>7</v>
      </c>
      <c r="AJ427" s="4">
        <v>7</v>
      </c>
      <c r="AK427" s="4">
        <v>12</v>
      </c>
      <c r="AL427" s="4">
        <v>3</v>
      </c>
      <c r="AM427" s="4">
        <v>3</v>
      </c>
      <c r="AN427" s="4">
        <v>0</v>
      </c>
      <c r="AO427" s="4">
        <v>0</v>
      </c>
      <c r="AP427" s="3" t="s">
        <v>59</v>
      </c>
      <c r="AQ427" s="3" t="s">
        <v>59</v>
      </c>
      <c r="AS427" s="6" t="str">
        <f>HYPERLINK("https://creighton-primo.hosted.exlibrisgroup.com/primo-explore/search?tab=default_tab&amp;search_scope=EVERYTHING&amp;vid=01CRU&amp;lang=en_US&amp;offset=0&amp;query=any,contains,991003355149702656","Catalog Record")</f>
        <v>Catalog Record</v>
      </c>
      <c r="AT427" s="6" t="str">
        <f>HYPERLINK("http://www.worldcat.org/oclc/38286573","WorldCat Record")</f>
        <v>WorldCat Record</v>
      </c>
      <c r="AU427" s="3" t="s">
        <v>5090</v>
      </c>
      <c r="AV427" s="3" t="s">
        <v>5091</v>
      </c>
      <c r="AW427" s="3" t="s">
        <v>5092</v>
      </c>
      <c r="AX427" s="3" t="s">
        <v>5092</v>
      </c>
      <c r="AY427" s="3" t="s">
        <v>5093</v>
      </c>
      <c r="AZ427" s="3" t="s">
        <v>74</v>
      </c>
      <c r="BB427" s="3" t="s">
        <v>5094</v>
      </c>
      <c r="BC427" s="3" t="s">
        <v>5095</v>
      </c>
      <c r="BD427" s="3" t="s">
        <v>5096</v>
      </c>
    </row>
    <row r="428" spans="1:56" ht="57.75" customHeight="1" x14ac:dyDescent="0.25">
      <c r="A428" s="7" t="s">
        <v>59</v>
      </c>
      <c r="B428" s="2" t="s">
        <v>5097</v>
      </c>
      <c r="C428" s="2" t="s">
        <v>5098</v>
      </c>
      <c r="D428" s="2" t="s">
        <v>5099</v>
      </c>
      <c r="F428" s="3" t="s">
        <v>59</v>
      </c>
      <c r="G428" s="3" t="s">
        <v>60</v>
      </c>
      <c r="H428" s="3" t="s">
        <v>59</v>
      </c>
      <c r="I428" s="3" t="s">
        <v>59</v>
      </c>
      <c r="J428" s="3" t="s">
        <v>61</v>
      </c>
      <c r="L428" s="2" t="s">
        <v>5100</v>
      </c>
      <c r="M428" s="3" t="s">
        <v>835</v>
      </c>
      <c r="O428" s="3" t="s">
        <v>64</v>
      </c>
      <c r="P428" s="3" t="s">
        <v>467</v>
      </c>
      <c r="R428" s="3" t="s">
        <v>67</v>
      </c>
      <c r="S428" s="4">
        <v>14</v>
      </c>
      <c r="T428" s="4">
        <v>14</v>
      </c>
      <c r="U428" s="5" t="s">
        <v>5063</v>
      </c>
      <c r="V428" s="5" t="s">
        <v>5063</v>
      </c>
      <c r="W428" s="5" t="s">
        <v>4507</v>
      </c>
      <c r="X428" s="5" t="s">
        <v>4507</v>
      </c>
      <c r="Y428" s="4">
        <v>440</v>
      </c>
      <c r="Z428" s="4">
        <v>314</v>
      </c>
      <c r="AA428" s="4">
        <v>351</v>
      </c>
      <c r="AB428" s="4">
        <v>4</v>
      </c>
      <c r="AC428" s="4">
        <v>4</v>
      </c>
      <c r="AD428" s="4">
        <v>13</v>
      </c>
      <c r="AE428" s="4">
        <v>14</v>
      </c>
      <c r="AF428" s="4">
        <v>5</v>
      </c>
      <c r="AG428" s="4">
        <v>5</v>
      </c>
      <c r="AH428" s="4">
        <v>5</v>
      </c>
      <c r="AI428" s="4">
        <v>6</v>
      </c>
      <c r="AJ428" s="4">
        <v>4</v>
      </c>
      <c r="AK428" s="4">
        <v>4</v>
      </c>
      <c r="AL428" s="4">
        <v>3</v>
      </c>
      <c r="AM428" s="4">
        <v>3</v>
      </c>
      <c r="AN428" s="4">
        <v>0</v>
      </c>
      <c r="AO428" s="4">
        <v>0</v>
      </c>
      <c r="AP428" s="3" t="s">
        <v>59</v>
      </c>
      <c r="AQ428" s="3" t="s">
        <v>69</v>
      </c>
      <c r="AR428" s="6" t="str">
        <f>HYPERLINK("http://catalog.hathitrust.org/Record/000267372","HathiTrust Record")</f>
        <v>HathiTrust Record</v>
      </c>
      <c r="AS428" s="6" t="str">
        <f>HYPERLINK("https://creighton-primo.hosted.exlibrisgroup.com/primo-explore/search?tab=default_tab&amp;search_scope=EVERYTHING&amp;vid=01CRU&amp;lang=en_US&amp;offset=0&amp;query=any,contains,991004647729702656","Catalog Record")</f>
        <v>Catalog Record</v>
      </c>
      <c r="AT428" s="6" t="str">
        <f>HYPERLINK("http://www.worldcat.org/oclc/4492684","WorldCat Record")</f>
        <v>WorldCat Record</v>
      </c>
      <c r="AU428" s="3" t="s">
        <v>5101</v>
      </c>
      <c r="AV428" s="3" t="s">
        <v>5102</v>
      </c>
      <c r="AW428" s="3" t="s">
        <v>5103</v>
      </c>
      <c r="AX428" s="3" t="s">
        <v>5103</v>
      </c>
      <c r="AY428" s="3" t="s">
        <v>5104</v>
      </c>
      <c r="AZ428" s="3" t="s">
        <v>74</v>
      </c>
      <c r="BB428" s="3" t="s">
        <v>5105</v>
      </c>
      <c r="BC428" s="3" t="s">
        <v>5106</v>
      </c>
      <c r="BD428" s="3" t="s">
        <v>5107</v>
      </c>
    </row>
    <row r="429" spans="1:56" ht="57.75" customHeight="1" x14ac:dyDescent="0.25">
      <c r="A429" s="7" t="s">
        <v>59</v>
      </c>
      <c r="B429" s="2" t="s">
        <v>5108</v>
      </c>
      <c r="C429" s="2" t="s">
        <v>5109</v>
      </c>
      <c r="D429" s="2" t="s">
        <v>5110</v>
      </c>
      <c r="F429" s="3" t="s">
        <v>59</v>
      </c>
      <c r="G429" s="3" t="s">
        <v>60</v>
      </c>
      <c r="H429" s="3" t="s">
        <v>59</v>
      </c>
      <c r="I429" s="3" t="s">
        <v>59</v>
      </c>
      <c r="J429" s="3" t="s">
        <v>61</v>
      </c>
      <c r="K429" s="2" t="s">
        <v>5111</v>
      </c>
      <c r="L429" s="2" t="s">
        <v>1429</v>
      </c>
      <c r="M429" s="3" t="s">
        <v>1430</v>
      </c>
      <c r="O429" s="3" t="s">
        <v>64</v>
      </c>
      <c r="P429" s="3" t="s">
        <v>630</v>
      </c>
      <c r="R429" s="3" t="s">
        <v>67</v>
      </c>
      <c r="S429" s="4">
        <v>6</v>
      </c>
      <c r="T429" s="4">
        <v>6</v>
      </c>
      <c r="U429" s="5" t="s">
        <v>3009</v>
      </c>
      <c r="V429" s="5" t="s">
        <v>3009</v>
      </c>
      <c r="W429" s="5" t="s">
        <v>5112</v>
      </c>
      <c r="X429" s="5" t="s">
        <v>5112</v>
      </c>
      <c r="Y429" s="4">
        <v>447</v>
      </c>
      <c r="Z429" s="4">
        <v>400</v>
      </c>
      <c r="AA429" s="4">
        <v>434</v>
      </c>
      <c r="AB429" s="4">
        <v>4</v>
      </c>
      <c r="AC429" s="4">
        <v>5</v>
      </c>
      <c r="AD429" s="4">
        <v>16</v>
      </c>
      <c r="AE429" s="4">
        <v>17</v>
      </c>
      <c r="AF429" s="4">
        <v>6</v>
      </c>
      <c r="AG429" s="4">
        <v>6</v>
      </c>
      <c r="AH429" s="4">
        <v>5</v>
      </c>
      <c r="AI429" s="4">
        <v>5</v>
      </c>
      <c r="AJ429" s="4">
        <v>7</v>
      </c>
      <c r="AK429" s="4">
        <v>7</v>
      </c>
      <c r="AL429" s="4">
        <v>3</v>
      </c>
      <c r="AM429" s="4">
        <v>4</v>
      </c>
      <c r="AN429" s="4">
        <v>0</v>
      </c>
      <c r="AO429" s="4">
        <v>0</v>
      </c>
      <c r="AP429" s="3" t="s">
        <v>59</v>
      </c>
      <c r="AQ429" s="3" t="s">
        <v>69</v>
      </c>
      <c r="AR429" s="6" t="str">
        <f>HYPERLINK("http://catalog.hathitrust.org/Record/000366294","HathiTrust Record")</f>
        <v>HathiTrust Record</v>
      </c>
      <c r="AS429" s="6" t="str">
        <f>HYPERLINK("https://creighton-primo.hosted.exlibrisgroup.com/primo-explore/search?tab=default_tab&amp;search_scope=EVERYTHING&amp;vid=01CRU&amp;lang=en_US&amp;offset=0&amp;query=any,contains,991000323679702656","Catalog Record")</f>
        <v>Catalog Record</v>
      </c>
      <c r="AT429" s="6" t="str">
        <f>HYPERLINK("http://www.worldcat.org/oclc/10162578","WorldCat Record")</f>
        <v>WorldCat Record</v>
      </c>
      <c r="AU429" s="3" t="s">
        <v>5113</v>
      </c>
      <c r="AV429" s="3" t="s">
        <v>5114</v>
      </c>
      <c r="AW429" s="3" t="s">
        <v>5115</v>
      </c>
      <c r="AX429" s="3" t="s">
        <v>5115</v>
      </c>
      <c r="AY429" s="3" t="s">
        <v>5116</v>
      </c>
      <c r="AZ429" s="3" t="s">
        <v>74</v>
      </c>
      <c r="BB429" s="3" t="s">
        <v>5117</v>
      </c>
      <c r="BC429" s="3" t="s">
        <v>5118</v>
      </c>
      <c r="BD429" s="3" t="s">
        <v>5119</v>
      </c>
    </row>
    <row r="430" spans="1:56" ht="57.75" customHeight="1" x14ac:dyDescent="0.25">
      <c r="A430" s="7" t="s">
        <v>59</v>
      </c>
      <c r="B430" s="2" t="s">
        <v>5120</v>
      </c>
      <c r="C430" s="2" t="s">
        <v>5121</v>
      </c>
      <c r="D430" s="2" t="s">
        <v>5122</v>
      </c>
      <c r="F430" s="3" t="s">
        <v>59</v>
      </c>
      <c r="G430" s="3" t="s">
        <v>60</v>
      </c>
      <c r="H430" s="3" t="s">
        <v>59</v>
      </c>
      <c r="I430" s="3" t="s">
        <v>59</v>
      </c>
      <c r="J430" s="3" t="s">
        <v>61</v>
      </c>
      <c r="K430" s="2" t="s">
        <v>5123</v>
      </c>
      <c r="L430" s="2" t="s">
        <v>5124</v>
      </c>
      <c r="M430" s="3" t="s">
        <v>239</v>
      </c>
      <c r="O430" s="3" t="s">
        <v>64</v>
      </c>
      <c r="P430" s="3" t="s">
        <v>630</v>
      </c>
      <c r="R430" s="3" t="s">
        <v>67</v>
      </c>
      <c r="S430" s="4">
        <v>10</v>
      </c>
      <c r="T430" s="4">
        <v>10</v>
      </c>
      <c r="U430" s="5" t="s">
        <v>4901</v>
      </c>
      <c r="V430" s="5" t="s">
        <v>4901</v>
      </c>
      <c r="W430" s="5" t="s">
        <v>1037</v>
      </c>
      <c r="X430" s="5" t="s">
        <v>1037</v>
      </c>
      <c r="Y430" s="4">
        <v>812</v>
      </c>
      <c r="Z430" s="4">
        <v>726</v>
      </c>
      <c r="AA430" s="4">
        <v>763</v>
      </c>
      <c r="AB430" s="4">
        <v>5</v>
      </c>
      <c r="AC430" s="4">
        <v>5</v>
      </c>
      <c r="AD430" s="4">
        <v>14</v>
      </c>
      <c r="AE430" s="4">
        <v>14</v>
      </c>
      <c r="AF430" s="4">
        <v>3</v>
      </c>
      <c r="AG430" s="4">
        <v>3</v>
      </c>
      <c r="AH430" s="4">
        <v>2</v>
      </c>
      <c r="AI430" s="4">
        <v>2</v>
      </c>
      <c r="AJ430" s="4">
        <v>7</v>
      </c>
      <c r="AK430" s="4">
        <v>7</v>
      </c>
      <c r="AL430" s="4">
        <v>3</v>
      </c>
      <c r="AM430" s="4">
        <v>3</v>
      </c>
      <c r="AN430" s="4">
        <v>0</v>
      </c>
      <c r="AO430" s="4">
        <v>0</v>
      </c>
      <c r="AP430" s="3" t="s">
        <v>59</v>
      </c>
      <c r="AQ430" s="3" t="s">
        <v>69</v>
      </c>
      <c r="AR430" s="6" t="str">
        <f>HYPERLINK("http://catalog.hathitrust.org/Record/003048889","HathiTrust Record")</f>
        <v>HathiTrust Record</v>
      </c>
      <c r="AS430" s="6" t="str">
        <f>HYPERLINK("https://creighton-primo.hosted.exlibrisgroup.com/primo-explore/search?tab=default_tab&amp;search_scope=EVERYTHING&amp;vid=01CRU&amp;lang=en_US&amp;offset=0&amp;query=any,contains,991002531369702656","Catalog Record")</f>
        <v>Catalog Record</v>
      </c>
      <c r="AT430" s="6" t="str">
        <f>HYPERLINK("http://www.worldcat.org/oclc/32893542","WorldCat Record")</f>
        <v>WorldCat Record</v>
      </c>
      <c r="AU430" s="3" t="s">
        <v>5125</v>
      </c>
      <c r="AV430" s="3" t="s">
        <v>5126</v>
      </c>
      <c r="AW430" s="3" t="s">
        <v>5127</v>
      </c>
      <c r="AX430" s="3" t="s">
        <v>5127</v>
      </c>
      <c r="AY430" s="3" t="s">
        <v>5128</v>
      </c>
      <c r="AZ430" s="3" t="s">
        <v>74</v>
      </c>
      <c r="BB430" s="3" t="s">
        <v>5129</v>
      </c>
      <c r="BC430" s="3" t="s">
        <v>5130</v>
      </c>
      <c r="BD430" s="3" t="s">
        <v>5131</v>
      </c>
    </row>
    <row r="431" spans="1:56" ht="57.75" customHeight="1" x14ac:dyDescent="0.25">
      <c r="A431" s="7" t="s">
        <v>59</v>
      </c>
      <c r="B431" s="2" t="s">
        <v>5132</v>
      </c>
      <c r="C431" s="2" t="s">
        <v>5133</v>
      </c>
      <c r="D431" s="2" t="s">
        <v>5134</v>
      </c>
      <c r="F431" s="3" t="s">
        <v>59</v>
      </c>
      <c r="G431" s="3" t="s">
        <v>60</v>
      </c>
      <c r="H431" s="3" t="s">
        <v>59</v>
      </c>
      <c r="I431" s="3" t="s">
        <v>59</v>
      </c>
      <c r="J431" s="3" t="s">
        <v>61</v>
      </c>
      <c r="K431" s="2" t="s">
        <v>5123</v>
      </c>
      <c r="L431" s="2" t="s">
        <v>5135</v>
      </c>
      <c r="M431" s="3" t="s">
        <v>684</v>
      </c>
      <c r="O431" s="3" t="s">
        <v>64</v>
      </c>
      <c r="P431" s="3" t="s">
        <v>630</v>
      </c>
      <c r="R431" s="3" t="s">
        <v>67</v>
      </c>
      <c r="S431" s="4">
        <v>5</v>
      </c>
      <c r="T431" s="4">
        <v>5</v>
      </c>
      <c r="U431" s="5" t="s">
        <v>1853</v>
      </c>
      <c r="V431" s="5" t="s">
        <v>1853</v>
      </c>
      <c r="W431" s="5" t="s">
        <v>5136</v>
      </c>
      <c r="X431" s="5" t="s">
        <v>5136</v>
      </c>
      <c r="Y431" s="4">
        <v>1029</v>
      </c>
      <c r="Z431" s="4">
        <v>937</v>
      </c>
      <c r="AA431" s="4">
        <v>944</v>
      </c>
      <c r="AB431" s="4">
        <v>7</v>
      </c>
      <c r="AC431" s="4">
        <v>7</v>
      </c>
      <c r="AD431" s="4">
        <v>28</v>
      </c>
      <c r="AE431" s="4">
        <v>28</v>
      </c>
      <c r="AF431" s="4">
        <v>10</v>
      </c>
      <c r="AG431" s="4">
        <v>10</v>
      </c>
      <c r="AH431" s="4">
        <v>6</v>
      </c>
      <c r="AI431" s="4">
        <v>6</v>
      </c>
      <c r="AJ431" s="4">
        <v>14</v>
      </c>
      <c r="AK431" s="4">
        <v>14</v>
      </c>
      <c r="AL431" s="4">
        <v>5</v>
      </c>
      <c r="AM431" s="4">
        <v>5</v>
      </c>
      <c r="AN431" s="4">
        <v>0</v>
      </c>
      <c r="AO431" s="4">
        <v>0</v>
      </c>
      <c r="AP431" s="3" t="s">
        <v>59</v>
      </c>
      <c r="AQ431" s="3" t="s">
        <v>69</v>
      </c>
      <c r="AR431" s="6" t="str">
        <f>HYPERLINK("http://catalog.hathitrust.org/Record/004076963","HathiTrust Record")</f>
        <v>HathiTrust Record</v>
      </c>
      <c r="AS431" s="6" t="str">
        <f>HYPERLINK("https://creighton-primo.hosted.exlibrisgroup.com/primo-explore/search?tab=default_tab&amp;search_scope=EVERYTHING&amp;vid=01CRU&amp;lang=en_US&amp;offset=0&amp;query=any,contains,991003240649702656","Catalog Record")</f>
        <v>Catalog Record</v>
      </c>
      <c r="AT431" s="6" t="str">
        <f>HYPERLINK("http://www.worldcat.org/oclc/42021523","WorldCat Record")</f>
        <v>WorldCat Record</v>
      </c>
      <c r="AU431" s="3" t="s">
        <v>5137</v>
      </c>
      <c r="AV431" s="3" t="s">
        <v>5138</v>
      </c>
      <c r="AW431" s="3" t="s">
        <v>5139</v>
      </c>
      <c r="AX431" s="3" t="s">
        <v>5139</v>
      </c>
      <c r="AY431" s="3" t="s">
        <v>5140</v>
      </c>
      <c r="AZ431" s="3" t="s">
        <v>74</v>
      </c>
      <c r="BB431" s="3" t="s">
        <v>5141</v>
      </c>
      <c r="BC431" s="3" t="s">
        <v>5142</v>
      </c>
      <c r="BD431" s="3" t="s">
        <v>5143</v>
      </c>
    </row>
    <row r="432" spans="1:56" ht="57.75" customHeight="1" x14ac:dyDescent="0.25">
      <c r="A432" s="7" t="s">
        <v>59</v>
      </c>
      <c r="B432" s="2" t="s">
        <v>5144</v>
      </c>
      <c r="C432" s="2" t="s">
        <v>5145</v>
      </c>
      <c r="D432" s="2" t="s">
        <v>5146</v>
      </c>
      <c r="F432" s="3" t="s">
        <v>59</v>
      </c>
      <c r="G432" s="3" t="s">
        <v>60</v>
      </c>
      <c r="H432" s="3" t="s">
        <v>59</v>
      </c>
      <c r="I432" s="3" t="s">
        <v>59</v>
      </c>
      <c r="J432" s="3" t="s">
        <v>61</v>
      </c>
      <c r="K432" s="2" t="s">
        <v>3978</v>
      </c>
      <c r="L432" s="2" t="s">
        <v>2699</v>
      </c>
      <c r="M432" s="3" t="s">
        <v>2700</v>
      </c>
      <c r="O432" s="3" t="s">
        <v>64</v>
      </c>
      <c r="P432" s="3" t="s">
        <v>405</v>
      </c>
      <c r="Q432" s="2" t="s">
        <v>5147</v>
      </c>
      <c r="R432" s="3" t="s">
        <v>67</v>
      </c>
      <c r="S432" s="4">
        <v>1</v>
      </c>
      <c r="T432" s="4">
        <v>1</v>
      </c>
      <c r="U432" s="5" t="s">
        <v>4032</v>
      </c>
      <c r="V432" s="5" t="s">
        <v>4032</v>
      </c>
      <c r="W432" s="5" t="s">
        <v>2452</v>
      </c>
      <c r="X432" s="5" t="s">
        <v>2452</v>
      </c>
      <c r="Y432" s="4">
        <v>597</v>
      </c>
      <c r="Z432" s="4">
        <v>461</v>
      </c>
      <c r="AA432" s="4">
        <v>469</v>
      </c>
      <c r="AB432" s="4">
        <v>4</v>
      </c>
      <c r="AC432" s="4">
        <v>4</v>
      </c>
      <c r="AD432" s="4">
        <v>27</v>
      </c>
      <c r="AE432" s="4">
        <v>27</v>
      </c>
      <c r="AF432" s="4">
        <v>9</v>
      </c>
      <c r="AG432" s="4">
        <v>9</v>
      </c>
      <c r="AH432" s="4">
        <v>6</v>
      </c>
      <c r="AI432" s="4">
        <v>6</v>
      </c>
      <c r="AJ432" s="4">
        <v>15</v>
      </c>
      <c r="AK432" s="4">
        <v>15</v>
      </c>
      <c r="AL432" s="4">
        <v>3</v>
      </c>
      <c r="AM432" s="4">
        <v>3</v>
      </c>
      <c r="AN432" s="4">
        <v>0</v>
      </c>
      <c r="AO432" s="4">
        <v>0</v>
      </c>
      <c r="AP432" s="3" t="s">
        <v>59</v>
      </c>
      <c r="AQ432" s="3" t="s">
        <v>69</v>
      </c>
      <c r="AR432" s="6" t="str">
        <f>HYPERLINK("http://catalog.hathitrust.org/Record/001496767","HathiTrust Record")</f>
        <v>HathiTrust Record</v>
      </c>
      <c r="AS432" s="6" t="str">
        <f>HYPERLINK("https://creighton-primo.hosted.exlibrisgroup.com/primo-explore/search?tab=default_tab&amp;search_scope=EVERYTHING&amp;vid=01CRU&amp;lang=en_US&amp;offset=0&amp;query=any,contains,991002987569702656","Catalog Record")</f>
        <v>Catalog Record</v>
      </c>
      <c r="AT432" s="6" t="str">
        <f>HYPERLINK("http://www.worldcat.org/oclc/558423","WorldCat Record")</f>
        <v>WorldCat Record</v>
      </c>
      <c r="AU432" s="3" t="s">
        <v>5148</v>
      </c>
      <c r="AV432" s="3" t="s">
        <v>5149</v>
      </c>
      <c r="AW432" s="3" t="s">
        <v>5150</v>
      </c>
      <c r="AX432" s="3" t="s">
        <v>5150</v>
      </c>
      <c r="AY432" s="3" t="s">
        <v>5151</v>
      </c>
      <c r="AZ432" s="3" t="s">
        <v>74</v>
      </c>
      <c r="BC432" s="3" t="s">
        <v>5152</v>
      </c>
      <c r="BD432" s="3" t="s">
        <v>5153</v>
      </c>
    </row>
    <row r="433" spans="1:56" ht="57.75" customHeight="1" x14ac:dyDescent="0.25">
      <c r="A433" s="7" t="s">
        <v>59</v>
      </c>
      <c r="B433" s="2" t="s">
        <v>5154</v>
      </c>
      <c r="C433" s="2" t="s">
        <v>5155</v>
      </c>
      <c r="D433" s="2" t="s">
        <v>5156</v>
      </c>
      <c r="F433" s="3" t="s">
        <v>59</v>
      </c>
      <c r="G433" s="3" t="s">
        <v>60</v>
      </c>
      <c r="H433" s="3" t="s">
        <v>59</v>
      </c>
      <c r="I433" s="3" t="s">
        <v>59</v>
      </c>
      <c r="J433" s="3" t="s">
        <v>61</v>
      </c>
      <c r="K433" s="2" t="s">
        <v>5157</v>
      </c>
      <c r="L433" s="2" t="s">
        <v>5158</v>
      </c>
      <c r="M433" s="3" t="s">
        <v>776</v>
      </c>
      <c r="O433" s="3" t="s">
        <v>64</v>
      </c>
      <c r="P433" s="3" t="s">
        <v>630</v>
      </c>
      <c r="R433" s="3" t="s">
        <v>67</v>
      </c>
      <c r="S433" s="4">
        <v>12</v>
      </c>
      <c r="T433" s="4">
        <v>12</v>
      </c>
      <c r="U433" s="5" t="s">
        <v>5159</v>
      </c>
      <c r="V433" s="5" t="s">
        <v>5159</v>
      </c>
      <c r="W433" s="5" t="s">
        <v>5160</v>
      </c>
      <c r="X433" s="5" t="s">
        <v>5160</v>
      </c>
      <c r="Y433" s="4">
        <v>1693</v>
      </c>
      <c r="Z433" s="4">
        <v>1439</v>
      </c>
      <c r="AA433" s="4">
        <v>1450</v>
      </c>
      <c r="AB433" s="4">
        <v>11</v>
      </c>
      <c r="AC433" s="4">
        <v>11</v>
      </c>
      <c r="AD433" s="4">
        <v>50</v>
      </c>
      <c r="AE433" s="4">
        <v>50</v>
      </c>
      <c r="AF433" s="4">
        <v>19</v>
      </c>
      <c r="AG433" s="4">
        <v>19</v>
      </c>
      <c r="AH433" s="4">
        <v>8</v>
      </c>
      <c r="AI433" s="4">
        <v>8</v>
      </c>
      <c r="AJ433" s="4">
        <v>26</v>
      </c>
      <c r="AK433" s="4">
        <v>26</v>
      </c>
      <c r="AL433" s="4">
        <v>9</v>
      </c>
      <c r="AM433" s="4">
        <v>9</v>
      </c>
      <c r="AN433" s="4">
        <v>0</v>
      </c>
      <c r="AO433" s="4">
        <v>0</v>
      </c>
      <c r="AP433" s="3" t="s">
        <v>59</v>
      </c>
      <c r="AQ433" s="3" t="s">
        <v>69</v>
      </c>
      <c r="AR433" s="6" t="str">
        <f>HYPERLINK("http://catalog.hathitrust.org/Record/001500149","HathiTrust Record")</f>
        <v>HathiTrust Record</v>
      </c>
      <c r="AS433" s="6" t="str">
        <f>HYPERLINK("https://creighton-primo.hosted.exlibrisgroup.com/primo-explore/search?tab=default_tab&amp;search_scope=EVERYTHING&amp;vid=01CRU&amp;lang=en_US&amp;offset=0&amp;query=any,contains,991001224919702656","Catalog Record")</f>
        <v>Catalog Record</v>
      </c>
      <c r="AT433" s="6" t="str">
        <f>HYPERLINK("http://www.worldcat.org/oclc/199513","WorldCat Record")</f>
        <v>WorldCat Record</v>
      </c>
      <c r="AU433" s="3" t="s">
        <v>5161</v>
      </c>
      <c r="AV433" s="3" t="s">
        <v>5162</v>
      </c>
      <c r="AW433" s="3" t="s">
        <v>5163</v>
      </c>
      <c r="AX433" s="3" t="s">
        <v>5163</v>
      </c>
      <c r="AY433" s="3" t="s">
        <v>5164</v>
      </c>
      <c r="AZ433" s="3" t="s">
        <v>74</v>
      </c>
      <c r="BB433" s="3" t="s">
        <v>5165</v>
      </c>
      <c r="BC433" s="3" t="s">
        <v>5166</v>
      </c>
      <c r="BD433" s="3" t="s">
        <v>5167</v>
      </c>
    </row>
    <row r="434" spans="1:56" ht="57.75" customHeight="1" x14ac:dyDescent="0.25">
      <c r="A434" s="7" t="s">
        <v>59</v>
      </c>
      <c r="B434" s="2" t="s">
        <v>5168</v>
      </c>
      <c r="C434" s="2" t="s">
        <v>5169</v>
      </c>
      <c r="D434" s="2" t="s">
        <v>5170</v>
      </c>
      <c r="F434" s="3" t="s">
        <v>59</v>
      </c>
      <c r="G434" s="3" t="s">
        <v>60</v>
      </c>
      <c r="H434" s="3" t="s">
        <v>59</v>
      </c>
      <c r="I434" s="3" t="s">
        <v>59</v>
      </c>
      <c r="J434" s="3" t="s">
        <v>61</v>
      </c>
      <c r="L434" s="2" t="s">
        <v>5171</v>
      </c>
      <c r="M434" s="3" t="s">
        <v>511</v>
      </c>
      <c r="O434" s="3" t="s">
        <v>64</v>
      </c>
      <c r="P434" s="3" t="s">
        <v>405</v>
      </c>
      <c r="R434" s="3" t="s">
        <v>67</v>
      </c>
      <c r="S434" s="4">
        <v>2</v>
      </c>
      <c r="T434" s="4">
        <v>2</v>
      </c>
      <c r="U434" s="5" t="s">
        <v>5172</v>
      </c>
      <c r="V434" s="5" t="s">
        <v>5172</v>
      </c>
      <c r="W434" s="5" t="s">
        <v>2740</v>
      </c>
      <c r="X434" s="5" t="s">
        <v>2740</v>
      </c>
      <c r="Y434" s="4">
        <v>295</v>
      </c>
      <c r="Z434" s="4">
        <v>199</v>
      </c>
      <c r="AA434" s="4">
        <v>211</v>
      </c>
      <c r="AB434" s="4">
        <v>3</v>
      </c>
      <c r="AC434" s="4">
        <v>3</v>
      </c>
      <c r="AD434" s="4">
        <v>10</v>
      </c>
      <c r="AE434" s="4">
        <v>10</v>
      </c>
      <c r="AF434" s="4">
        <v>2</v>
      </c>
      <c r="AG434" s="4">
        <v>2</v>
      </c>
      <c r="AH434" s="4">
        <v>2</v>
      </c>
      <c r="AI434" s="4">
        <v>2</v>
      </c>
      <c r="AJ434" s="4">
        <v>5</v>
      </c>
      <c r="AK434" s="4">
        <v>5</v>
      </c>
      <c r="AL434" s="4">
        <v>2</v>
      </c>
      <c r="AM434" s="4">
        <v>2</v>
      </c>
      <c r="AN434" s="4">
        <v>0</v>
      </c>
      <c r="AO434" s="4">
        <v>0</v>
      </c>
      <c r="AP434" s="3" t="s">
        <v>59</v>
      </c>
      <c r="AQ434" s="3" t="s">
        <v>59</v>
      </c>
      <c r="AS434" s="6" t="str">
        <f>HYPERLINK("https://creighton-primo.hosted.exlibrisgroup.com/primo-explore/search?tab=default_tab&amp;search_scope=EVERYTHING&amp;vid=01CRU&amp;lang=en_US&amp;offset=0&amp;query=any,contains,991002442319702656","Catalog Record")</f>
        <v>Catalog Record</v>
      </c>
      <c r="AT434" s="6" t="str">
        <f>HYPERLINK("http://www.worldcat.org/oclc/31865204","WorldCat Record")</f>
        <v>WorldCat Record</v>
      </c>
      <c r="AU434" s="3" t="s">
        <v>5173</v>
      </c>
      <c r="AV434" s="3" t="s">
        <v>5174</v>
      </c>
      <c r="AW434" s="3" t="s">
        <v>5175</v>
      </c>
      <c r="AX434" s="3" t="s">
        <v>5175</v>
      </c>
      <c r="AY434" s="3" t="s">
        <v>5176</v>
      </c>
      <c r="AZ434" s="3" t="s">
        <v>74</v>
      </c>
      <c r="BB434" s="3" t="s">
        <v>5177</v>
      </c>
      <c r="BC434" s="3" t="s">
        <v>5178</v>
      </c>
      <c r="BD434" s="3" t="s">
        <v>5179</v>
      </c>
    </row>
    <row r="435" spans="1:56" ht="57.75" customHeight="1" x14ac:dyDescent="0.25">
      <c r="A435" s="7" t="s">
        <v>59</v>
      </c>
      <c r="B435" s="2" t="s">
        <v>5180</v>
      </c>
      <c r="C435" s="2" t="s">
        <v>5181</v>
      </c>
      <c r="D435" s="2" t="s">
        <v>5182</v>
      </c>
      <c r="F435" s="3" t="s">
        <v>59</v>
      </c>
      <c r="G435" s="3" t="s">
        <v>60</v>
      </c>
      <c r="H435" s="3" t="s">
        <v>59</v>
      </c>
      <c r="I435" s="3" t="s">
        <v>59</v>
      </c>
      <c r="J435" s="3" t="s">
        <v>61</v>
      </c>
      <c r="K435" s="2" t="s">
        <v>5183</v>
      </c>
      <c r="L435" s="2" t="s">
        <v>711</v>
      </c>
      <c r="M435" s="3" t="s">
        <v>712</v>
      </c>
      <c r="N435" s="2" t="s">
        <v>556</v>
      </c>
      <c r="O435" s="3" t="s">
        <v>64</v>
      </c>
      <c r="P435" s="3" t="s">
        <v>405</v>
      </c>
      <c r="Q435" s="2" t="s">
        <v>5184</v>
      </c>
      <c r="R435" s="3" t="s">
        <v>67</v>
      </c>
      <c r="S435" s="4">
        <v>7</v>
      </c>
      <c r="T435" s="4">
        <v>7</v>
      </c>
      <c r="U435" s="5" t="s">
        <v>5185</v>
      </c>
      <c r="V435" s="5" t="s">
        <v>5185</v>
      </c>
      <c r="W435" s="5" t="s">
        <v>5186</v>
      </c>
      <c r="X435" s="5" t="s">
        <v>5186</v>
      </c>
      <c r="Y435" s="4">
        <v>308</v>
      </c>
      <c r="Z435" s="4">
        <v>168</v>
      </c>
      <c r="AA435" s="4">
        <v>199</v>
      </c>
      <c r="AB435" s="4">
        <v>2</v>
      </c>
      <c r="AC435" s="4">
        <v>2</v>
      </c>
      <c r="AD435" s="4">
        <v>5</v>
      </c>
      <c r="AE435" s="4">
        <v>6</v>
      </c>
      <c r="AF435" s="4">
        <v>0</v>
      </c>
      <c r="AG435" s="4">
        <v>0</v>
      </c>
      <c r="AH435" s="4">
        <v>2</v>
      </c>
      <c r="AI435" s="4">
        <v>2</v>
      </c>
      <c r="AJ435" s="4">
        <v>3</v>
      </c>
      <c r="AK435" s="4">
        <v>4</v>
      </c>
      <c r="AL435" s="4">
        <v>1</v>
      </c>
      <c r="AM435" s="4">
        <v>1</v>
      </c>
      <c r="AN435" s="4">
        <v>0</v>
      </c>
      <c r="AO435" s="4">
        <v>0</v>
      </c>
      <c r="AP435" s="3" t="s">
        <v>59</v>
      </c>
      <c r="AQ435" s="3" t="s">
        <v>59</v>
      </c>
      <c r="AS435" s="6" t="str">
        <f>HYPERLINK("https://creighton-primo.hosted.exlibrisgroup.com/primo-explore/search?tab=default_tab&amp;search_scope=EVERYTHING&amp;vid=01CRU&amp;lang=en_US&amp;offset=0&amp;query=any,contains,991002380829702656","Catalog Record")</f>
        <v>Catalog Record</v>
      </c>
      <c r="AT435" s="6" t="str">
        <f>HYPERLINK("http://www.worldcat.org/oclc/30920601","WorldCat Record")</f>
        <v>WorldCat Record</v>
      </c>
      <c r="AU435" s="3" t="s">
        <v>5187</v>
      </c>
      <c r="AV435" s="3" t="s">
        <v>5188</v>
      </c>
      <c r="AW435" s="3" t="s">
        <v>5189</v>
      </c>
      <c r="AX435" s="3" t="s">
        <v>5189</v>
      </c>
      <c r="AY435" s="3" t="s">
        <v>5190</v>
      </c>
      <c r="AZ435" s="3" t="s">
        <v>74</v>
      </c>
      <c r="BB435" s="3" t="s">
        <v>5191</v>
      </c>
      <c r="BC435" s="3" t="s">
        <v>5192</v>
      </c>
      <c r="BD435" s="3" t="s">
        <v>5193</v>
      </c>
    </row>
    <row r="436" spans="1:56" ht="57.75" customHeight="1" x14ac:dyDescent="0.25">
      <c r="A436" s="7" t="s">
        <v>59</v>
      </c>
      <c r="B436" s="2" t="s">
        <v>5194</v>
      </c>
      <c r="C436" s="2" t="s">
        <v>5195</v>
      </c>
      <c r="D436" s="2" t="s">
        <v>5196</v>
      </c>
      <c r="F436" s="3" t="s">
        <v>59</v>
      </c>
      <c r="G436" s="3" t="s">
        <v>60</v>
      </c>
      <c r="H436" s="3" t="s">
        <v>59</v>
      </c>
      <c r="I436" s="3" t="s">
        <v>59</v>
      </c>
      <c r="J436" s="3" t="s">
        <v>61</v>
      </c>
      <c r="K436" s="2" t="s">
        <v>5197</v>
      </c>
      <c r="L436" s="2" t="s">
        <v>5198</v>
      </c>
      <c r="M436" s="3" t="s">
        <v>1102</v>
      </c>
      <c r="O436" s="3" t="s">
        <v>64</v>
      </c>
      <c r="P436" s="3" t="s">
        <v>2203</v>
      </c>
      <c r="R436" s="3" t="s">
        <v>67</v>
      </c>
      <c r="S436" s="4">
        <v>6</v>
      </c>
      <c r="T436" s="4">
        <v>6</v>
      </c>
      <c r="U436" s="5" t="s">
        <v>4020</v>
      </c>
      <c r="V436" s="5" t="s">
        <v>4020</v>
      </c>
      <c r="W436" s="5" t="s">
        <v>5199</v>
      </c>
      <c r="X436" s="5" t="s">
        <v>5199</v>
      </c>
      <c r="Y436" s="4">
        <v>79</v>
      </c>
      <c r="Z436" s="4">
        <v>26</v>
      </c>
      <c r="AA436" s="4">
        <v>312</v>
      </c>
      <c r="AB436" s="4">
        <v>2</v>
      </c>
      <c r="AC436" s="4">
        <v>4</v>
      </c>
      <c r="AD436" s="4">
        <v>1</v>
      </c>
      <c r="AE436" s="4">
        <v>15</v>
      </c>
      <c r="AF436" s="4">
        <v>0</v>
      </c>
      <c r="AG436" s="4">
        <v>5</v>
      </c>
      <c r="AH436" s="4">
        <v>0</v>
      </c>
      <c r="AI436" s="4">
        <v>3</v>
      </c>
      <c r="AJ436" s="4">
        <v>0</v>
      </c>
      <c r="AK436" s="4">
        <v>6</v>
      </c>
      <c r="AL436" s="4">
        <v>1</v>
      </c>
      <c r="AM436" s="4">
        <v>3</v>
      </c>
      <c r="AN436" s="4">
        <v>0</v>
      </c>
      <c r="AO436" s="4">
        <v>0</v>
      </c>
      <c r="AP436" s="3" t="s">
        <v>59</v>
      </c>
      <c r="AQ436" s="3" t="s">
        <v>69</v>
      </c>
      <c r="AR436" s="6" t="str">
        <f>HYPERLINK("http://catalog.hathitrust.org/Record/009496976","HathiTrust Record")</f>
        <v>HathiTrust Record</v>
      </c>
      <c r="AS436" s="6" t="str">
        <f>HYPERLINK("https://creighton-primo.hosted.exlibrisgroup.com/primo-explore/search?tab=default_tab&amp;search_scope=EVERYTHING&amp;vid=01CRU&amp;lang=en_US&amp;offset=0&amp;query=any,contains,991001583939702656","Catalog Record")</f>
        <v>Catalog Record</v>
      </c>
      <c r="AT436" s="6" t="str">
        <f>HYPERLINK("http://www.worldcat.org/oclc/20521968","WorldCat Record")</f>
        <v>WorldCat Record</v>
      </c>
      <c r="AU436" s="3" t="s">
        <v>5200</v>
      </c>
      <c r="AV436" s="3" t="s">
        <v>5201</v>
      </c>
      <c r="AW436" s="3" t="s">
        <v>5202</v>
      </c>
      <c r="AX436" s="3" t="s">
        <v>5202</v>
      </c>
      <c r="AY436" s="3" t="s">
        <v>5203</v>
      </c>
      <c r="AZ436" s="3" t="s">
        <v>74</v>
      </c>
      <c r="BB436" s="3" t="s">
        <v>5204</v>
      </c>
      <c r="BC436" s="3" t="s">
        <v>5205</v>
      </c>
      <c r="BD436" s="3" t="s">
        <v>5206</v>
      </c>
    </row>
    <row r="437" spans="1:56" ht="57.75" customHeight="1" x14ac:dyDescent="0.25">
      <c r="A437" s="7" t="s">
        <v>59</v>
      </c>
      <c r="B437" s="2" t="s">
        <v>5207</v>
      </c>
      <c r="C437" s="2" t="s">
        <v>5208</v>
      </c>
      <c r="D437" s="2" t="s">
        <v>5209</v>
      </c>
      <c r="F437" s="3" t="s">
        <v>59</v>
      </c>
      <c r="G437" s="3" t="s">
        <v>60</v>
      </c>
      <c r="H437" s="3" t="s">
        <v>59</v>
      </c>
      <c r="I437" s="3" t="s">
        <v>59</v>
      </c>
      <c r="J437" s="3" t="s">
        <v>61</v>
      </c>
      <c r="L437" s="2" t="s">
        <v>5210</v>
      </c>
      <c r="M437" s="3" t="s">
        <v>172</v>
      </c>
      <c r="O437" s="3" t="s">
        <v>64</v>
      </c>
      <c r="P437" s="3" t="s">
        <v>2362</v>
      </c>
      <c r="Q437" s="2" t="s">
        <v>5211</v>
      </c>
      <c r="R437" s="3" t="s">
        <v>67</v>
      </c>
      <c r="S437" s="4">
        <v>5</v>
      </c>
      <c r="T437" s="4">
        <v>5</v>
      </c>
      <c r="U437" s="5" t="s">
        <v>934</v>
      </c>
      <c r="V437" s="5" t="s">
        <v>934</v>
      </c>
      <c r="W437" s="5" t="s">
        <v>5212</v>
      </c>
      <c r="X437" s="5" t="s">
        <v>5212</v>
      </c>
      <c r="Y437" s="4">
        <v>294</v>
      </c>
      <c r="Z437" s="4">
        <v>211</v>
      </c>
      <c r="AA437" s="4">
        <v>256</v>
      </c>
      <c r="AB437" s="4">
        <v>3</v>
      </c>
      <c r="AC437" s="4">
        <v>3</v>
      </c>
      <c r="AD437" s="4">
        <v>8</v>
      </c>
      <c r="AE437" s="4">
        <v>8</v>
      </c>
      <c r="AF437" s="4">
        <v>4</v>
      </c>
      <c r="AG437" s="4">
        <v>4</v>
      </c>
      <c r="AH437" s="4">
        <v>2</v>
      </c>
      <c r="AI437" s="4">
        <v>2</v>
      </c>
      <c r="AJ437" s="4">
        <v>2</v>
      </c>
      <c r="AK437" s="4">
        <v>2</v>
      </c>
      <c r="AL437" s="4">
        <v>2</v>
      </c>
      <c r="AM437" s="4">
        <v>2</v>
      </c>
      <c r="AN437" s="4">
        <v>0</v>
      </c>
      <c r="AO437" s="4">
        <v>0</v>
      </c>
      <c r="AP437" s="3" t="s">
        <v>59</v>
      </c>
      <c r="AQ437" s="3" t="s">
        <v>59</v>
      </c>
      <c r="AS437" s="6" t="str">
        <f>HYPERLINK("https://creighton-primo.hosted.exlibrisgroup.com/primo-explore/search?tab=default_tab&amp;search_scope=EVERYTHING&amp;vid=01CRU&amp;lang=en_US&amp;offset=0&amp;query=any,contains,991004698969702656","Catalog Record")</f>
        <v>Catalog Record</v>
      </c>
      <c r="AT437" s="6" t="str">
        <f>HYPERLINK("http://www.worldcat.org/oclc/61463800","WorldCat Record")</f>
        <v>WorldCat Record</v>
      </c>
      <c r="AU437" s="3" t="s">
        <v>5213</v>
      </c>
      <c r="AV437" s="3" t="s">
        <v>5214</v>
      </c>
      <c r="AW437" s="3" t="s">
        <v>5215</v>
      </c>
      <c r="AX437" s="3" t="s">
        <v>5215</v>
      </c>
      <c r="AY437" s="3" t="s">
        <v>5216</v>
      </c>
      <c r="AZ437" s="3" t="s">
        <v>74</v>
      </c>
      <c r="BB437" s="3" t="s">
        <v>5217</v>
      </c>
      <c r="BC437" s="3" t="s">
        <v>5218</v>
      </c>
      <c r="BD437" s="3" t="s">
        <v>5219</v>
      </c>
    </row>
    <row r="438" spans="1:56" ht="57.75" customHeight="1" x14ac:dyDescent="0.25">
      <c r="A438" s="7" t="s">
        <v>59</v>
      </c>
      <c r="B438" s="2" t="s">
        <v>5220</v>
      </c>
      <c r="C438" s="2" t="s">
        <v>5221</v>
      </c>
      <c r="D438" s="2" t="s">
        <v>5222</v>
      </c>
      <c r="F438" s="3" t="s">
        <v>59</v>
      </c>
      <c r="G438" s="3" t="s">
        <v>60</v>
      </c>
      <c r="H438" s="3" t="s">
        <v>59</v>
      </c>
      <c r="I438" s="3" t="s">
        <v>59</v>
      </c>
      <c r="J438" s="3" t="s">
        <v>61</v>
      </c>
      <c r="K438" s="2" t="s">
        <v>5223</v>
      </c>
      <c r="L438" s="2" t="s">
        <v>5224</v>
      </c>
      <c r="M438" s="3" t="s">
        <v>684</v>
      </c>
      <c r="O438" s="3" t="s">
        <v>64</v>
      </c>
      <c r="P438" s="3" t="s">
        <v>1268</v>
      </c>
      <c r="R438" s="3" t="s">
        <v>67</v>
      </c>
      <c r="S438" s="4">
        <v>3</v>
      </c>
      <c r="T438" s="4">
        <v>3</v>
      </c>
      <c r="U438" s="5" t="s">
        <v>5225</v>
      </c>
      <c r="V438" s="5" t="s">
        <v>5225</v>
      </c>
      <c r="W438" s="5" t="s">
        <v>5089</v>
      </c>
      <c r="X438" s="5" t="s">
        <v>5089</v>
      </c>
      <c r="Y438" s="4">
        <v>485</v>
      </c>
      <c r="Z438" s="4">
        <v>370</v>
      </c>
      <c r="AA438" s="4">
        <v>592</v>
      </c>
      <c r="AB438" s="4">
        <v>2</v>
      </c>
      <c r="AC438" s="4">
        <v>2</v>
      </c>
      <c r="AD438" s="4">
        <v>14</v>
      </c>
      <c r="AE438" s="4">
        <v>24</v>
      </c>
      <c r="AF438" s="4">
        <v>6</v>
      </c>
      <c r="AG438" s="4">
        <v>12</v>
      </c>
      <c r="AH438" s="4">
        <v>3</v>
      </c>
      <c r="AI438" s="4">
        <v>6</v>
      </c>
      <c r="AJ438" s="4">
        <v>10</v>
      </c>
      <c r="AK438" s="4">
        <v>14</v>
      </c>
      <c r="AL438" s="4">
        <v>1</v>
      </c>
      <c r="AM438" s="4">
        <v>1</v>
      </c>
      <c r="AN438" s="4">
        <v>0</v>
      </c>
      <c r="AO438" s="4">
        <v>0</v>
      </c>
      <c r="AP438" s="3" t="s">
        <v>59</v>
      </c>
      <c r="AQ438" s="3" t="s">
        <v>59</v>
      </c>
      <c r="AS438" s="6" t="str">
        <f>HYPERLINK("https://creighton-primo.hosted.exlibrisgroup.com/primo-explore/search?tab=default_tab&amp;search_scope=EVERYTHING&amp;vid=01CRU&amp;lang=en_US&amp;offset=0&amp;query=any,contains,991003261849702656","Catalog Record")</f>
        <v>Catalog Record</v>
      </c>
      <c r="AT438" s="6" t="str">
        <f>HYPERLINK("http://www.worldcat.org/oclc/41211612","WorldCat Record")</f>
        <v>WorldCat Record</v>
      </c>
      <c r="AU438" s="3" t="s">
        <v>5226</v>
      </c>
      <c r="AV438" s="3" t="s">
        <v>5227</v>
      </c>
      <c r="AW438" s="3" t="s">
        <v>5228</v>
      </c>
      <c r="AX438" s="3" t="s">
        <v>5228</v>
      </c>
      <c r="AY438" s="3" t="s">
        <v>5229</v>
      </c>
      <c r="AZ438" s="3" t="s">
        <v>74</v>
      </c>
      <c r="BB438" s="3" t="s">
        <v>5230</v>
      </c>
      <c r="BC438" s="3" t="s">
        <v>5231</v>
      </c>
      <c r="BD438" s="3" t="s">
        <v>5232</v>
      </c>
    </row>
    <row r="439" spans="1:56" ht="57.75" customHeight="1" x14ac:dyDescent="0.25">
      <c r="A439" s="7" t="s">
        <v>59</v>
      </c>
      <c r="B439" s="2" t="s">
        <v>5233</v>
      </c>
      <c r="C439" s="2" t="s">
        <v>5234</v>
      </c>
      <c r="D439" s="2" t="s">
        <v>5235</v>
      </c>
      <c r="F439" s="3" t="s">
        <v>59</v>
      </c>
      <c r="G439" s="3" t="s">
        <v>60</v>
      </c>
      <c r="H439" s="3" t="s">
        <v>59</v>
      </c>
      <c r="I439" s="3" t="s">
        <v>59</v>
      </c>
      <c r="J439" s="3" t="s">
        <v>61</v>
      </c>
      <c r="L439" s="2" t="s">
        <v>5236</v>
      </c>
      <c r="M439" s="3" t="s">
        <v>495</v>
      </c>
      <c r="O439" s="3" t="s">
        <v>64</v>
      </c>
      <c r="P439" s="3" t="s">
        <v>541</v>
      </c>
      <c r="Q439" s="2" t="s">
        <v>3735</v>
      </c>
      <c r="R439" s="3" t="s">
        <v>67</v>
      </c>
      <c r="S439" s="4">
        <v>4</v>
      </c>
      <c r="T439" s="4">
        <v>4</v>
      </c>
      <c r="U439" s="5" t="s">
        <v>5237</v>
      </c>
      <c r="V439" s="5" t="s">
        <v>5237</v>
      </c>
      <c r="W439" s="5" t="s">
        <v>4507</v>
      </c>
      <c r="X439" s="5" t="s">
        <v>4507</v>
      </c>
      <c r="Y439" s="4">
        <v>236</v>
      </c>
      <c r="Z439" s="4">
        <v>147</v>
      </c>
      <c r="AA439" s="4">
        <v>171</v>
      </c>
      <c r="AB439" s="4">
        <v>1</v>
      </c>
      <c r="AC439" s="4">
        <v>1</v>
      </c>
      <c r="AD439" s="4">
        <v>3</v>
      </c>
      <c r="AE439" s="4">
        <v>4</v>
      </c>
      <c r="AF439" s="4">
        <v>0</v>
      </c>
      <c r="AG439" s="4">
        <v>1</v>
      </c>
      <c r="AH439" s="4">
        <v>2</v>
      </c>
      <c r="AI439" s="4">
        <v>2</v>
      </c>
      <c r="AJ439" s="4">
        <v>2</v>
      </c>
      <c r="AK439" s="4">
        <v>3</v>
      </c>
      <c r="AL439" s="4">
        <v>0</v>
      </c>
      <c r="AM439" s="4">
        <v>0</v>
      </c>
      <c r="AN439" s="4">
        <v>0</v>
      </c>
      <c r="AO439" s="4">
        <v>0</v>
      </c>
      <c r="AP439" s="3" t="s">
        <v>59</v>
      </c>
      <c r="AQ439" s="3" t="s">
        <v>69</v>
      </c>
      <c r="AR439" s="6" t="str">
        <f>HYPERLINK("http://catalog.hathitrust.org/Record/000806258","HathiTrust Record")</f>
        <v>HathiTrust Record</v>
      </c>
      <c r="AS439" s="6" t="str">
        <f>HYPERLINK("https://creighton-primo.hosted.exlibrisgroup.com/primo-explore/search?tab=default_tab&amp;search_scope=EVERYTHING&amp;vid=01CRU&amp;lang=en_US&amp;offset=0&amp;query=any,contains,991000813719702656","Catalog Record")</f>
        <v>Catalog Record</v>
      </c>
      <c r="AT439" s="6" t="str">
        <f>HYPERLINK("http://www.worldcat.org/oclc/13333955","WorldCat Record")</f>
        <v>WorldCat Record</v>
      </c>
      <c r="AU439" s="3" t="s">
        <v>5238</v>
      </c>
      <c r="AV439" s="3" t="s">
        <v>5239</v>
      </c>
      <c r="AW439" s="3" t="s">
        <v>5240</v>
      </c>
      <c r="AX439" s="3" t="s">
        <v>5240</v>
      </c>
      <c r="AY439" s="3" t="s">
        <v>5241</v>
      </c>
      <c r="AZ439" s="3" t="s">
        <v>74</v>
      </c>
      <c r="BB439" s="3" t="s">
        <v>5242</v>
      </c>
      <c r="BC439" s="3" t="s">
        <v>5243</v>
      </c>
      <c r="BD439" s="3" t="s">
        <v>5244</v>
      </c>
    </row>
    <row r="440" spans="1:56" ht="57.75" customHeight="1" x14ac:dyDescent="0.25">
      <c r="A440" s="7" t="s">
        <v>59</v>
      </c>
      <c r="B440" s="2" t="s">
        <v>5245</v>
      </c>
      <c r="C440" s="2" t="s">
        <v>5246</v>
      </c>
      <c r="D440" s="2" t="s">
        <v>5247</v>
      </c>
      <c r="F440" s="3" t="s">
        <v>59</v>
      </c>
      <c r="G440" s="3" t="s">
        <v>60</v>
      </c>
      <c r="H440" s="3" t="s">
        <v>59</v>
      </c>
      <c r="I440" s="3" t="s">
        <v>59</v>
      </c>
      <c r="J440" s="3" t="s">
        <v>61</v>
      </c>
      <c r="K440" s="2" t="s">
        <v>5248</v>
      </c>
      <c r="L440" s="2" t="s">
        <v>5249</v>
      </c>
      <c r="M440" s="3" t="s">
        <v>4175</v>
      </c>
      <c r="O440" s="3" t="s">
        <v>64</v>
      </c>
      <c r="P440" s="3" t="s">
        <v>2480</v>
      </c>
      <c r="Q440" s="2" t="s">
        <v>2937</v>
      </c>
      <c r="R440" s="3" t="s">
        <v>67</v>
      </c>
      <c r="S440" s="4">
        <v>2</v>
      </c>
      <c r="T440" s="4">
        <v>2</v>
      </c>
      <c r="U440" s="5" t="s">
        <v>5250</v>
      </c>
      <c r="V440" s="5" t="s">
        <v>5250</v>
      </c>
      <c r="W440" s="5" t="s">
        <v>2452</v>
      </c>
      <c r="X440" s="5" t="s">
        <v>2452</v>
      </c>
      <c r="Y440" s="4">
        <v>1099</v>
      </c>
      <c r="Z440" s="4">
        <v>972</v>
      </c>
      <c r="AA440" s="4">
        <v>1041</v>
      </c>
      <c r="AB440" s="4">
        <v>9</v>
      </c>
      <c r="AC440" s="4">
        <v>9</v>
      </c>
      <c r="AD440" s="4">
        <v>33</v>
      </c>
      <c r="AE440" s="4">
        <v>35</v>
      </c>
      <c r="AF440" s="4">
        <v>11</v>
      </c>
      <c r="AG440" s="4">
        <v>11</v>
      </c>
      <c r="AH440" s="4">
        <v>3</v>
      </c>
      <c r="AI440" s="4">
        <v>3</v>
      </c>
      <c r="AJ440" s="4">
        <v>18</v>
      </c>
      <c r="AK440" s="4">
        <v>20</v>
      </c>
      <c r="AL440" s="4">
        <v>7</v>
      </c>
      <c r="AM440" s="4">
        <v>7</v>
      </c>
      <c r="AN440" s="4">
        <v>0</v>
      </c>
      <c r="AO440" s="4">
        <v>0</v>
      </c>
      <c r="AP440" s="3" t="s">
        <v>69</v>
      </c>
      <c r="AQ440" s="3" t="s">
        <v>59</v>
      </c>
      <c r="AR440" s="6" t="str">
        <f>HYPERLINK("http://catalog.hathitrust.org/Record/001500048","HathiTrust Record")</f>
        <v>HathiTrust Record</v>
      </c>
      <c r="AS440" s="6" t="str">
        <f>HYPERLINK("https://creighton-primo.hosted.exlibrisgroup.com/primo-explore/search?tab=default_tab&amp;search_scope=EVERYTHING&amp;vid=01CRU&amp;lang=en_US&amp;offset=0&amp;query=any,contains,991001232109702656","Catalog Record")</f>
        <v>Catalog Record</v>
      </c>
      <c r="AT440" s="6" t="str">
        <f>HYPERLINK("http://www.worldcat.org/oclc/203882","WorldCat Record")</f>
        <v>WorldCat Record</v>
      </c>
      <c r="AU440" s="3" t="s">
        <v>5251</v>
      </c>
      <c r="AV440" s="3" t="s">
        <v>5252</v>
      </c>
      <c r="AW440" s="3" t="s">
        <v>5253</v>
      </c>
      <c r="AX440" s="3" t="s">
        <v>5253</v>
      </c>
      <c r="AY440" s="3" t="s">
        <v>5254</v>
      </c>
      <c r="AZ440" s="3" t="s">
        <v>74</v>
      </c>
      <c r="BC440" s="3" t="s">
        <v>5255</v>
      </c>
      <c r="BD440" s="3" t="s">
        <v>5256</v>
      </c>
    </row>
    <row r="441" spans="1:56" ht="57.75" customHeight="1" x14ac:dyDescent="0.25">
      <c r="A441" s="7" t="s">
        <v>59</v>
      </c>
      <c r="B441" s="2" t="s">
        <v>5257</v>
      </c>
      <c r="C441" s="2" t="s">
        <v>5258</v>
      </c>
      <c r="D441" s="2" t="s">
        <v>5259</v>
      </c>
      <c r="F441" s="3" t="s">
        <v>59</v>
      </c>
      <c r="G441" s="3" t="s">
        <v>60</v>
      </c>
      <c r="H441" s="3" t="s">
        <v>59</v>
      </c>
      <c r="I441" s="3" t="s">
        <v>59</v>
      </c>
      <c r="J441" s="3" t="s">
        <v>61</v>
      </c>
      <c r="K441" s="2" t="s">
        <v>5260</v>
      </c>
      <c r="L441" s="2" t="s">
        <v>5261</v>
      </c>
      <c r="M441" s="3" t="s">
        <v>1852</v>
      </c>
      <c r="O441" s="3" t="s">
        <v>64</v>
      </c>
      <c r="P441" s="3" t="s">
        <v>467</v>
      </c>
      <c r="R441" s="3" t="s">
        <v>67</v>
      </c>
      <c r="S441" s="4">
        <v>10</v>
      </c>
      <c r="T441" s="4">
        <v>10</v>
      </c>
      <c r="U441" s="5" t="s">
        <v>2061</v>
      </c>
      <c r="V441" s="5" t="s">
        <v>2061</v>
      </c>
      <c r="W441" s="5" t="s">
        <v>5262</v>
      </c>
      <c r="X441" s="5" t="s">
        <v>5262</v>
      </c>
      <c r="Y441" s="4">
        <v>509</v>
      </c>
      <c r="Z441" s="4">
        <v>484</v>
      </c>
      <c r="AA441" s="4">
        <v>530</v>
      </c>
      <c r="AB441" s="4">
        <v>5</v>
      </c>
      <c r="AC441" s="4">
        <v>5</v>
      </c>
      <c r="AD441" s="4">
        <v>11</v>
      </c>
      <c r="AE441" s="4">
        <v>11</v>
      </c>
      <c r="AF441" s="4">
        <v>3</v>
      </c>
      <c r="AG441" s="4">
        <v>3</v>
      </c>
      <c r="AH441" s="4">
        <v>2</v>
      </c>
      <c r="AI441" s="4">
        <v>2</v>
      </c>
      <c r="AJ441" s="4">
        <v>3</v>
      </c>
      <c r="AK441" s="4">
        <v>3</v>
      </c>
      <c r="AL441" s="4">
        <v>3</v>
      </c>
      <c r="AM441" s="4">
        <v>3</v>
      </c>
      <c r="AN441" s="4">
        <v>0</v>
      </c>
      <c r="AO441" s="4">
        <v>0</v>
      </c>
      <c r="AP441" s="3" t="s">
        <v>59</v>
      </c>
      <c r="AQ441" s="3" t="s">
        <v>59</v>
      </c>
      <c r="AR441" s="6" t="str">
        <f>HYPERLINK("http://catalog.hathitrust.org/Record/002012540","HathiTrust Record")</f>
        <v>HathiTrust Record</v>
      </c>
      <c r="AS441" s="6" t="str">
        <f>HYPERLINK("https://creighton-primo.hosted.exlibrisgroup.com/primo-explore/search?tab=default_tab&amp;search_scope=EVERYTHING&amp;vid=01CRU&amp;lang=en_US&amp;offset=0&amp;query=any,contains,991002229819702656","Catalog Record")</f>
        <v>Catalog Record</v>
      </c>
      <c r="AT441" s="6" t="str">
        <f>HYPERLINK("http://www.worldcat.org/oclc/293571","WorldCat Record")</f>
        <v>WorldCat Record</v>
      </c>
      <c r="AU441" s="3" t="s">
        <v>5263</v>
      </c>
      <c r="AV441" s="3" t="s">
        <v>5264</v>
      </c>
      <c r="AW441" s="3" t="s">
        <v>5265</v>
      </c>
      <c r="AX441" s="3" t="s">
        <v>5265</v>
      </c>
      <c r="AY441" s="3" t="s">
        <v>5266</v>
      </c>
      <c r="AZ441" s="3" t="s">
        <v>74</v>
      </c>
      <c r="BC441" s="3" t="s">
        <v>5267</v>
      </c>
      <c r="BD441" s="3" t="s">
        <v>5268</v>
      </c>
    </row>
    <row r="442" spans="1:56" ht="57.75" customHeight="1" x14ac:dyDescent="0.25">
      <c r="A442" s="7" t="s">
        <v>59</v>
      </c>
      <c r="B442" s="2" t="s">
        <v>5269</v>
      </c>
      <c r="C442" s="2" t="s">
        <v>5270</v>
      </c>
      <c r="D442" s="2" t="s">
        <v>5271</v>
      </c>
      <c r="F442" s="3" t="s">
        <v>59</v>
      </c>
      <c r="G442" s="3" t="s">
        <v>60</v>
      </c>
      <c r="H442" s="3" t="s">
        <v>59</v>
      </c>
      <c r="I442" s="3" t="s">
        <v>59</v>
      </c>
      <c r="J442" s="3" t="s">
        <v>61</v>
      </c>
      <c r="L442" s="2" t="s">
        <v>5272</v>
      </c>
      <c r="M442" s="3" t="s">
        <v>3095</v>
      </c>
      <c r="O442" s="3" t="s">
        <v>64</v>
      </c>
      <c r="P442" s="3" t="s">
        <v>467</v>
      </c>
      <c r="R442" s="3" t="s">
        <v>67</v>
      </c>
      <c r="S442" s="4">
        <v>12</v>
      </c>
      <c r="T442" s="4">
        <v>12</v>
      </c>
      <c r="U442" s="5" t="s">
        <v>5273</v>
      </c>
      <c r="V442" s="5" t="s">
        <v>5273</v>
      </c>
      <c r="W442" s="5" t="s">
        <v>543</v>
      </c>
      <c r="X442" s="5" t="s">
        <v>543</v>
      </c>
      <c r="Y442" s="4">
        <v>770</v>
      </c>
      <c r="Z442" s="4">
        <v>733</v>
      </c>
      <c r="AA442" s="4">
        <v>750</v>
      </c>
      <c r="AB442" s="4">
        <v>7</v>
      </c>
      <c r="AC442" s="4">
        <v>7</v>
      </c>
      <c r="AD442" s="4">
        <v>1</v>
      </c>
      <c r="AE442" s="4">
        <v>3</v>
      </c>
      <c r="AF442" s="4">
        <v>0</v>
      </c>
      <c r="AG442" s="4">
        <v>1</v>
      </c>
      <c r="AH442" s="4">
        <v>0</v>
      </c>
      <c r="AI442" s="4">
        <v>1</v>
      </c>
      <c r="AJ442" s="4">
        <v>0</v>
      </c>
      <c r="AK442" s="4">
        <v>0</v>
      </c>
      <c r="AL442" s="4">
        <v>1</v>
      </c>
      <c r="AM442" s="4">
        <v>1</v>
      </c>
      <c r="AN442" s="4">
        <v>0</v>
      </c>
      <c r="AO442" s="4">
        <v>0</v>
      </c>
      <c r="AP442" s="3" t="s">
        <v>59</v>
      </c>
      <c r="AQ442" s="3" t="s">
        <v>69</v>
      </c>
      <c r="AR442" s="6" t="str">
        <f>HYPERLINK("http://catalog.hathitrust.org/Record/008450489","HathiTrust Record")</f>
        <v>HathiTrust Record</v>
      </c>
      <c r="AS442" s="6" t="str">
        <f>HYPERLINK("https://creighton-primo.hosted.exlibrisgroup.com/primo-explore/search?tab=default_tab&amp;search_scope=EVERYTHING&amp;vid=01CRU&amp;lang=en_US&amp;offset=0&amp;query=any,contains,991003883289702656","Catalog Record")</f>
        <v>Catalog Record</v>
      </c>
      <c r="AT442" s="6" t="str">
        <f>HYPERLINK("http://www.worldcat.org/oclc/1733198","WorldCat Record")</f>
        <v>WorldCat Record</v>
      </c>
      <c r="AU442" s="3" t="s">
        <v>5274</v>
      </c>
      <c r="AV442" s="3" t="s">
        <v>5275</v>
      </c>
      <c r="AW442" s="3" t="s">
        <v>5276</v>
      </c>
      <c r="AX442" s="3" t="s">
        <v>5276</v>
      </c>
      <c r="AY442" s="3" t="s">
        <v>5277</v>
      </c>
      <c r="AZ442" s="3" t="s">
        <v>74</v>
      </c>
      <c r="BC442" s="3" t="s">
        <v>5278</v>
      </c>
      <c r="BD442" s="3" t="s">
        <v>5279</v>
      </c>
    </row>
    <row r="443" spans="1:56" ht="57.75" customHeight="1" x14ac:dyDescent="0.25">
      <c r="A443" s="7" t="s">
        <v>59</v>
      </c>
      <c r="B443" s="2" t="s">
        <v>5280</v>
      </c>
      <c r="C443" s="2" t="s">
        <v>5281</v>
      </c>
      <c r="D443" s="2" t="s">
        <v>5282</v>
      </c>
      <c r="F443" s="3" t="s">
        <v>59</v>
      </c>
      <c r="G443" s="3" t="s">
        <v>60</v>
      </c>
      <c r="H443" s="3" t="s">
        <v>59</v>
      </c>
      <c r="I443" s="3" t="s">
        <v>59</v>
      </c>
      <c r="J443" s="3" t="s">
        <v>61</v>
      </c>
      <c r="K443" s="2" t="s">
        <v>5283</v>
      </c>
      <c r="L443" s="2" t="s">
        <v>5284</v>
      </c>
      <c r="M443" s="3" t="s">
        <v>738</v>
      </c>
      <c r="O443" s="3" t="s">
        <v>64</v>
      </c>
      <c r="P443" s="3" t="s">
        <v>467</v>
      </c>
      <c r="R443" s="3" t="s">
        <v>67</v>
      </c>
      <c r="S443" s="4">
        <v>10</v>
      </c>
      <c r="T443" s="4">
        <v>10</v>
      </c>
      <c r="U443" s="5" t="s">
        <v>5285</v>
      </c>
      <c r="V443" s="5" t="s">
        <v>5285</v>
      </c>
      <c r="W443" s="5" t="s">
        <v>5286</v>
      </c>
      <c r="X443" s="5" t="s">
        <v>5286</v>
      </c>
      <c r="Y443" s="4">
        <v>768</v>
      </c>
      <c r="Z443" s="4">
        <v>714</v>
      </c>
      <c r="AA443" s="4">
        <v>729</v>
      </c>
      <c r="AB443" s="4">
        <v>8</v>
      </c>
      <c r="AC443" s="4">
        <v>9</v>
      </c>
      <c r="AD443" s="4">
        <v>4</v>
      </c>
      <c r="AE443" s="4">
        <v>4</v>
      </c>
      <c r="AF443" s="4">
        <v>1</v>
      </c>
      <c r="AG443" s="4">
        <v>1</v>
      </c>
      <c r="AH443" s="4">
        <v>2</v>
      </c>
      <c r="AI443" s="4">
        <v>2</v>
      </c>
      <c r="AJ443" s="4">
        <v>1</v>
      </c>
      <c r="AK443" s="4">
        <v>1</v>
      </c>
      <c r="AL443" s="4">
        <v>1</v>
      </c>
      <c r="AM443" s="4">
        <v>1</v>
      </c>
      <c r="AN443" s="4">
        <v>0</v>
      </c>
      <c r="AO443" s="4">
        <v>0</v>
      </c>
      <c r="AP443" s="3" t="s">
        <v>59</v>
      </c>
      <c r="AQ443" s="3" t="s">
        <v>59</v>
      </c>
      <c r="AS443" s="6" t="str">
        <f>HYPERLINK("https://creighton-primo.hosted.exlibrisgroup.com/primo-explore/search?tab=default_tab&amp;search_scope=EVERYTHING&amp;vid=01CRU&amp;lang=en_US&amp;offset=0&amp;query=any,contains,991003178239702656","Catalog Record")</f>
        <v>Catalog Record</v>
      </c>
      <c r="AT443" s="6" t="str">
        <f>HYPERLINK("http://www.worldcat.org/oclc/711196","WorldCat Record")</f>
        <v>WorldCat Record</v>
      </c>
      <c r="AU443" s="3" t="s">
        <v>5287</v>
      </c>
      <c r="AV443" s="3" t="s">
        <v>5288</v>
      </c>
      <c r="AW443" s="3" t="s">
        <v>5289</v>
      </c>
      <c r="AX443" s="3" t="s">
        <v>5289</v>
      </c>
      <c r="AY443" s="3" t="s">
        <v>5290</v>
      </c>
      <c r="AZ443" s="3" t="s">
        <v>74</v>
      </c>
      <c r="BC443" s="3" t="s">
        <v>5291</v>
      </c>
      <c r="BD443" s="3" t="s">
        <v>5292</v>
      </c>
    </row>
    <row r="444" spans="1:56" ht="57.75" customHeight="1" x14ac:dyDescent="0.25">
      <c r="A444" s="7" t="s">
        <v>59</v>
      </c>
      <c r="B444" s="2" t="s">
        <v>5293</v>
      </c>
      <c r="C444" s="2" t="s">
        <v>5294</v>
      </c>
      <c r="D444" s="2" t="s">
        <v>5295</v>
      </c>
      <c r="F444" s="3" t="s">
        <v>59</v>
      </c>
      <c r="G444" s="3" t="s">
        <v>60</v>
      </c>
      <c r="H444" s="3" t="s">
        <v>59</v>
      </c>
      <c r="I444" s="3" t="s">
        <v>59</v>
      </c>
      <c r="J444" s="3" t="s">
        <v>61</v>
      </c>
      <c r="K444" s="2" t="s">
        <v>5296</v>
      </c>
      <c r="L444" s="2" t="s">
        <v>5297</v>
      </c>
      <c r="M444" s="3" t="s">
        <v>297</v>
      </c>
      <c r="O444" s="3" t="s">
        <v>64</v>
      </c>
      <c r="P444" s="3" t="s">
        <v>467</v>
      </c>
      <c r="R444" s="3" t="s">
        <v>67</v>
      </c>
      <c r="S444" s="4">
        <v>5</v>
      </c>
      <c r="T444" s="4">
        <v>5</v>
      </c>
      <c r="U444" s="5" t="s">
        <v>5298</v>
      </c>
      <c r="V444" s="5" t="s">
        <v>5298</v>
      </c>
      <c r="W444" s="5" t="s">
        <v>5299</v>
      </c>
      <c r="X444" s="5" t="s">
        <v>5299</v>
      </c>
      <c r="Y444" s="4">
        <v>344</v>
      </c>
      <c r="Z444" s="4">
        <v>326</v>
      </c>
      <c r="AA444" s="4">
        <v>1085</v>
      </c>
      <c r="AB444" s="4">
        <v>2</v>
      </c>
      <c r="AC444" s="4">
        <v>4</v>
      </c>
      <c r="AD444" s="4">
        <v>8</v>
      </c>
      <c r="AE444" s="4">
        <v>27</v>
      </c>
      <c r="AF444" s="4">
        <v>4</v>
      </c>
      <c r="AG444" s="4">
        <v>16</v>
      </c>
      <c r="AH444" s="4">
        <v>1</v>
      </c>
      <c r="AI444" s="4">
        <v>5</v>
      </c>
      <c r="AJ444" s="4">
        <v>4</v>
      </c>
      <c r="AK444" s="4">
        <v>11</v>
      </c>
      <c r="AL444" s="4">
        <v>1</v>
      </c>
      <c r="AM444" s="4">
        <v>2</v>
      </c>
      <c r="AN444" s="4">
        <v>0</v>
      </c>
      <c r="AO444" s="4">
        <v>0</v>
      </c>
      <c r="AP444" s="3" t="s">
        <v>59</v>
      </c>
      <c r="AQ444" s="3" t="s">
        <v>59</v>
      </c>
      <c r="AS444" s="6" t="str">
        <f>HYPERLINK("https://creighton-primo.hosted.exlibrisgroup.com/primo-explore/search?tab=default_tab&amp;search_scope=EVERYTHING&amp;vid=01CRU&amp;lang=en_US&amp;offset=0&amp;query=any,contains,991003352299702656","Catalog Record")</f>
        <v>Catalog Record</v>
      </c>
      <c r="AT444" s="6" t="str">
        <f>HYPERLINK("http://www.worldcat.org/oclc/42290996","WorldCat Record")</f>
        <v>WorldCat Record</v>
      </c>
      <c r="AU444" s="3" t="s">
        <v>5300</v>
      </c>
      <c r="AV444" s="3" t="s">
        <v>5301</v>
      </c>
      <c r="AW444" s="3" t="s">
        <v>5302</v>
      </c>
      <c r="AX444" s="3" t="s">
        <v>5302</v>
      </c>
      <c r="AY444" s="3" t="s">
        <v>5303</v>
      </c>
      <c r="AZ444" s="3" t="s">
        <v>74</v>
      </c>
      <c r="BB444" s="3" t="s">
        <v>5304</v>
      </c>
      <c r="BC444" s="3" t="s">
        <v>5305</v>
      </c>
      <c r="BD444" s="3" t="s">
        <v>5306</v>
      </c>
    </row>
    <row r="445" spans="1:56" ht="57.75" customHeight="1" x14ac:dyDescent="0.25">
      <c r="A445" s="7" t="s">
        <v>59</v>
      </c>
      <c r="B445" s="2" t="s">
        <v>5307</v>
      </c>
      <c r="C445" s="2" t="s">
        <v>5308</v>
      </c>
      <c r="D445" s="2" t="s">
        <v>5309</v>
      </c>
      <c r="F445" s="3" t="s">
        <v>59</v>
      </c>
      <c r="G445" s="3" t="s">
        <v>60</v>
      </c>
      <c r="H445" s="3" t="s">
        <v>59</v>
      </c>
      <c r="I445" s="3" t="s">
        <v>59</v>
      </c>
      <c r="J445" s="3" t="s">
        <v>61</v>
      </c>
      <c r="L445" s="2" t="s">
        <v>5310</v>
      </c>
      <c r="M445" s="3" t="s">
        <v>670</v>
      </c>
      <c r="O445" s="3" t="s">
        <v>64</v>
      </c>
      <c r="P445" s="3" t="s">
        <v>405</v>
      </c>
      <c r="R445" s="3" t="s">
        <v>67</v>
      </c>
      <c r="S445" s="4">
        <v>18</v>
      </c>
      <c r="T445" s="4">
        <v>18</v>
      </c>
      <c r="U445" s="5" t="s">
        <v>5298</v>
      </c>
      <c r="V445" s="5" t="s">
        <v>5298</v>
      </c>
      <c r="W445" s="5" t="s">
        <v>5311</v>
      </c>
      <c r="X445" s="5" t="s">
        <v>5311</v>
      </c>
      <c r="Y445" s="4">
        <v>327</v>
      </c>
      <c r="Z445" s="4">
        <v>253</v>
      </c>
      <c r="AA445" s="4">
        <v>273</v>
      </c>
      <c r="AB445" s="4">
        <v>3</v>
      </c>
      <c r="AC445" s="4">
        <v>3</v>
      </c>
      <c r="AD445" s="4">
        <v>8</v>
      </c>
      <c r="AE445" s="4">
        <v>8</v>
      </c>
      <c r="AF445" s="4">
        <v>1</v>
      </c>
      <c r="AG445" s="4">
        <v>1</v>
      </c>
      <c r="AH445" s="4">
        <v>3</v>
      </c>
      <c r="AI445" s="4">
        <v>3</v>
      </c>
      <c r="AJ445" s="4">
        <v>4</v>
      </c>
      <c r="AK445" s="4">
        <v>4</v>
      </c>
      <c r="AL445" s="4">
        <v>2</v>
      </c>
      <c r="AM445" s="4">
        <v>2</v>
      </c>
      <c r="AN445" s="4">
        <v>0</v>
      </c>
      <c r="AO445" s="4">
        <v>0</v>
      </c>
      <c r="AP445" s="3" t="s">
        <v>59</v>
      </c>
      <c r="AQ445" s="3" t="s">
        <v>69</v>
      </c>
      <c r="AR445" s="6" t="str">
        <f>HYPERLINK("http://catalog.hathitrust.org/Record/000107655","HathiTrust Record")</f>
        <v>HathiTrust Record</v>
      </c>
      <c r="AS445" s="6" t="str">
        <f>HYPERLINK("https://creighton-primo.hosted.exlibrisgroup.com/primo-explore/search?tab=default_tab&amp;search_scope=EVERYTHING&amp;vid=01CRU&amp;lang=en_US&amp;offset=0&amp;query=any,contains,991005224069702656","Catalog Record")</f>
        <v>Catalog Record</v>
      </c>
      <c r="AT445" s="6" t="str">
        <f>HYPERLINK("http://www.worldcat.org/oclc/8268337","WorldCat Record")</f>
        <v>WorldCat Record</v>
      </c>
      <c r="AU445" s="3" t="s">
        <v>5312</v>
      </c>
      <c r="AV445" s="3" t="s">
        <v>5313</v>
      </c>
      <c r="AW445" s="3" t="s">
        <v>5314</v>
      </c>
      <c r="AX445" s="3" t="s">
        <v>5314</v>
      </c>
      <c r="AY445" s="3" t="s">
        <v>5315</v>
      </c>
      <c r="AZ445" s="3" t="s">
        <v>74</v>
      </c>
      <c r="BB445" s="3" t="s">
        <v>5316</v>
      </c>
      <c r="BC445" s="3" t="s">
        <v>5317</v>
      </c>
      <c r="BD445" s="3" t="s">
        <v>5318</v>
      </c>
    </row>
    <row r="446" spans="1:56" ht="57.75" customHeight="1" x14ac:dyDescent="0.25">
      <c r="A446" s="7" t="s">
        <v>59</v>
      </c>
      <c r="B446" s="2" t="s">
        <v>5319</v>
      </c>
      <c r="C446" s="2" t="s">
        <v>5320</v>
      </c>
      <c r="D446" s="2" t="s">
        <v>5321</v>
      </c>
      <c r="F446" s="3" t="s">
        <v>59</v>
      </c>
      <c r="G446" s="3" t="s">
        <v>60</v>
      </c>
      <c r="H446" s="3" t="s">
        <v>59</v>
      </c>
      <c r="I446" s="3" t="s">
        <v>59</v>
      </c>
      <c r="J446" s="3" t="s">
        <v>61</v>
      </c>
      <c r="L446" s="2" t="s">
        <v>5322</v>
      </c>
      <c r="M446" s="3" t="s">
        <v>1757</v>
      </c>
      <c r="O446" s="3" t="s">
        <v>64</v>
      </c>
      <c r="P446" s="3" t="s">
        <v>405</v>
      </c>
      <c r="R446" s="3" t="s">
        <v>67</v>
      </c>
      <c r="S446" s="4">
        <v>5</v>
      </c>
      <c r="T446" s="4">
        <v>5</v>
      </c>
      <c r="U446" s="5" t="s">
        <v>4927</v>
      </c>
      <c r="V446" s="5" t="s">
        <v>4927</v>
      </c>
      <c r="W446" s="5" t="s">
        <v>3787</v>
      </c>
      <c r="X446" s="5" t="s">
        <v>3787</v>
      </c>
      <c r="Y446" s="4">
        <v>181</v>
      </c>
      <c r="Z446" s="4">
        <v>120</v>
      </c>
      <c r="AA446" s="4">
        <v>120</v>
      </c>
      <c r="AB446" s="4">
        <v>2</v>
      </c>
      <c r="AC446" s="4">
        <v>2</v>
      </c>
      <c r="AD446" s="4">
        <v>5</v>
      </c>
      <c r="AE446" s="4">
        <v>5</v>
      </c>
      <c r="AF446" s="4">
        <v>0</v>
      </c>
      <c r="AG446" s="4">
        <v>0</v>
      </c>
      <c r="AH446" s="4">
        <v>1</v>
      </c>
      <c r="AI446" s="4">
        <v>1</v>
      </c>
      <c r="AJ446" s="4">
        <v>3</v>
      </c>
      <c r="AK446" s="4">
        <v>3</v>
      </c>
      <c r="AL446" s="4">
        <v>1</v>
      </c>
      <c r="AM446" s="4">
        <v>1</v>
      </c>
      <c r="AN446" s="4">
        <v>0</v>
      </c>
      <c r="AO446" s="4">
        <v>0</v>
      </c>
      <c r="AP446" s="3" t="s">
        <v>59</v>
      </c>
      <c r="AQ446" s="3" t="s">
        <v>59</v>
      </c>
      <c r="AS446" s="6" t="str">
        <f>HYPERLINK("https://creighton-primo.hosted.exlibrisgroup.com/primo-explore/search?tab=default_tab&amp;search_scope=EVERYTHING&amp;vid=01CRU&amp;lang=en_US&amp;offset=0&amp;query=any,contains,991002734909702656","Catalog Record")</f>
        <v>Catalog Record</v>
      </c>
      <c r="AT446" s="6" t="str">
        <f>HYPERLINK("http://www.worldcat.org/oclc/35886135","WorldCat Record")</f>
        <v>WorldCat Record</v>
      </c>
      <c r="AU446" s="3" t="s">
        <v>5323</v>
      </c>
      <c r="AV446" s="3" t="s">
        <v>5324</v>
      </c>
      <c r="AW446" s="3" t="s">
        <v>5325</v>
      </c>
      <c r="AX446" s="3" t="s">
        <v>5325</v>
      </c>
      <c r="AY446" s="3" t="s">
        <v>5326</v>
      </c>
      <c r="AZ446" s="3" t="s">
        <v>74</v>
      </c>
      <c r="BB446" s="3" t="s">
        <v>5327</v>
      </c>
      <c r="BC446" s="3" t="s">
        <v>5328</v>
      </c>
      <c r="BD446" s="3" t="s">
        <v>5329</v>
      </c>
    </row>
    <row r="447" spans="1:56" ht="57.75" customHeight="1" x14ac:dyDescent="0.25">
      <c r="A447" s="7" t="s">
        <v>59</v>
      </c>
      <c r="B447" s="2" t="s">
        <v>5330</v>
      </c>
      <c r="C447" s="2" t="s">
        <v>5331</v>
      </c>
      <c r="D447" s="2" t="s">
        <v>5332</v>
      </c>
      <c r="F447" s="3" t="s">
        <v>59</v>
      </c>
      <c r="G447" s="3" t="s">
        <v>60</v>
      </c>
      <c r="H447" s="3" t="s">
        <v>59</v>
      </c>
      <c r="I447" s="3" t="s">
        <v>59</v>
      </c>
      <c r="J447" s="3" t="s">
        <v>61</v>
      </c>
      <c r="L447" s="2" t="s">
        <v>5333</v>
      </c>
      <c r="M447" s="3" t="s">
        <v>763</v>
      </c>
      <c r="O447" s="3" t="s">
        <v>64</v>
      </c>
      <c r="P447" s="3" t="s">
        <v>405</v>
      </c>
      <c r="Q447" s="2" t="s">
        <v>4717</v>
      </c>
      <c r="R447" s="3" t="s">
        <v>67</v>
      </c>
      <c r="S447" s="4">
        <v>12</v>
      </c>
      <c r="T447" s="4">
        <v>12</v>
      </c>
      <c r="U447" s="5" t="s">
        <v>3981</v>
      </c>
      <c r="V447" s="5" t="s">
        <v>3981</v>
      </c>
      <c r="W447" s="5" t="s">
        <v>4507</v>
      </c>
      <c r="X447" s="5" t="s">
        <v>4507</v>
      </c>
      <c r="Y447" s="4">
        <v>136</v>
      </c>
      <c r="Z447" s="4">
        <v>83</v>
      </c>
      <c r="AA447" s="4">
        <v>87</v>
      </c>
      <c r="AB447" s="4">
        <v>1</v>
      </c>
      <c r="AC447" s="4">
        <v>1</v>
      </c>
      <c r="AD447" s="4">
        <v>1</v>
      </c>
      <c r="AE447" s="4">
        <v>1</v>
      </c>
      <c r="AF447" s="4">
        <v>0</v>
      </c>
      <c r="AG447" s="4">
        <v>0</v>
      </c>
      <c r="AH447" s="4">
        <v>1</v>
      </c>
      <c r="AI447" s="4">
        <v>1</v>
      </c>
      <c r="AJ447" s="4">
        <v>1</v>
      </c>
      <c r="AK447" s="4">
        <v>1</v>
      </c>
      <c r="AL447" s="4">
        <v>0</v>
      </c>
      <c r="AM447" s="4">
        <v>0</v>
      </c>
      <c r="AN447" s="4">
        <v>0</v>
      </c>
      <c r="AO447" s="4">
        <v>0</v>
      </c>
      <c r="AP447" s="3" t="s">
        <v>59</v>
      </c>
      <c r="AQ447" s="3" t="s">
        <v>69</v>
      </c>
      <c r="AR447" s="6" t="str">
        <f>HYPERLINK("http://catalog.hathitrust.org/Record/000905227","HathiTrust Record")</f>
        <v>HathiTrust Record</v>
      </c>
      <c r="AS447" s="6" t="str">
        <f>HYPERLINK("https://creighton-primo.hosted.exlibrisgroup.com/primo-explore/search?tab=default_tab&amp;search_scope=EVERYTHING&amp;vid=01CRU&amp;lang=en_US&amp;offset=0&amp;query=any,contains,991001037989702656","Catalog Record")</f>
        <v>Catalog Record</v>
      </c>
      <c r="AT447" s="6" t="str">
        <f>HYPERLINK("http://www.worldcat.org/oclc/15550532","WorldCat Record")</f>
        <v>WorldCat Record</v>
      </c>
      <c r="AU447" s="3" t="s">
        <v>5334</v>
      </c>
      <c r="AV447" s="3" t="s">
        <v>5335</v>
      </c>
      <c r="AW447" s="3" t="s">
        <v>5336</v>
      </c>
      <c r="AX447" s="3" t="s">
        <v>5336</v>
      </c>
      <c r="AY447" s="3" t="s">
        <v>5337</v>
      </c>
      <c r="AZ447" s="3" t="s">
        <v>74</v>
      </c>
      <c r="BB447" s="3" t="s">
        <v>5338</v>
      </c>
      <c r="BC447" s="3" t="s">
        <v>5339</v>
      </c>
      <c r="BD447" s="3" t="s">
        <v>5340</v>
      </c>
    </row>
    <row r="448" spans="1:56" ht="57.75" customHeight="1" x14ac:dyDescent="0.25">
      <c r="A448" s="7" t="s">
        <v>59</v>
      </c>
      <c r="B448" s="2" t="s">
        <v>5341</v>
      </c>
      <c r="C448" s="2" t="s">
        <v>5342</v>
      </c>
      <c r="D448" s="2" t="s">
        <v>5343</v>
      </c>
      <c r="F448" s="3" t="s">
        <v>59</v>
      </c>
      <c r="G448" s="3" t="s">
        <v>60</v>
      </c>
      <c r="H448" s="3" t="s">
        <v>59</v>
      </c>
      <c r="I448" s="3" t="s">
        <v>59</v>
      </c>
      <c r="J448" s="3" t="s">
        <v>61</v>
      </c>
      <c r="L448" s="2" t="s">
        <v>5344</v>
      </c>
      <c r="M448" s="3" t="s">
        <v>2073</v>
      </c>
      <c r="O448" s="3" t="s">
        <v>64</v>
      </c>
      <c r="P448" s="3" t="s">
        <v>4538</v>
      </c>
      <c r="Q448" s="2" t="s">
        <v>5345</v>
      </c>
      <c r="R448" s="3" t="s">
        <v>67</v>
      </c>
      <c r="S448" s="4">
        <v>7</v>
      </c>
      <c r="T448" s="4">
        <v>7</v>
      </c>
      <c r="U448" s="5" t="s">
        <v>5346</v>
      </c>
      <c r="V448" s="5" t="s">
        <v>5346</v>
      </c>
      <c r="W448" s="5" t="s">
        <v>4507</v>
      </c>
      <c r="X448" s="5" t="s">
        <v>4507</v>
      </c>
      <c r="Y448" s="4">
        <v>173</v>
      </c>
      <c r="Z448" s="4">
        <v>127</v>
      </c>
      <c r="AA448" s="4">
        <v>131</v>
      </c>
      <c r="AB448" s="4">
        <v>2</v>
      </c>
      <c r="AC448" s="4">
        <v>2</v>
      </c>
      <c r="AD448" s="4">
        <v>4</v>
      </c>
      <c r="AE448" s="4">
        <v>4</v>
      </c>
      <c r="AF448" s="4">
        <v>1</v>
      </c>
      <c r="AG448" s="4">
        <v>1</v>
      </c>
      <c r="AH448" s="4">
        <v>2</v>
      </c>
      <c r="AI448" s="4">
        <v>2</v>
      </c>
      <c r="AJ448" s="4">
        <v>2</v>
      </c>
      <c r="AK448" s="4">
        <v>2</v>
      </c>
      <c r="AL448" s="4">
        <v>1</v>
      </c>
      <c r="AM448" s="4">
        <v>1</v>
      </c>
      <c r="AN448" s="4">
        <v>0</v>
      </c>
      <c r="AO448" s="4">
        <v>0</v>
      </c>
      <c r="AP448" s="3" t="s">
        <v>59</v>
      </c>
      <c r="AQ448" s="3" t="s">
        <v>69</v>
      </c>
      <c r="AR448" s="6" t="str">
        <f>HYPERLINK("http://catalog.hathitrust.org/Record/000229670","HathiTrust Record")</f>
        <v>HathiTrust Record</v>
      </c>
      <c r="AS448" s="6" t="str">
        <f>HYPERLINK("https://creighton-primo.hosted.exlibrisgroup.com/primo-explore/search?tab=default_tab&amp;search_scope=EVERYTHING&amp;vid=01CRU&amp;lang=en_US&amp;offset=0&amp;query=any,contains,991000161219702656","Catalog Record")</f>
        <v>Catalog Record</v>
      </c>
      <c r="AT448" s="6" t="str">
        <f>HYPERLINK("http://www.worldcat.org/oclc/9274647","WorldCat Record")</f>
        <v>WorldCat Record</v>
      </c>
      <c r="AU448" s="3" t="s">
        <v>5347</v>
      </c>
      <c r="AV448" s="3" t="s">
        <v>5348</v>
      </c>
      <c r="AW448" s="3" t="s">
        <v>5349</v>
      </c>
      <c r="AX448" s="3" t="s">
        <v>5349</v>
      </c>
      <c r="AY448" s="3" t="s">
        <v>5350</v>
      </c>
      <c r="AZ448" s="3" t="s">
        <v>74</v>
      </c>
      <c r="BB448" s="3" t="s">
        <v>5351</v>
      </c>
      <c r="BC448" s="3" t="s">
        <v>5352</v>
      </c>
      <c r="BD448" s="3" t="s">
        <v>5353</v>
      </c>
    </row>
    <row r="449" spans="1:56" ht="57.75" customHeight="1" x14ac:dyDescent="0.25">
      <c r="A449" s="7" t="s">
        <v>59</v>
      </c>
      <c r="B449" s="2" t="s">
        <v>5354</v>
      </c>
      <c r="C449" s="2" t="s">
        <v>5355</v>
      </c>
      <c r="D449" s="2" t="s">
        <v>5356</v>
      </c>
      <c r="F449" s="3" t="s">
        <v>59</v>
      </c>
      <c r="G449" s="3" t="s">
        <v>60</v>
      </c>
      <c r="H449" s="3" t="s">
        <v>59</v>
      </c>
      <c r="I449" s="3" t="s">
        <v>59</v>
      </c>
      <c r="J449" s="3" t="s">
        <v>61</v>
      </c>
      <c r="K449" s="2" t="s">
        <v>5357</v>
      </c>
      <c r="L449" s="2" t="s">
        <v>5358</v>
      </c>
      <c r="M449" s="3" t="s">
        <v>2421</v>
      </c>
      <c r="O449" s="3" t="s">
        <v>64</v>
      </c>
      <c r="P449" s="3" t="s">
        <v>405</v>
      </c>
      <c r="R449" s="3" t="s">
        <v>67</v>
      </c>
      <c r="S449" s="4">
        <v>3</v>
      </c>
      <c r="T449" s="4">
        <v>3</v>
      </c>
      <c r="U449" s="5" t="s">
        <v>5359</v>
      </c>
      <c r="V449" s="5" t="s">
        <v>5359</v>
      </c>
      <c r="W449" s="5" t="s">
        <v>5360</v>
      </c>
      <c r="X449" s="5" t="s">
        <v>5360</v>
      </c>
      <c r="Y449" s="4">
        <v>79</v>
      </c>
      <c r="Z449" s="4">
        <v>28</v>
      </c>
      <c r="AA449" s="4">
        <v>37</v>
      </c>
      <c r="AB449" s="4">
        <v>1</v>
      </c>
      <c r="AC449" s="4">
        <v>1</v>
      </c>
      <c r="AD449" s="4">
        <v>0</v>
      </c>
      <c r="AE449" s="4">
        <v>0</v>
      </c>
      <c r="AF449" s="4">
        <v>0</v>
      </c>
      <c r="AG449" s="4">
        <v>0</v>
      </c>
      <c r="AH449" s="4">
        <v>0</v>
      </c>
      <c r="AI449" s="4">
        <v>0</v>
      </c>
      <c r="AJ449" s="4">
        <v>0</v>
      </c>
      <c r="AK449" s="4">
        <v>0</v>
      </c>
      <c r="AL449" s="4">
        <v>0</v>
      </c>
      <c r="AM449" s="4">
        <v>0</v>
      </c>
      <c r="AN449" s="4">
        <v>0</v>
      </c>
      <c r="AO449" s="4">
        <v>0</v>
      </c>
      <c r="AP449" s="3" t="s">
        <v>59</v>
      </c>
      <c r="AQ449" s="3" t="s">
        <v>69</v>
      </c>
      <c r="AR449" s="6" t="str">
        <f>HYPERLINK("http://catalog.hathitrust.org/Record/008556083","HathiTrust Record")</f>
        <v>HathiTrust Record</v>
      </c>
      <c r="AS449" s="6" t="str">
        <f>HYPERLINK("https://creighton-primo.hosted.exlibrisgroup.com/primo-explore/search?tab=default_tab&amp;search_scope=EVERYTHING&amp;vid=01CRU&amp;lang=en_US&amp;offset=0&amp;query=any,contains,991001361319702656","Catalog Record")</f>
        <v>Catalog Record</v>
      </c>
      <c r="AT449" s="6" t="str">
        <f>HYPERLINK("http://www.worldcat.org/oclc/24430718","WorldCat Record")</f>
        <v>WorldCat Record</v>
      </c>
      <c r="AU449" s="3" t="s">
        <v>5361</v>
      </c>
      <c r="AV449" s="3" t="s">
        <v>5362</v>
      </c>
      <c r="AW449" s="3" t="s">
        <v>5363</v>
      </c>
      <c r="AX449" s="3" t="s">
        <v>5363</v>
      </c>
      <c r="AY449" s="3" t="s">
        <v>5364</v>
      </c>
      <c r="AZ449" s="3" t="s">
        <v>74</v>
      </c>
      <c r="BB449" s="3" t="s">
        <v>5365</v>
      </c>
      <c r="BC449" s="3" t="s">
        <v>5366</v>
      </c>
      <c r="BD449" s="3" t="s">
        <v>5367</v>
      </c>
    </row>
    <row r="450" spans="1:56" ht="57.75" customHeight="1" x14ac:dyDescent="0.25">
      <c r="A450" s="7" t="s">
        <v>59</v>
      </c>
      <c r="B450" s="2" t="s">
        <v>5368</v>
      </c>
      <c r="C450" s="2" t="s">
        <v>5369</v>
      </c>
      <c r="D450" s="2" t="s">
        <v>5370</v>
      </c>
      <c r="F450" s="3" t="s">
        <v>59</v>
      </c>
      <c r="G450" s="3" t="s">
        <v>60</v>
      </c>
      <c r="H450" s="3" t="s">
        <v>59</v>
      </c>
      <c r="I450" s="3" t="s">
        <v>59</v>
      </c>
      <c r="J450" s="3" t="s">
        <v>61</v>
      </c>
      <c r="K450" s="2" t="s">
        <v>5371</v>
      </c>
      <c r="L450" s="2" t="s">
        <v>5372</v>
      </c>
      <c r="M450" s="3" t="s">
        <v>495</v>
      </c>
      <c r="O450" s="3" t="s">
        <v>64</v>
      </c>
      <c r="P450" s="3" t="s">
        <v>2726</v>
      </c>
      <c r="Q450" s="2" t="s">
        <v>5373</v>
      </c>
      <c r="R450" s="3" t="s">
        <v>67</v>
      </c>
      <c r="S450" s="4">
        <v>1</v>
      </c>
      <c r="T450" s="4">
        <v>1</v>
      </c>
      <c r="U450" s="5" t="s">
        <v>4251</v>
      </c>
      <c r="V450" s="5" t="s">
        <v>4251</v>
      </c>
      <c r="W450" s="5" t="s">
        <v>4507</v>
      </c>
      <c r="X450" s="5" t="s">
        <v>4507</v>
      </c>
      <c r="Y450" s="4">
        <v>54</v>
      </c>
      <c r="Z450" s="4">
        <v>35</v>
      </c>
      <c r="AA450" s="4">
        <v>36</v>
      </c>
      <c r="AB450" s="4">
        <v>1</v>
      </c>
      <c r="AC450" s="4">
        <v>1</v>
      </c>
      <c r="AD450" s="4">
        <v>0</v>
      </c>
      <c r="AE450" s="4">
        <v>0</v>
      </c>
      <c r="AF450" s="4">
        <v>0</v>
      </c>
      <c r="AG450" s="4">
        <v>0</v>
      </c>
      <c r="AH450" s="4">
        <v>0</v>
      </c>
      <c r="AI450" s="4">
        <v>0</v>
      </c>
      <c r="AJ450" s="4">
        <v>0</v>
      </c>
      <c r="AK450" s="4">
        <v>0</v>
      </c>
      <c r="AL450" s="4">
        <v>0</v>
      </c>
      <c r="AM450" s="4">
        <v>0</v>
      </c>
      <c r="AN450" s="4">
        <v>0</v>
      </c>
      <c r="AO450" s="4">
        <v>0</v>
      </c>
      <c r="AP450" s="3" t="s">
        <v>59</v>
      </c>
      <c r="AQ450" s="3" t="s">
        <v>59</v>
      </c>
      <c r="AS450" s="6" t="str">
        <f>HYPERLINK("https://creighton-primo.hosted.exlibrisgroup.com/primo-explore/search?tab=default_tab&amp;search_scope=EVERYTHING&amp;vid=01CRU&amp;lang=en_US&amp;offset=0&amp;query=any,contains,991000869819702656","Catalog Record")</f>
        <v>Catalog Record</v>
      </c>
      <c r="AT450" s="6" t="str">
        <f>HYPERLINK("http://www.worldcat.org/oclc/13786732","WorldCat Record")</f>
        <v>WorldCat Record</v>
      </c>
      <c r="AU450" s="3" t="s">
        <v>5374</v>
      </c>
      <c r="AV450" s="3" t="s">
        <v>5375</v>
      </c>
      <c r="AW450" s="3" t="s">
        <v>5376</v>
      </c>
      <c r="AX450" s="3" t="s">
        <v>5376</v>
      </c>
      <c r="AY450" s="3" t="s">
        <v>5377</v>
      </c>
      <c r="AZ450" s="3" t="s">
        <v>74</v>
      </c>
      <c r="BB450" s="3" t="s">
        <v>5378</v>
      </c>
      <c r="BC450" s="3" t="s">
        <v>5379</v>
      </c>
      <c r="BD450" s="3" t="s">
        <v>5380</v>
      </c>
    </row>
    <row r="451" spans="1:56" ht="57.75" customHeight="1" x14ac:dyDescent="0.25">
      <c r="A451" s="7" t="s">
        <v>59</v>
      </c>
      <c r="B451" s="2" t="s">
        <v>5381</v>
      </c>
      <c r="C451" s="2" t="s">
        <v>5382</v>
      </c>
      <c r="D451" s="2" t="s">
        <v>5383</v>
      </c>
      <c r="F451" s="3" t="s">
        <v>59</v>
      </c>
      <c r="G451" s="3" t="s">
        <v>60</v>
      </c>
      <c r="H451" s="3" t="s">
        <v>59</v>
      </c>
      <c r="I451" s="3" t="s">
        <v>59</v>
      </c>
      <c r="J451" s="3" t="s">
        <v>61</v>
      </c>
      <c r="K451" s="2" t="s">
        <v>5384</v>
      </c>
      <c r="L451" s="2" t="s">
        <v>5385</v>
      </c>
      <c r="M451" s="3" t="s">
        <v>239</v>
      </c>
      <c r="O451" s="3" t="s">
        <v>64</v>
      </c>
      <c r="P451" s="3" t="s">
        <v>1687</v>
      </c>
      <c r="R451" s="3" t="s">
        <v>67</v>
      </c>
      <c r="S451" s="4">
        <v>9</v>
      </c>
      <c r="T451" s="4">
        <v>9</v>
      </c>
      <c r="U451" s="5" t="s">
        <v>3981</v>
      </c>
      <c r="V451" s="5" t="s">
        <v>3981</v>
      </c>
      <c r="W451" s="5" t="s">
        <v>3658</v>
      </c>
      <c r="X451" s="5" t="s">
        <v>3658</v>
      </c>
      <c r="Y451" s="4">
        <v>92</v>
      </c>
      <c r="Z451" s="4">
        <v>72</v>
      </c>
      <c r="AA451" s="4">
        <v>77</v>
      </c>
      <c r="AB451" s="4">
        <v>2</v>
      </c>
      <c r="AC451" s="4">
        <v>2</v>
      </c>
      <c r="AD451" s="4">
        <v>1</v>
      </c>
      <c r="AE451" s="4">
        <v>1</v>
      </c>
      <c r="AF451" s="4">
        <v>0</v>
      </c>
      <c r="AG451" s="4">
        <v>0</v>
      </c>
      <c r="AH451" s="4">
        <v>0</v>
      </c>
      <c r="AI451" s="4">
        <v>0</v>
      </c>
      <c r="AJ451" s="4">
        <v>0</v>
      </c>
      <c r="AK451" s="4">
        <v>0</v>
      </c>
      <c r="AL451" s="4">
        <v>1</v>
      </c>
      <c r="AM451" s="4">
        <v>1</v>
      </c>
      <c r="AN451" s="4">
        <v>0</v>
      </c>
      <c r="AO451" s="4">
        <v>0</v>
      </c>
      <c r="AP451" s="3" t="s">
        <v>59</v>
      </c>
      <c r="AQ451" s="3" t="s">
        <v>59</v>
      </c>
      <c r="AS451" s="6" t="str">
        <f>HYPERLINK("https://creighton-primo.hosted.exlibrisgroup.com/primo-explore/search?tab=default_tab&amp;search_scope=EVERYTHING&amp;vid=01CRU&amp;lang=en_US&amp;offset=0&amp;query=any,contains,991002716789702656","Catalog Record")</f>
        <v>Catalog Record</v>
      </c>
      <c r="AT451" s="6" t="str">
        <f>HYPERLINK("http://www.worldcat.org/oclc/35636469","WorldCat Record")</f>
        <v>WorldCat Record</v>
      </c>
      <c r="AU451" s="3" t="s">
        <v>5386</v>
      </c>
      <c r="AV451" s="3" t="s">
        <v>5387</v>
      </c>
      <c r="AW451" s="3" t="s">
        <v>5388</v>
      </c>
      <c r="AX451" s="3" t="s">
        <v>5388</v>
      </c>
      <c r="AY451" s="3" t="s">
        <v>5389</v>
      </c>
      <c r="AZ451" s="3" t="s">
        <v>74</v>
      </c>
      <c r="BB451" s="3" t="s">
        <v>5390</v>
      </c>
      <c r="BC451" s="3" t="s">
        <v>5391</v>
      </c>
      <c r="BD451" s="3" t="s">
        <v>5392</v>
      </c>
    </row>
    <row r="452" spans="1:56" ht="57.75" customHeight="1" x14ac:dyDescent="0.25">
      <c r="A452" s="7" t="s">
        <v>59</v>
      </c>
      <c r="B452" s="2" t="s">
        <v>5393</v>
      </c>
      <c r="C452" s="2" t="s">
        <v>5394</v>
      </c>
      <c r="D452" s="2" t="s">
        <v>5395</v>
      </c>
      <c r="E452" s="3" t="s">
        <v>917</v>
      </c>
      <c r="F452" s="3" t="s">
        <v>69</v>
      </c>
      <c r="G452" s="3" t="s">
        <v>60</v>
      </c>
      <c r="H452" s="3" t="s">
        <v>59</v>
      </c>
      <c r="I452" s="3" t="s">
        <v>59</v>
      </c>
      <c r="J452" s="3" t="s">
        <v>61</v>
      </c>
      <c r="K452" s="2" t="s">
        <v>5396</v>
      </c>
      <c r="L452" s="2" t="s">
        <v>5397</v>
      </c>
      <c r="M452" s="3" t="s">
        <v>1852</v>
      </c>
      <c r="O452" s="3" t="s">
        <v>64</v>
      </c>
      <c r="P452" s="3" t="s">
        <v>3297</v>
      </c>
      <c r="R452" s="3" t="s">
        <v>67</v>
      </c>
      <c r="S452" s="4">
        <v>0</v>
      </c>
      <c r="T452" s="4">
        <v>1</v>
      </c>
      <c r="V452" s="5" t="s">
        <v>725</v>
      </c>
      <c r="W452" s="5" t="s">
        <v>2452</v>
      </c>
      <c r="X452" s="5" t="s">
        <v>2452</v>
      </c>
      <c r="Y452" s="4">
        <v>212</v>
      </c>
      <c r="Z452" s="4">
        <v>174</v>
      </c>
      <c r="AA452" s="4">
        <v>189</v>
      </c>
      <c r="AB452" s="4">
        <v>2</v>
      </c>
      <c r="AC452" s="4">
        <v>2</v>
      </c>
      <c r="AD452" s="4">
        <v>5</v>
      </c>
      <c r="AE452" s="4">
        <v>5</v>
      </c>
      <c r="AF452" s="4">
        <v>0</v>
      </c>
      <c r="AG452" s="4">
        <v>0</v>
      </c>
      <c r="AH452" s="4">
        <v>1</v>
      </c>
      <c r="AI452" s="4">
        <v>1</v>
      </c>
      <c r="AJ452" s="4">
        <v>3</v>
      </c>
      <c r="AK452" s="4">
        <v>3</v>
      </c>
      <c r="AL452" s="4">
        <v>1</v>
      </c>
      <c r="AM452" s="4">
        <v>1</v>
      </c>
      <c r="AN452" s="4">
        <v>0</v>
      </c>
      <c r="AO452" s="4">
        <v>0</v>
      </c>
      <c r="AP452" s="3" t="s">
        <v>59</v>
      </c>
      <c r="AQ452" s="3" t="s">
        <v>69</v>
      </c>
      <c r="AR452" s="6" t="str">
        <f>HYPERLINK("http://catalog.hathitrust.org/Record/001500190","HathiTrust Record")</f>
        <v>HathiTrust Record</v>
      </c>
      <c r="AS452" s="6" t="str">
        <f>HYPERLINK("https://creighton-primo.hosted.exlibrisgroup.com/primo-explore/search?tab=default_tab&amp;search_scope=EVERYTHING&amp;vid=01CRU&amp;lang=en_US&amp;offset=0&amp;query=any,contains,991000730589702656","Catalog Record")</f>
        <v>Catalog Record</v>
      </c>
      <c r="AT452" s="6" t="str">
        <f>HYPERLINK("http://www.worldcat.org/oclc/12723704","WorldCat Record")</f>
        <v>WorldCat Record</v>
      </c>
      <c r="AU452" s="3" t="s">
        <v>5398</v>
      </c>
      <c r="AV452" s="3" t="s">
        <v>5399</v>
      </c>
      <c r="AW452" s="3" t="s">
        <v>5400</v>
      </c>
      <c r="AX452" s="3" t="s">
        <v>5400</v>
      </c>
      <c r="AY452" s="3" t="s">
        <v>5401</v>
      </c>
      <c r="AZ452" s="3" t="s">
        <v>74</v>
      </c>
      <c r="BC452" s="3" t="s">
        <v>5402</v>
      </c>
      <c r="BD452" s="3" t="s">
        <v>5403</v>
      </c>
    </row>
    <row r="453" spans="1:56" ht="57.75" customHeight="1" x14ac:dyDescent="0.25">
      <c r="A453" s="7" t="s">
        <v>59</v>
      </c>
      <c r="B453" s="2" t="s">
        <v>5393</v>
      </c>
      <c r="C453" s="2" t="s">
        <v>5394</v>
      </c>
      <c r="D453" s="2" t="s">
        <v>5395</v>
      </c>
      <c r="E453" s="3" t="s">
        <v>923</v>
      </c>
      <c r="F453" s="3" t="s">
        <v>69</v>
      </c>
      <c r="G453" s="3" t="s">
        <v>60</v>
      </c>
      <c r="H453" s="3" t="s">
        <v>59</v>
      </c>
      <c r="I453" s="3" t="s">
        <v>59</v>
      </c>
      <c r="J453" s="3" t="s">
        <v>61</v>
      </c>
      <c r="K453" s="2" t="s">
        <v>5396</v>
      </c>
      <c r="L453" s="2" t="s">
        <v>5397</v>
      </c>
      <c r="M453" s="3" t="s">
        <v>1852</v>
      </c>
      <c r="O453" s="3" t="s">
        <v>64</v>
      </c>
      <c r="P453" s="3" t="s">
        <v>3297</v>
      </c>
      <c r="R453" s="3" t="s">
        <v>67</v>
      </c>
      <c r="S453" s="4">
        <v>1</v>
      </c>
      <c r="T453" s="4">
        <v>1</v>
      </c>
      <c r="U453" s="5" t="s">
        <v>725</v>
      </c>
      <c r="V453" s="5" t="s">
        <v>725</v>
      </c>
      <c r="W453" s="5" t="s">
        <v>2452</v>
      </c>
      <c r="X453" s="5" t="s">
        <v>2452</v>
      </c>
      <c r="Y453" s="4">
        <v>212</v>
      </c>
      <c r="Z453" s="4">
        <v>174</v>
      </c>
      <c r="AA453" s="4">
        <v>189</v>
      </c>
      <c r="AB453" s="4">
        <v>2</v>
      </c>
      <c r="AC453" s="4">
        <v>2</v>
      </c>
      <c r="AD453" s="4">
        <v>5</v>
      </c>
      <c r="AE453" s="4">
        <v>5</v>
      </c>
      <c r="AF453" s="4">
        <v>0</v>
      </c>
      <c r="AG453" s="4">
        <v>0</v>
      </c>
      <c r="AH453" s="4">
        <v>1</v>
      </c>
      <c r="AI453" s="4">
        <v>1</v>
      </c>
      <c r="AJ453" s="4">
        <v>3</v>
      </c>
      <c r="AK453" s="4">
        <v>3</v>
      </c>
      <c r="AL453" s="4">
        <v>1</v>
      </c>
      <c r="AM453" s="4">
        <v>1</v>
      </c>
      <c r="AN453" s="4">
        <v>0</v>
      </c>
      <c r="AO453" s="4">
        <v>0</v>
      </c>
      <c r="AP453" s="3" t="s">
        <v>59</v>
      </c>
      <c r="AQ453" s="3" t="s">
        <v>69</v>
      </c>
      <c r="AR453" s="6" t="str">
        <f>HYPERLINK("http://catalog.hathitrust.org/Record/001500190","HathiTrust Record")</f>
        <v>HathiTrust Record</v>
      </c>
      <c r="AS453" s="6" t="str">
        <f>HYPERLINK("https://creighton-primo.hosted.exlibrisgroup.com/primo-explore/search?tab=default_tab&amp;search_scope=EVERYTHING&amp;vid=01CRU&amp;lang=en_US&amp;offset=0&amp;query=any,contains,991000730589702656","Catalog Record")</f>
        <v>Catalog Record</v>
      </c>
      <c r="AT453" s="6" t="str">
        <f>HYPERLINK("http://www.worldcat.org/oclc/12723704","WorldCat Record")</f>
        <v>WorldCat Record</v>
      </c>
      <c r="AU453" s="3" t="s">
        <v>5398</v>
      </c>
      <c r="AV453" s="3" t="s">
        <v>5399</v>
      </c>
      <c r="AW453" s="3" t="s">
        <v>5400</v>
      </c>
      <c r="AX453" s="3" t="s">
        <v>5400</v>
      </c>
      <c r="AY453" s="3" t="s">
        <v>5401</v>
      </c>
      <c r="AZ453" s="3" t="s">
        <v>74</v>
      </c>
      <c r="BC453" s="3" t="s">
        <v>5404</v>
      </c>
      <c r="BD453" s="3" t="s">
        <v>5405</v>
      </c>
    </row>
    <row r="454" spans="1:56" ht="57.75" customHeight="1" x14ac:dyDescent="0.25">
      <c r="A454" s="7" t="s">
        <v>59</v>
      </c>
      <c r="B454" s="2" t="s">
        <v>5406</v>
      </c>
      <c r="C454" s="2" t="s">
        <v>5407</v>
      </c>
      <c r="D454" s="2" t="s">
        <v>5408</v>
      </c>
      <c r="F454" s="3" t="s">
        <v>59</v>
      </c>
      <c r="G454" s="3" t="s">
        <v>60</v>
      </c>
      <c r="H454" s="3" t="s">
        <v>59</v>
      </c>
      <c r="I454" s="3" t="s">
        <v>59</v>
      </c>
      <c r="J454" s="3" t="s">
        <v>61</v>
      </c>
      <c r="L454" s="2" t="s">
        <v>5409</v>
      </c>
      <c r="M454" s="3" t="s">
        <v>1182</v>
      </c>
      <c r="O454" s="3" t="s">
        <v>64</v>
      </c>
      <c r="P454" s="3" t="s">
        <v>467</v>
      </c>
      <c r="R454" s="3" t="s">
        <v>67</v>
      </c>
      <c r="S454" s="4">
        <v>10</v>
      </c>
      <c r="T454" s="4">
        <v>10</v>
      </c>
      <c r="U454" s="5" t="s">
        <v>3786</v>
      </c>
      <c r="V454" s="5" t="s">
        <v>3786</v>
      </c>
      <c r="W454" s="5" t="s">
        <v>5410</v>
      </c>
      <c r="X454" s="5" t="s">
        <v>5410</v>
      </c>
      <c r="Y454" s="4">
        <v>399</v>
      </c>
      <c r="Z454" s="4">
        <v>292</v>
      </c>
      <c r="AA454" s="4">
        <v>293</v>
      </c>
      <c r="AB454" s="4">
        <v>1</v>
      </c>
      <c r="AC454" s="4">
        <v>1</v>
      </c>
      <c r="AD454" s="4">
        <v>10</v>
      </c>
      <c r="AE454" s="4">
        <v>10</v>
      </c>
      <c r="AF454" s="4">
        <v>4</v>
      </c>
      <c r="AG454" s="4">
        <v>4</v>
      </c>
      <c r="AH454" s="4">
        <v>3</v>
      </c>
      <c r="AI454" s="4">
        <v>3</v>
      </c>
      <c r="AJ454" s="4">
        <v>7</v>
      </c>
      <c r="AK454" s="4">
        <v>7</v>
      </c>
      <c r="AL454" s="4">
        <v>0</v>
      </c>
      <c r="AM454" s="4">
        <v>0</v>
      </c>
      <c r="AN454" s="4">
        <v>0</v>
      </c>
      <c r="AO454" s="4">
        <v>0</v>
      </c>
      <c r="AP454" s="3" t="s">
        <v>59</v>
      </c>
      <c r="AQ454" s="3" t="s">
        <v>59</v>
      </c>
      <c r="AS454" s="6" t="str">
        <f>HYPERLINK("https://creighton-primo.hosted.exlibrisgroup.com/primo-explore/search?tab=default_tab&amp;search_scope=EVERYTHING&amp;vid=01CRU&amp;lang=en_US&amp;offset=0&amp;query=any,contains,991001557939702656","Catalog Record")</f>
        <v>Catalog Record</v>
      </c>
      <c r="AT454" s="6" t="str">
        <f>HYPERLINK("http://www.worldcat.org/oclc/20294837","WorldCat Record")</f>
        <v>WorldCat Record</v>
      </c>
      <c r="AU454" s="3" t="s">
        <v>5411</v>
      </c>
      <c r="AV454" s="3" t="s">
        <v>5412</v>
      </c>
      <c r="AW454" s="3" t="s">
        <v>5413</v>
      </c>
      <c r="AX454" s="3" t="s">
        <v>5413</v>
      </c>
      <c r="AY454" s="3" t="s">
        <v>5414</v>
      </c>
      <c r="AZ454" s="3" t="s">
        <v>74</v>
      </c>
      <c r="BB454" s="3" t="s">
        <v>5415</v>
      </c>
      <c r="BC454" s="3" t="s">
        <v>5416</v>
      </c>
      <c r="BD454" s="3" t="s">
        <v>5417</v>
      </c>
    </row>
    <row r="455" spans="1:56" ht="57.75" customHeight="1" x14ac:dyDescent="0.25">
      <c r="A455" s="7" t="s">
        <v>59</v>
      </c>
      <c r="B455" s="2" t="s">
        <v>5418</v>
      </c>
      <c r="C455" s="2" t="s">
        <v>5419</v>
      </c>
      <c r="D455" s="2" t="s">
        <v>5420</v>
      </c>
      <c r="F455" s="3" t="s">
        <v>59</v>
      </c>
      <c r="G455" s="3" t="s">
        <v>60</v>
      </c>
      <c r="H455" s="3" t="s">
        <v>59</v>
      </c>
      <c r="I455" s="3" t="s">
        <v>59</v>
      </c>
      <c r="J455" s="3" t="s">
        <v>61</v>
      </c>
      <c r="K455" s="2" t="s">
        <v>5421</v>
      </c>
      <c r="L455" s="2" t="s">
        <v>5422</v>
      </c>
      <c r="M455" s="3" t="s">
        <v>130</v>
      </c>
      <c r="O455" s="3" t="s">
        <v>64</v>
      </c>
      <c r="P455" s="3" t="s">
        <v>467</v>
      </c>
      <c r="R455" s="3" t="s">
        <v>67</v>
      </c>
      <c r="S455" s="4">
        <v>5</v>
      </c>
      <c r="T455" s="4">
        <v>5</v>
      </c>
      <c r="U455" s="5" t="s">
        <v>4927</v>
      </c>
      <c r="V455" s="5" t="s">
        <v>4927</v>
      </c>
      <c r="W455" s="5" t="s">
        <v>5423</v>
      </c>
      <c r="X455" s="5" t="s">
        <v>5423</v>
      </c>
      <c r="Y455" s="4">
        <v>870</v>
      </c>
      <c r="Z455" s="4">
        <v>849</v>
      </c>
      <c r="AA455" s="4">
        <v>874</v>
      </c>
      <c r="AB455" s="4">
        <v>7</v>
      </c>
      <c r="AC455" s="4">
        <v>7</v>
      </c>
      <c r="AD455" s="4">
        <v>21</v>
      </c>
      <c r="AE455" s="4">
        <v>21</v>
      </c>
      <c r="AF455" s="4">
        <v>9</v>
      </c>
      <c r="AG455" s="4">
        <v>9</v>
      </c>
      <c r="AH455" s="4">
        <v>4</v>
      </c>
      <c r="AI455" s="4">
        <v>4</v>
      </c>
      <c r="AJ455" s="4">
        <v>7</v>
      </c>
      <c r="AK455" s="4">
        <v>7</v>
      </c>
      <c r="AL455" s="4">
        <v>5</v>
      </c>
      <c r="AM455" s="4">
        <v>5</v>
      </c>
      <c r="AN455" s="4">
        <v>0</v>
      </c>
      <c r="AO455" s="4">
        <v>0</v>
      </c>
      <c r="AP455" s="3" t="s">
        <v>59</v>
      </c>
      <c r="AQ455" s="3" t="s">
        <v>69</v>
      </c>
      <c r="AR455" s="6" t="str">
        <f>HYPERLINK("http://catalog.hathitrust.org/Record/004948283","HathiTrust Record")</f>
        <v>HathiTrust Record</v>
      </c>
      <c r="AS455" s="6" t="str">
        <f>HYPERLINK("https://creighton-primo.hosted.exlibrisgroup.com/primo-explore/search?tab=default_tab&amp;search_scope=EVERYTHING&amp;vid=01CRU&amp;lang=en_US&amp;offset=0&amp;query=any,contains,991004531559702656","Catalog Record")</f>
        <v>Catalog Record</v>
      </c>
      <c r="AT455" s="6" t="str">
        <f>HYPERLINK("http://www.worldcat.org/oclc/55138832","WorldCat Record")</f>
        <v>WorldCat Record</v>
      </c>
      <c r="AU455" s="3" t="s">
        <v>5424</v>
      </c>
      <c r="AV455" s="3" t="s">
        <v>5425</v>
      </c>
      <c r="AW455" s="3" t="s">
        <v>5426</v>
      </c>
      <c r="AX455" s="3" t="s">
        <v>5426</v>
      </c>
      <c r="AY455" s="3" t="s">
        <v>5427</v>
      </c>
      <c r="AZ455" s="3" t="s">
        <v>74</v>
      </c>
      <c r="BB455" s="3" t="s">
        <v>5428</v>
      </c>
      <c r="BC455" s="3" t="s">
        <v>5429</v>
      </c>
      <c r="BD455" s="3" t="s">
        <v>5430</v>
      </c>
    </row>
    <row r="456" spans="1:56" ht="57.75" customHeight="1" x14ac:dyDescent="0.25">
      <c r="A456" s="7" t="s">
        <v>59</v>
      </c>
      <c r="B456" s="2" t="s">
        <v>5431</v>
      </c>
      <c r="C456" s="2" t="s">
        <v>5432</v>
      </c>
      <c r="D456" s="2" t="s">
        <v>5433</v>
      </c>
      <c r="E456" s="3" t="s">
        <v>923</v>
      </c>
      <c r="F456" s="3" t="s">
        <v>69</v>
      </c>
      <c r="G456" s="3" t="s">
        <v>60</v>
      </c>
      <c r="H456" s="3" t="s">
        <v>59</v>
      </c>
      <c r="I456" s="3" t="s">
        <v>59</v>
      </c>
      <c r="J456" s="3" t="s">
        <v>61</v>
      </c>
      <c r="K456" s="2" t="s">
        <v>5434</v>
      </c>
      <c r="L456" s="2" t="s">
        <v>5435</v>
      </c>
      <c r="M456" s="3" t="s">
        <v>540</v>
      </c>
      <c r="O456" s="3" t="s">
        <v>64</v>
      </c>
      <c r="P456" s="3" t="s">
        <v>630</v>
      </c>
      <c r="R456" s="3" t="s">
        <v>67</v>
      </c>
      <c r="S456" s="4">
        <v>7</v>
      </c>
      <c r="T456" s="4">
        <v>18</v>
      </c>
      <c r="U456" s="5" t="s">
        <v>5436</v>
      </c>
      <c r="V456" s="5" t="s">
        <v>3786</v>
      </c>
      <c r="W456" s="5" t="s">
        <v>3617</v>
      </c>
      <c r="X456" s="5" t="s">
        <v>3617</v>
      </c>
      <c r="Y456" s="4">
        <v>438</v>
      </c>
      <c r="Z456" s="4">
        <v>388</v>
      </c>
      <c r="AA456" s="4">
        <v>390</v>
      </c>
      <c r="AB456" s="4">
        <v>5</v>
      </c>
      <c r="AC456" s="4">
        <v>5</v>
      </c>
      <c r="AD456" s="4">
        <v>14</v>
      </c>
      <c r="AE456" s="4">
        <v>14</v>
      </c>
      <c r="AF456" s="4">
        <v>5</v>
      </c>
      <c r="AG456" s="4">
        <v>5</v>
      </c>
      <c r="AH456" s="4">
        <v>3</v>
      </c>
      <c r="AI456" s="4">
        <v>3</v>
      </c>
      <c r="AJ456" s="4">
        <v>6</v>
      </c>
      <c r="AK456" s="4">
        <v>6</v>
      </c>
      <c r="AL456" s="4">
        <v>4</v>
      </c>
      <c r="AM456" s="4">
        <v>4</v>
      </c>
      <c r="AN456" s="4">
        <v>0</v>
      </c>
      <c r="AO456" s="4">
        <v>0</v>
      </c>
      <c r="AP456" s="3" t="s">
        <v>59</v>
      </c>
      <c r="AQ456" s="3" t="s">
        <v>69</v>
      </c>
      <c r="AR456" s="6" t="str">
        <f>HYPERLINK("http://catalog.hathitrust.org/Record/000764371","HathiTrust Record")</f>
        <v>HathiTrust Record</v>
      </c>
      <c r="AS456" s="6" t="str">
        <f>HYPERLINK("https://creighton-primo.hosted.exlibrisgroup.com/primo-explore/search?tab=default_tab&amp;search_scope=EVERYTHING&amp;vid=01CRU&amp;lang=en_US&amp;offset=0&amp;query=any,contains,991005146249702656","Catalog Record")</f>
        <v>Catalog Record</v>
      </c>
      <c r="AT456" s="6" t="str">
        <f>HYPERLINK("http://www.worldcat.org/oclc/7671542","WorldCat Record")</f>
        <v>WorldCat Record</v>
      </c>
      <c r="AU456" s="3" t="s">
        <v>5437</v>
      </c>
      <c r="AV456" s="3" t="s">
        <v>5438</v>
      </c>
      <c r="AW456" s="3" t="s">
        <v>5439</v>
      </c>
      <c r="AX456" s="3" t="s">
        <v>5439</v>
      </c>
      <c r="AY456" s="3" t="s">
        <v>5440</v>
      </c>
      <c r="AZ456" s="3" t="s">
        <v>74</v>
      </c>
      <c r="BB456" s="3" t="s">
        <v>5441</v>
      </c>
      <c r="BC456" s="3" t="s">
        <v>5442</v>
      </c>
      <c r="BD456" s="3" t="s">
        <v>5443</v>
      </c>
    </row>
    <row r="457" spans="1:56" ht="57.75" customHeight="1" x14ac:dyDescent="0.25">
      <c r="A457" s="7" t="s">
        <v>59</v>
      </c>
      <c r="B457" s="2" t="s">
        <v>5444</v>
      </c>
      <c r="C457" s="2" t="s">
        <v>5445</v>
      </c>
      <c r="D457" s="2" t="s">
        <v>5446</v>
      </c>
      <c r="F457" s="3" t="s">
        <v>59</v>
      </c>
      <c r="G457" s="3" t="s">
        <v>60</v>
      </c>
      <c r="H457" s="3" t="s">
        <v>59</v>
      </c>
      <c r="I457" s="3" t="s">
        <v>59</v>
      </c>
      <c r="J457" s="3" t="s">
        <v>61</v>
      </c>
      <c r="K457" s="2" t="s">
        <v>5447</v>
      </c>
      <c r="L457" s="2" t="s">
        <v>5448</v>
      </c>
      <c r="M457" s="3" t="s">
        <v>404</v>
      </c>
      <c r="O457" s="3" t="s">
        <v>64</v>
      </c>
      <c r="P457" s="3" t="s">
        <v>467</v>
      </c>
      <c r="R457" s="3" t="s">
        <v>67</v>
      </c>
      <c r="S457" s="4">
        <v>14</v>
      </c>
      <c r="T457" s="4">
        <v>14</v>
      </c>
      <c r="U457" s="5" t="s">
        <v>5298</v>
      </c>
      <c r="V457" s="5" t="s">
        <v>5298</v>
      </c>
      <c r="W457" s="5" t="s">
        <v>5449</v>
      </c>
      <c r="X457" s="5" t="s">
        <v>5449</v>
      </c>
      <c r="Y457" s="4">
        <v>278</v>
      </c>
      <c r="Z457" s="4">
        <v>268</v>
      </c>
      <c r="AA457" s="4">
        <v>488</v>
      </c>
      <c r="AB457" s="4">
        <v>5</v>
      </c>
      <c r="AC457" s="4">
        <v>5</v>
      </c>
      <c r="AD457" s="4">
        <v>12</v>
      </c>
      <c r="AE457" s="4">
        <v>26</v>
      </c>
      <c r="AF457" s="4">
        <v>2</v>
      </c>
      <c r="AG457" s="4">
        <v>9</v>
      </c>
      <c r="AH457" s="4">
        <v>3</v>
      </c>
      <c r="AI457" s="4">
        <v>6</v>
      </c>
      <c r="AJ457" s="4">
        <v>5</v>
      </c>
      <c r="AK457" s="4">
        <v>14</v>
      </c>
      <c r="AL457" s="4">
        <v>4</v>
      </c>
      <c r="AM457" s="4">
        <v>4</v>
      </c>
      <c r="AN457" s="4">
        <v>0</v>
      </c>
      <c r="AO457" s="4">
        <v>0</v>
      </c>
      <c r="AP457" s="3" t="s">
        <v>59</v>
      </c>
      <c r="AQ457" s="3" t="s">
        <v>59</v>
      </c>
      <c r="AS457" s="6" t="str">
        <f>HYPERLINK("https://creighton-primo.hosted.exlibrisgroup.com/primo-explore/search?tab=default_tab&amp;search_scope=EVERYTHING&amp;vid=01CRU&amp;lang=en_US&amp;offset=0&amp;query=any,contains,991002802599702656","Catalog Record")</f>
        <v>Catalog Record</v>
      </c>
      <c r="AT457" s="6" t="str">
        <f>HYPERLINK("http://www.worldcat.org/oclc/448240","WorldCat Record")</f>
        <v>WorldCat Record</v>
      </c>
      <c r="AU457" s="3" t="s">
        <v>5450</v>
      </c>
      <c r="AV457" s="3" t="s">
        <v>5451</v>
      </c>
      <c r="AW457" s="3" t="s">
        <v>5452</v>
      </c>
      <c r="AX457" s="3" t="s">
        <v>5452</v>
      </c>
      <c r="AY457" s="3" t="s">
        <v>5453</v>
      </c>
      <c r="AZ457" s="3" t="s">
        <v>74</v>
      </c>
      <c r="BC457" s="3" t="s">
        <v>5454</v>
      </c>
      <c r="BD457" s="3" t="s">
        <v>5455</v>
      </c>
    </row>
    <row r="458" spans="1:56" ht="57.75" customHeight="1" x14ac:dyDescent="0.25">
      <c r="A458" s="7" t="s">
        <v>59</v>
      </c>
      <c r="B458" s="2" t="s">
        <v>5456</v>
      </c>
      <c r="C458" s="2" t="s">
        <v>5457</v>
      </c>
      <c r="D458" s="2" t="s">
        <v>5458</v>
      </c>
      <c r="F458" s="3" t="s">
        <v>59</v>
      </c>
      <c r="G458" s="3" t="s">
        <v>60</v>
      </c>
      <c r="H458" s="3" t="s">
        <v>59</v>
      </c>
      <c r="I458" s="3" t="s">
        <v>59</v>
      </c>
      <c r="J458" s="3" t="s">
        <v>61</v>
      </c>
      <c r="L458" s="2" t="s">
        <v>5459</v>
      </c>
      <c r="M458" s="3" t="s">
        <v>297</v>
      </c>
      <c r="O458" s="3" t="s">
        <v>64</v>
      </c>
      <c r="P458" s="3" t="s">
        <v>65</v>
      </c>
      <c r="R458" s="3" t="s">
        <v>67</v>
      </c>
      <c r="S458" s="4">
        <v>5</v>
      </c>
      <c r="T458" s="4">
        <v>5</v>
      </c>
      <c r="U458" s="5" t="s">
        <v>3786</v>
      </c>
      <c r="V458" s="5" t="s">
        <v>3786</v>
      </c>
      <c r="W458" s="5" t="s">
        <v>5460</v>
      </c>
      <c r="X458" s="5" t="s">
        <v>5460</v>
      </c>
      <c r="Y458" s="4">
        <v>374</v>
      </c>
      <c r="Z458" s="4">
        <v>323</v>
      </c>
      <c r="AA458" s="4">
        <v>328</v>
      </c>
      <c r="AB458" s="4">
        <v>2</v>
      </c>
      <c r="AC458" s="4">
        <v>2</v>
      </c>
      <c r="AD458" s="4">
        <v>15</v>
      </c>
      <c r="AE458" s="4">
        <v>15</v>
      </c>
      <c r="AF458" s="4">
        <v>9</v>
      </c>
      <c r="AG458" s="4">
        <v>9</v>
      </c>
      <c r="AH458" s="4">
        <v>2</v>
      </c>
      <c r="AI458" s="4">
        <v>2</v>
      </c>
      <c r="AJ458" s="4">
        <v>8</v>
      </c>
      <c r="AK458" s="4">
        <v>8</v>
      </c>
      <c r="AL458" s="4">
        <v>1</v>
      </c>
      <c r="AM458" s="4">
        <v>1</v>
      </c>
      <c r="AN458" s="4">
        <v>0</v>
      </c>
      <c r="AO458" s="4">
        <v>0</v>
      </c>
      <c r="AP458" s="3" t="s">
        <v>59</v>
      </c>
      <c r="AQ458" s="3" t="s">
        <v>59</v>
      </c>
      <c r="AS458" s="6" t="str">
        <f>HYPERLINK("https://creighton-primo.hosted.exlibrisgroup.com/primo-explore/search?tab=default_tab&amp;search_scope=EVERYTHING&amp;vid=01CRU&amp;lang=en_US&amp;offset=0&amp;query=any,contains,991003225079702656","Catalog Record")</f>
        <v>Catalog Record</v>
      </c>
      <c r="AT458" s="6" t="str">
        <f>HYPERLINK("http://www.worldcat.org/oclc/42275011","WorldCat Record")</f>
        <v>WorldCat Record</v>
      </c>
      <c r="AU458" s="3" t="s">
        <v>5461</v>
      </c>
      <c r="AV458" s="3" t="s">
        <v>5462</v>
      </c>
      <c r="AW458" s="3" t="s">
        <v>5463</v>
      </c>
      <c r="AX458" s="3" t="s">
        <v>5463</v>
      </c>
      <c r="AY458" s="3" t="s">
        <v>5464</v>
      </c>
      <c r="AZ458" s="3" t="s">
        <v>74</v>
      </c>
      <c r="BB458" s="3" t="s">
        <v>5465</v>
      </c>
      <c r="BC458" s="3" t="s">
        <v>5466</v>
      </c>
      <c r="BD458" s="3" t="s">
        <v>5467</v>
      </c>
    </row>
    <row r="459" spans="1:56" ht="57.75" customHeight="1" x14ac:dyDescent="0.25">
      <c r="A459" s="7" t="s">
        <v>59</v>
      </c>
      <c r="B459" s="2" t="s">
        <v>5468</v>
      </c>
      <c r="C459" s="2" t="s">
        <v>5469</v>
      </c>
      <c r="D459" s="2" t="s">
        <v>5470</v>
      </c>
      <c r="F459" s="3" t="s">
        <v>59</v>
      </c>
      <c r="G459" s="3" t="s">
        <v>60</v>
      </c>
      <c r="H459" s="3" t="s">
        <v>59</v>
      </c>
      <c r="I459" s="3" t="s">
        <v>59</v>
      </c>
      <c r="J459" s="3" t="s">
        <v>61</v>
      </c>
      <c r="K459" s="2" t="s">
        <v>5471</v>
      </c>
      <c r="L459" s="2" t="s">
        <v>5472</v>
      </c>
      <c r="M459" s="3" t="s">
        <v>313</v>
      </c>
      <c r="O459" s="3" t="s">
        <v>64</v>
      </c>
      <c r="P459" s="3" t="s">
        <v>467</v>
      </c>
      <c r="Q459" s="2" t="s">
        <v>5473</v>
      </c>
      <c r="R459" s="3" t="s">
        <v>67</v>
      </c>
      <c r="S459" s="4">
        <v>9</v>
      </c>
      <c r="T459" s="4">
        <v>9</v>
      </c>
      <c r="U459" s="5" t="s">
        <v>4927</v>
      </c>
      <c r="V459" s="5" t="s">
        <v>4927</v>
      </c>
      <c r="W459" s="5" t="s">
        <v>5474</v>
      </c>
      <c r="X459" s="5" t="s">
        <v>5474</v>
      </c>
      <c r="Y459" s="4">
        <v>255</v>
      </c>
      <c r="Z459" s="4">
        <v>222</v>
      </c>
      <c r="AA459" s="4">
        <v>237</v>
      </c>
      <c r="AB459" s="4">
        <v>3</v>
      </c>
      <c r="AC459" s="4">
        <v>3</v>
      </c>
      <c r="AD459" s="4">
        <v>10</v>
      </c>
      <c r="AE459" s="4">
        <v>10</v>
      </c>
      <c r="AF459" s="4">
        <v>1</v>
      </c>
      <c r="AG459" s="4">
        <v>1</v>
      </c>
      <c r="AH459" s="4">
        <v>3</v>
      </c>
      <c r="AI459" s="4">
        <v>3</v>
      </c>
      <c r="AJ459" s="4">
        <v>6</v>
      </c>
      <c r="AK459" s="4">
        <v>6</v>
      </c>
      <c r="AL459" s="4">
        <v>2</v>
      </c>
      <c r="AM459" s="4">
        <v>2</v>
      </c>
      <c r="AN459" s="4">
        <v>0</v>
      </c>
      <c r="AO459" s="4">
        <v>0</v>
      </c>
      <c r="AP459" s="3" t="s">
        <v>59</v>
      </c>
      <c r="AQ459" s="3" t="s">
        <v>59</v>
      </c>
      <c r="AS459" s="6" t="str">
        <f>HYPERLINK("https://creighton-primo.hosted.exlibrisgroup.com/primo-explore/search?tab=default_tab&amp;search_scope=EVERYTHING&amp;vid=01CRU&amp;lang=en_US&amp;offset=0&amp;query=any,contains,991003860149702656","Catalog Record")</f>
        <v>Catalog Record</v>
      </c>
      <c r="AT459" s="6" t="str">
        <f>HYPERLINK("http://www.worldcat.org/oclc/45230349","WorldCat Record")</f>
        <v>WorldCat Record</v>
      </c>
      <c r="AU459" s="3" t="s">
        <v>5475</v>
      </c>
      <c r="AV459" s="3" t="s">
        <v>5476</v>
      </c>
      <c r="AW459" s="3" t="s">
        <v>5477</v>
      </c>
      <c r="AX459" s="3" t="s">
        <v>5477</v>
      </c>
      <c r="AY459" s="3" t="s">
        <v>5478</v>
      </c>
      <c r="AZ459" s="3" t="s">
        <v>74</v>
      </c>
      <c r="BB459" s="3" t="s">
        <v>5479</v>
      </c>
      <c r="BC459" s="3" t="s">
        <v>5480</v>
      </c>
      <c r="BD459" s="3" t="s">
        <v>5481</v>
      </c>
    </row>
    <row r="460" spans="1:56" ht="57.75" customHeight="1" x14ac:dyDescent="0.25">
      <c r="A460" s="7" t="s">
        <v>59</v>
      </c>
      <c r="B460" s="2" t="s">
        <v>5482</v>
      </c>
      <c r="C460" s="2" t="s">
        <v>5483</v>
      </c>
      <c r="D460" s="2" t="s">
        <v>5484</v>
      </c>
      <c r="F460" s="3" t="s">
        <v>59</v>
      </c>
      <c r="G460" s="3" t="s">
        <v>60</v>
      </c>
      <c r="H460" s="3" t="s">
        <v>59</v>
      </c>
      <c r="I460" s="3" t="s">
        <v>59</v>
      </c>
      <c r="J460" s="3" t="s">
        <v>61</v>
      </c>
      <c r="K460" s="2" t="s">
        <v>5384</v>
      </c>
      <c r="L460" s="2" t="s">
        <v>5485</v>
      </c>
      <c r="M460" s="3" t="s">
        <v>820</v>
      </c>
      <c r="O460" s="3" t="s">
        <v>64</v>
      </c>
      <c r="P460" s="3" t="s">
        <v>5486</v>
      </c>
      <c r="Q460" s="2" t="s">
        <v>5487</v>
      </c>
      <c r="R460" s="3" t="s">
        <v>67</v>
      </c>
      <c r="S460" s="4">
        <v>3</v>
      </c>
      <c r="T460" s="4">
        <v>3</v>
      </c>
      <c r="U460" s="5" t="s">
        <v>5488</v>
      </c>
      <c r="V460" s="5" t="s">
        <v>5488</v>
      </c>
      <c r="W460" s="5" t="s">
        <v>5489</v>
      </c>
      <c r="X460" s="5" t="s">
        <v>5489</v>
      </c>
      <c r="Y460" s="4">
        <v>24</v>
      </c>
      <c r="Z460" s="4">
        <v>21</v>
      </c>
      <c r="AA460" s="4">
        <v>22</v>
      </c>
      <c r="AB460" s="4">
        <v>1</v>
      </c>
      <c r="AC460" s="4">
        <v>1</v>
      </c>
      <c r="AD460" s="4">
        <v>0</v>
      </c>
      <c r="AE460" s="4">
        <v>0</v>
      </c>
      <c r="AF460" s="4">
        <v>0</v>
      </c>
      <c r="AG460" s="4">
        <v>0</v>
      </c>
      <c r="AH460" s="4">
        <v>0</v>
      </c>
      <c r="AI460" s="4">
        <v>0</v>
      </c>
      <c r="AJ460" s="4">
        <v>0</v>
      </c>
      <c r="AK460" s="4">
        <v>0</v>
      </c>
      <c r="AL460" s="4">
        <v>0</v>
      </c>
      <c r="AM460" s="4">
        <v>0</v>
      </c>
      <c r="AN460" s="4">
        <v>0</v>
      </c>
      <c r="AO460" s="4">
        <v>0</v>
      </c>
      <c r="AP460" s="3" t="s">
        <v>59</v>
      </c>
      <c r="AQ460" s="3" t="s">
        <v>59</v>
      </c>
      <c r="AS460" s="6" t="str">
        <f>HYPERLINK("https://creighton-primo.hosted.exlibrisgroup.com/primo-explore/search?tab=default_tab&amp;search_scope=EVERYTHING&amp;vid=01CRU&amp;lang=en_US&amp;offset=0&amp;query=any,contains,991001009429702656","Catalog Record")</f>
        <v>Catalog Record</v>
      </c>
      <c r="AT460" s="6" t="str">
        <f>HYPERLINK("http://www.worldcat.org/oclc/15276126","WorldCat Record")</f>
        <v>WorldCat Record</v>
      </c>
      <c r="AU460" s="3" t="s">
        <v>5490</v>
      </c>
      <c r="AV460" s="3" t="s">
        <v>5491</v>
      </c>
      <c r="AW460" s="3" t="s">
        <v>5492</v>
      </c>
      <c r="AX460" s="3" t="s">
        <v>5492</v>
      </c>
      <c r="AY460" s="3" t="s">
        <v>5493</v>
      </c>
      <c r="AZ460" s="3" t="s">
        <v>74</v>
      </c>
      <c r="BB460" s="3" t="s">
        <v>5494</v>
      </c>
      <c r="BC460" s="3" t="s">
        <v>5495</v>
      </c>
      <c r="BD460" s="3" t="s">
        <v>5496</v>
      </c>
    </row>
    <row r="461" spans="1:56" ht="57.75" customHeight="1" x14ac:dyDescent="0.25">
      <c r="A461" s="7" t="s">
        <v>59</v>
      </c>
      <c r="B461" s="2" t="s">
        <v>5497</v>
      </c>
      <c r="C461" s="2" t="s">
        <v>5498</v>
      </c>
      <c r="D461" s="2" t="s">
        <v>5499</v>
      </c>
      <c r="E461" s="3" t="s">
        <v>923</v>
      </c>
      <c r="F461" s="3" t="s">
        <v>69</v>
      </c>
      <c r="G461" s="3" t="s">
        <v>60</v>
      </c>
      <c r="H461" s="3" t="s">
        <v>59</v>
      </c>
      <c r="I461" s="3" t="s">
        <v>59</v>
      </c>
      <c r="J461" s="3" t="s">
        <v>61</v>
      </c>
      <c r="L461" s="2" t="s">
        <v>5500</v>
      </c>
      <c r="M461" s="3" t="s">
        <v>2202</v>
      </c>
      <c r="O461" s="3" t="s">
        <v>64</v>
      </c>
      <c r="P461" s="3" t="s">
        <v>467</v>
      </c>
      <c r="R461" s="3" t="s">
        <v>67</v>
      </c>
      <c r="S461" s="4">
        <v>6</v>
      </c>
      <c r="T461" s="4">
        <v>12</v>
      </c>
      <c r="U461" s="5" t="s">
        <v>5501</v>
      </c>
      <c r="V461" s="5" t="s">
        <v>878</v>
      </c>
      <c r="W461" s="5" t="s">
        <v>1801</v>
      </c>
      <c r="X461" s="5" t="s">
        <v>5502</v>
      </c>
      <c r="Y461" s="4">
        <v>484</v>
      </c>
      <c r="Z461" s="4">
        <v>375</v>
      </c>
      <c r="AA461" s="4">
        <v>396</v>
      </c>
      <c r="AB461" s="4">
        <v>4</v>
      </c>
      <c r="AC461" s="4">
        <v>4</v>
      </c>
      <c r="AD461" s="4">
        <v>13</v>
      </c>
      <c r="AE461" s="4">
        <v>15</v>
      </c>
      <c r="AF461" s="4">
        <v>3</v>
      </c>
      <c r="AG461" s="4">
        <v>4</v>
      </c>
      <c r="AH461" s="4">
        <v>3</v>
      </c>
      <c r="AI461" s="4">
        <v>4</v>
      </c>
      <c r="AJ461" s="4">
        <v>8</v>
      </c>
      <c r="AK461" s="4">
        <v>8</v>
      </c>
      <c r="AL461" s="4">
        <v>2</v>
      </c>
      <c r="AM461" s="4">
        <v>2</v>
      </c>
      <c r="AN461" s="4">
        <v>0</v>
      </c>
      <c r="AO461" s="4">
        <v>0</v>
      </c>
      <c r="AP461" s="3" t="s">
        <v>59</v>
      </c>
      <c r="AQ461" s="3" t="s">
        <v>69</v>
      </c>
      <c r="AR461" s="6" t="str">
        <f>HYPERLINK("http://catalog.hathitrust.org/Record/000199550","HathiTrust Record")</f>
        <v>HathiTrust Record</v>
      </c>
      <c r="AS461" s="6" t="str">
        <f>HYPERLINK("https://creighton-primo.hosted.exlibrisgroup.com/primo-explore/search?tab=default_tab&amp;search_scope=EVERYTHING&amp;vid=01CRU&amp;lang=en_US&amp;offset=0&amp;query=any,contains,991005433099702656","Catalog Record")</f>
        <v>Catalog Record</v>
      </c>
      <c r="AT461" s="6" t="str">
        <f>HYPERLINK("http://www.worldcat.org/oclc/1620","WorldCat Record")</f>
        <v>WorldCat Record</v>
      </c>
      <c r="AU461" s="3" t="s">
        <v>5503</v>
      </c>
      <c r="AV461" s="3" t="s">
        <v>5504</v>
      </c>
      <c r="AW461" s="3" t="s">
        <v>5505</v>
      </c>
      <c r="AX461" s="3" t="s">
        <v>5505</v>
      </c>
      <c r="AY461" s="3" t="s">
        <v>5506</v>
      </c>
      <c r="AZ461" s="3" t="s">
        <v>74</v>
      </c>
      <c r="BC461" s="3" t="s">
        <v>5507</v>
      </c>
      <c r="BD461" s="3" t="s">
        <v>5508</v>
      </c>
    </row>
    <row r="462" spans="1:56" ht="57.75" customHeight="1" x14ac:dyDescent="0.25">
      <c r="A462" s="7" t="s">
        <v>59</v>
      </c>
      <c r="B462" s="2" t="s">
        <v>5497</v>
      </c>
      <c r="C462" s="2" t="s">
        <v>5498</v>
      </c>
      <c r="D462" s="2" t="s">
        <v>5499</v>
      </c>
      <c r="E462" s="3" t="s">
        <v>917</v>
      </c>
      <c r="F462" s="3" t="s">
        <v>69</v>
      </c>
      <c r="G462" s="3" t="s">
        <v>60</v>
      </c>
      <c r="H462" s="3" t="s">
        <v>59</v>
      </c>
      <c r="I462" s="3" t="s">
        <v>59</v>
      </c>
      <c r="J462" s="3" t="s">
        <v>61</v>
      </c>
      <c r="L462" s="2" t="s">
        <v>5500</v>
      </c>
      <c r="M462" s="3" t="s">
        <v>2202</v>
      </c>
      <c r="O462" s="3" t="s">
        <v>64</v>
      </c>
      <c r="P462" s="3" t="s">
        <v>467</v>
      </c>
      <c r="R462" s="3" t="s">
        <v>67</v>
      </c>
      <c r="S462" s="4">
        <v>6</v>
      </c>
      <c r="T462" s="4">
        <v>12</v>
      </c>
      <c r="U462" s="5" t="s">
        <v>878</v>
      </c>
      <c r="V462" s="5" t="s">
        <v>878</v>
      </c>
      <c r="W462" s="5" t="s">
        <v>5502</v>
      </c>
      <c r="X462" s="5" t="s">
        <v>5502</v>
      </c>
      <c r="Y462" s="4">
        <v>484</v>
      </c>
      <c r="Z462" s="4">
        <v>375</v>
      </c>
      <c r="AA462" s="4">
        <v>396</v>
      </c>
      <c r="AB462" s="4">
        <v>4</v>
      </c>
      <c r="AC462" s="4">
        <v>4</v>
      </c>
      <c r="AD462" s="4">
        <v>13</v>
      </c>
      <c r="AE462" s="4">
        <v>15</v>
      </c>
      <c r="AF462" s="4">
        <v>3</v>
      </c>
      <c r="AG462" s="4">
        <v>4</v>
      </c>
      <c r="AH462" s="4">
        <v>3</v>
      </c>
      <c r="AI462" s="4">
        <v>4</v>
      </c>
      <c r="AJ462" s="4">
        <v>8</v>
      </c>
      <c r="AK462" s="4">
        <v>8</v>
      </c>
      <c r="AL462" s="4">
        <v>2</v>
      </c>
      <c r="AM462" s="4">
        <v>2</v>
      </c>
      <c r="AN462" s="4">
        <v>0</v>
      </c>
      <c r="AO462" s="4">
        <v>0</v>
      </c>
      <c r="AP462" s="3" t="s">
        <v>59</v>
      </c>
      <c r="AQ462" s="3" t="s">
        <v>69</v>
      </c>
      <c r="AR462" s="6" t="str">
        <f>HYPERLINK("http://catalog.hathitrust.org/Record/000199550","HathiTrust Record")</f>
        <v>HathiTrust Record</v>
      </c>
      <c r="AS462" s="6" t="str">
        <f>HYPERLINK("https://creighton-primo.hosted.exlibrisgroup.com/primo-explore/search?tab=default_tab&amp;search_scope=EVERYTHING&amp;vid=01CRU&amp;lang=en_US&amp;offset=0&amp;query=any,contains,991005433099702656","Catalog Record")</f>
        <v>Catalog Record</v>
      </c>
      <c r="AT462" s="6" t="str">
        <f>HYPERLINK("http://www.worldcat.org/oclc/1620","WorldCat Record")</f>
        <v>WorldCat Record</v>
      </c>
      <c r="AU462" s="3" t="s">
        <v>5503</v>
      </c>
      <c r="AV462" s="3" t="s">
        <v>5504</v>
      </c>
      <c r="AW462" s="3" t="s">
        <v>5505</v>
      </c>
      <c r="AX462" s="3" t="s">
        <v>5505</v>
      </c>
      <c r="AY462" s="3" t="s">
        <v>5506</v>
      </c>
      <c r="AZ462" s="3" t="s">
        <v>74</v>
      </c>
      <c r="BC462" s="3" t="s">
        <v>5509</v>
      </c>
      <c r="BD462" s="3" t="s">
        <v>5510</v>
      </c>
    </row>
    <row r="463" spans="1:56" ht="57.75" customHeight="1" x14ac:dyDescent="0.25">
      <c r="A463" s="7" t="s">
        <v>59</v>
      </c>
      <c r="B463" s="2" t="s">
        <v>5511</v>
      </c>
      <c r="C463" s="2" t="s">
        <v>5512</v>
      </c>
      <c r="D463" s="2" t="s">
        <v>5513</v>
      </c>
      <c r="F463" s="3" t="s">
        <v>59</v>
      </c>
      <c r="G463" s="3" t="s">
        <v>60</v>
      </c>
      <c r="H463" s="3" t="s">
        <v>59</v>
      </c>
      <c r="I463" s="3" t="s">
        <v>59</v>
      </c>
      <c r="J463" s="3" t="s">
        <v>61</v>
      </c>
      <c r="K463" s="2" t="s">
        <v>5514</v>
      </c>
      <c r="L463" s="2" t="s">
        <v>5515</v>
      </c>
      <c r="M463" s="3" t="s">
        <v>93</v>
      </c>
      <c r="O463" s="3" t="s">
        <v>64</v>
      </c>
      <c r="P463" s="3" t="s">
        <v>145</v>
      </c>
      <c r="Q463" s="2" t="s">
        <v>5516</v>
      </c>
      <c r="R463" s="3" t="s">
        <v>67</v>
      </c>
      <c r="S463" s="4">
        <v>6</v>
      </c>
      <c r="T463" s="4">
        <v>6</v>
      </c>
      <c r="U463" s="5" t="s">
        <v>4046</v>
      </c>
      <c r="V463" s="5" t="s">
        <v>4046</v>
      </c>
      <c r="W463" s="5" t="s">
        <v>5517</v>
      </c>
      <c r="X463" s="5" t="s">
        <v>5517</v>
      </c>
      <c r="Y463" s="4">
        <v>193</v>
      </c>
      <c r="Z463" s="4">
        <v>183</v>
      </c>
      <c r="AA463" s="4">
        <v>185</v>
      </c>
      <c r="AB463" s="4">
        <v>1</v>
      </c>
      <c r="AC463" s="4">
        <v>1</v>
      </c>
      <c r="AD463" s="4">
        <v>1</v>
      </c>
      <c r="AE463" s="4">
        <v>1</v>
      </c>
      <c r="AF463" s="4">
        <v>0</v>
      </c>
      <c r="AG463" s="4">
        <v>0</v>
      </c>
      <c r="AH463" s="4">
        <v>1</v>
      </c>
      <c r="AI463" s="4">
        <v>1</v>
      </c>
      <c r="AJ463" s="4">
        <v>0</v>
      </c>
      <c r="AK463" s="4">
        <v>0</v>
      </c>
      <c r="AL463" s="4">
        <v>0</v>
      </c>
      <c r="AM463" s="4">
        <v>0</v>
      </c>
      <c r="AN463" s="4">
        <v>0</v>
      </c>
      <c r="AO463" s="4">
        <v>0</v>
      </c>
      <c r="AP463" s="3" t="s">
        <v>59</v>
      </c>
      <c r="AQ463" s="3" t="s">
        <v>59</v>
      </c>
      <c r="AS463" s="6" t="str">
        <f>HYPERLINK("https://creighton-primo.hosted.exlibrisgroup.com/primo-explore/search?tab=default_tab&amp;search_scope=EVERYTHING&amp;vid=01CRU&amp;lang=en_US&amp;offset=0&amp;query=any,contains,991004141779702656","Catalog Record")</f>
        <v>Catalog Record</v>
      </c>
      <c r="AT463" s="6" t="str">
        <f>HYPERLINK("http://www.worldcat.org/oclc/50693204","WorldCat Record")</f>
        <v>WorldCat Record</v>
      </c>
      <c r="AU463" s="3" t="s">
        <v>5518</v>
      </c>
      <c r="AV463" s="3" t="s">
        <v>5519</v>
      </c>
      <c r="AW463" s="3" t="s">
        <v>5520</v>
      </c>
      <c r="AX463" s="3" t="s">
        <v>5520</v>
      </c>
      <c r="AY463" s="3" t="s">
        <v>5521</v>
      </c>
      <c r="AZ463" s="3" t="s">
        <v>74</v>
      </c>
      <c r="BB463" s="3" t="s">
        <v>5522</v>
      </c>
      <c r="BC463" s="3" t="s">
        <v>5523</v>
      </c>
      <c r="BD463" s="3" t="s">
        <v>5524</v>
      </c>
    </row>
    <row r="464" spans="1:56" ht="57.75" customHeight="1" x14ac:dyDescent="0.25">
      <c r="A464" s="7" t="s">
        <v>59</v>
      </c>
      <c r="B464" s="2" t="s">
        <v>5525</v>
      </c>
      <c r="C464" s="2" t="s">
        <v>5526</v>
      </c>
      <c r="D464" s="2" t="s">
        <v>5527</v>
      </c>
      <c r="F464" s="3" t="s">
        <v>59</v>
      </c>
      <c r="G464" s="3" t="s">
        <v>60</v>
      </c>
      <c r="H464" s="3" t="s">
        <v>59</v>
      </c>
      <c r="I464" s="3" t="s">
        <v>59</v>
      </c>
      <c r="J464" s="3" t="s">
        <v>61</v>
      </c>
      <c r="K464" s="2" t="s">
        <v>5528</v>
      </c>
      <c r="L464" s="2" t="s">
        <v>5529</v>
      </c>
      <c r="M464" s="3" t="s">
        <v>144</v>
      </c>
      <c r="O464" s="3" t="s">
        <v>64</v>
      </c>
      <c r="P464" s="3" t="s">
        <v>1268</v>
      </c>
      <c r="R464" s="3" t="s">
        <v>67</v>
      </c>
      <c r="S464" s="4">
        <v>2</v>
      </c>
      <c r="T464" s="4">
        <v>2</v>
      </c>
      <c r="U464" s="5" t="s">
        <v>5530</v>
      </c>
      <c r="V464" s="5" t="s">
        <v>5530</v>
      </c>
      <c r="W464" s="5" t="s">
        <v>5531</v>
      </c>
      <c r="X464" s="5" t="s">
        <v>5531</v>
      </c>
      <c r="Y464" s="4">
        <v>250</v>
      </c>
      <c r="Z464" s="4">
        <v>235</v>
      </c>
      <c r="AA464" s="4">
        <v>240</v>
      </c>
      <c r="AB464" s="4">
        <v>2</v>
      </c>
      <c r="AC464" s="4">
        <v>2</v>
      </c>
      <c r="AD464" s="4">
        <v>3</v>
      </c>
      <c r="AE464" s="4">
        <v>3</v>
      </c>
      <c r="AF464" s="4">
        <v>0</v>
      </c>
      <c r="AG464" s="4">
        <v>0</v>
      </c>
      <c r="AH464" s="4">
        <v>0</v>
      </c>
      <c r="AI464" s="4">
        <v>0</v>
      </c>
      <c r="AJ464" s="4">
        <v>2</v>
      </c>
      <c r="AK464" s="4">
        <v>2</v>
      </c>
      <c r="AL464" s="4">
        <v>1</v>
      </c>
      <c r="AM464" s="4">
        <v>1</v>
      </c>
      <c r="AN464" s="4">
        <v>0</v>
      </c>
      <c r="AO464" s="4">
        <v>0</v>
      </c>
      <c r="AP464" s="3" t="s">
        <v>59</v>
      </c>
      <c r="AQ464" s="3" t="s">
        <v>59</v>
      </c>
      <c r="AS464" s="6" t="str">
        <f>HYPERLINK("https://creighton-primo.hosted.exlibrisgroup.com/primo-explore/search?tab=default_tab&amp;search_scope=EVERYTHING&amp;vid=01CRU&amp;lang=en_US&amp;offset=0&amp;query=any,contains,991004629949702656","Catalog Record")</f>
        <v>Catalog Record</v>
      </c>
      <c r="AT464" s="6" t="str">
        <f>HYPERLINK("http://www.worldcat.org/oclc/54685968","WorldCat Record")</f>
        <v>WorldCat Record</v>
      </c>
      <c r="AU464" s="3" t="s">
        <v>5532</v>
      </c>
      <c r="AV464" s="3" t="s">
        <v>5533</v>
      </c>
      <c r="AW464" s="3" t="s">
        <v>5534</v>
      </c>
      <c r="AX464" s="3" t="s">
        <v>5534</v>
      </c>
      <c r="AY464" s="3" t="s">
        <v>5535</v>
      </c>
      <c r="AZ464" s="3" t="s">
        <v>74</v>
      </c>
      <c r="BB464" s="3" t="s">
        <v>5536</v>
      </c>
      <c r="BC464" s="3" t="s">
        <v>5537</v>
      </c>
      <c r="BD464" s="3" t="s">
        <v>5538</v>
      </c>
    </row>
    <row r="465" spans="1:56" ht="57.75" customHeight="1" x14ac:dyDescent="0.25">
      <c r="A465" s="7" t="s">
        <v>59</v>
      </c>
      <c r="B465" s="2" t="s">
        <v>5539</v>
      </c>
      <c r="C465" s="2" t="s">
        <v>5540</v>
      </c>
      <c r="D465" s="2" t="s">
        <v>5541</v>
      </c>
      <c r="F465" s="3" t="s">
        <v>59</v>
      </c>
      <c r="G465" s="3" t="s">
        <v>60</v>
      </c>
      <c r="H465" s="3" t="s">
        <v>59</v>
      </c>
      <c r="I465" s="3" t="s">
        <v>59</v>
      </c>
      <c r="J465" s="3" t="s">
        <v>61</v>
      </c>
      <c r="K465" s="2" t="s">
        <v>5542</v>
      </c>
      <c r="L465" s="2" t="s">
        <v>5543</v>
      </c>
      <c r="M465" s="3" t="s">
        <v>684</v>
      </c>
      <c r="O465" s="3" t="s">
        <v>64</v>
      </c>
      <c r="P465" s="3" t="s">
        <v>467</v>
      </c>
      <c r="Q465" s="2" t="s">
        <v>5544</v>
      </c>
      <c r="R465" s="3" t="s">
        <v>67</v>
      </c>
      <c r="S465" s="4">
        <v>2</v>
      </c>
      <c r="T465" s="4">
        <v>2</v>
      </c>
      <c r="U465" s="5" t="s">
        <v>5530</v>
      </c>
      <c r="V465" s="5" t="s">
        <v>5530</v>
      </c>
      <c r="W465" s="5" t="s">
        <v>4252</v>
      </c>
      <c r="X465" s="5" t="s">
        <v>4252</v>
      </c>
      <c r="Y465" s="4">
        <v>631</v>
      </c>
      <c r="Z465" s="4">
        <v>598</v>
      </c>
      <c r="AA465" s="4">
        <v>654</v>
      </c>
      <c r="AB465" s="4">
        <v>4</v>
      </c>
      <c r="AC465" s="4">
        <v>4</v>
      </c>
      <c r="AD465" s="4">
        <v>8</v>
      </c>
      <c r="AE465" s="4">
        <v>9</v>
      </c>
      <c r="AF465" s="4">
        <v>3</v>
      </c>
      <c r="AG465" s="4">
        <v>4</v>
      </c>
      <c r="AH465" s="4">
        <v>1</v>
      </c>
      <c r="AI465" s="4">
        <v>2</v>
      </c>
      <c r="AJ465" s="4">
        <v>2</v>
      </c>
      <c r="AK465" s="4">
        <v>2</v>
      </c>
      <c r="AL465" s="4">
        <v>2</v>
      </c>
      <c r="AM465" s="4">
        <v>2</v>
      </c>
      <c r="AN465" s="4">
        <v>0</v>
      </c>
      <c r="AO465" s="4">
        <v>0</v>
      </c>
      <c r="AP465" s="3" t="s">
        <v>59</v>
      </c>
      <c r="AQ465" s="3" t="s">
        <v>59</v>
      </c>
      <c r="AS465" s="6" t="str">
        <f>HYPERLINK("https://creighton-primo.hosted.exlibrisgroup.com/primo-explore/search?tab=default_tab&amp;search_scope=EVERYTHING&amp;vid=01CRU&amp;lang=en_US&amp;offset=0&amp;query=any,contains,991003671579702656","Catalog Record")</f>
        <v>Catalog Record</v>
      </c>
      <c r="AT465" s="6" t="str">
        <f>HYPERLINK("http://www.worldcat.org/oclc/41488813","WorldCat Record")</f>
        <v>WorldCat Record</v>
      </c>
      <c r="AU465" s="3" t="s">
        <v>5545</v>
      </c>
      <c r="AV465" s="3" t="s">
        <v>5546</v>
      </c>
      <c r="AW465" s="3" t="s">
        <v>5547</v>
      </c>
      <c r="AX465" s="3" t="s">
        <v>5547</v>
      </c>
      <c r="AY465" s="3" t="s">
        <v>5548</v>
      </c>
      <c r="AZ465" s="3" t="s">
        <v>74</v>
      </c>
      <c r="BB465" s="3" t="s">
        <v>5549</v>
      </c>
      <c r="BC465" s="3" t="s">
        <v>5550</v>
      </c>
      <c r="BD465" s="3" t="s">
        <v>5551</v>
      </c>
    </row>
    <row r="466" spans="1:56" ht="57.75" customHeight="1" x14ac:dyDescent="0.25">
      <c r="A466" s="7" t="s">
        <v>59</v>
      </c>
      <c r="B466" s="2" t="s">
        <v>5552</v>
      </c>
      <c r="C466" s="2" t="s">
        <v>5553</v>
      </c>
      <c r="D466" s="2" t="s">
        <v>5554</v>
      </c>
      <c r="F466" s="3" t="s">
        <v>59</v>
      </c>
      <c r="G466" s="3" t="s">
        <v>60</v>
      </c>
      <c r="H466" s="3" t="s">
        <v>59</v>
      </c>
      <c r="I466" s="3" t="s">
        <v>59</v>
      </c>
      <c r="J466" s="3" t="s">
        <v>61</v>
      </c>
      <c r="K466" s="2" t="s">
        <v>5555</v>
      </c>
      <c r="L466" s="2" t="s">
        <v>5556</v>
      </c>
      <c r="M466" s="3" t="s">
        <v>763</v>
      </c>
      <c r="O466" s="3" t="s">
        <v>64</v>
      </c>
      <c r="P466" s="3" t="s">
        <v>405</v>
      </c>
      <c r="Q466" s="2" t="s">
        <v>5557</v>
      </c>
      <c r="R466" s="3" t="s">
        <v>67</v>
      </c>
      <c r="S466" s="4">
        <v>14</v>
      </c>
      <c r="T466" s="4">
        <v>14</v>
      </c>
      <c r="U466" s="5" t="s">
        <v>4046</v>
      </c>
      <c r="V466" s="5" t="s">
        <v>4046</v>
      </c>
      <c r="W466" s="5" t="s">
        <v>4507</v>
      </c>
      <c r="X466" s="5" t="s">
        <v>4507</v>
      </c>
      <c r="Y466" s="4">
        <v>265</v>
      </c>
      <c r="Z466" s="4">
        <v>179</v>
      </c>
      <c r="AA466" s="4">
        <v>184</v>
      </c>
      <c r="AB466" s="4">
        <v>1</v>
      </c>
      <c r="AC466" s="4">
        <v>1</v>
      </c>
      <c r="AD466" s="4">
        <v>3</v>
      </c>
      <c r="AE466" s="4">
        <v>3</v>
      </c>
      <c r="AF466" s="4">
        <v>1</v>
      </c>
      <c r="AG466" s="4">
        <v>1</v>
      </c>
      <c r="AH466" s="4">
        <v>1</v>
      </c>
      <c r="AI466" s="4">
        <v>1</v>
      </c>
      <c r="AJ466" s="4">
        <v>1</v>
      </c>
      <c r="AK466" s="4">
        <v>1</v>
      </c>
      <c r="AL466" s="4">
        <v>0</v>
      </c>
      <c r="AM466" s="4">
        <v>0</v>
      </c>
      <c r="AN466" s="4">
        <v>0</v>
      </c>
      <c r="AO466" s="4">
        <v>0</v>
      </c>
      <c r="AP466" s="3" t="s">
        <v>59</v>
      </c>
      <c r="AQ466" s="3" t="s">
        <v>59</v>
      </c>
      <c r="AS466" s="6" t="str">
        <f>HYPERLINK("https://creighton-primo.hosted.exlibrisgroup.com/primo-explore/search?tab=default_tab&amp;search_scope=EVERYTHING&amp;vid=01CRU&amp;lang=en_US&amp;offset=0&amp;query=any,contains,991000973219702656","Catalog Record")</f>
        <v>Catalog Record</v>
      </c>
      <c r="AT466" s="6" t="str">
        <f>HYPERLINK("http://www.worldcat.org/oclc/14967163","WorldCat Record")</f>
        <v>WorldCat Record</v>
      </c>
      <c r="AU466" s="3" t="s">
        <v>5558</v>
      </c>
      <c r="AV466" s="3" t="s">
        <v>5559</v>
      </c>
      <c r="AW466" s="3" t="s">
        <v>5560</v>
      </c>
      <c r="AX466" s="3" t="s">
        <v>5560</v>
      </c>
      <c r="AY466" s="3" t="s">
        <v>5561</v>
      </c>
      <c r="AZ466" s="3" t="s">
        <v>74</v>
      </c>
      <c r="BB466" s="3" t="s">
        <v>5562</v>
      </c>
      <c r="BC466" s="3" t="s">
        <v>5563</v>
      </c>
      <c r="BD466" s="3" t="s">
        <v>5564</v>
      </c>
    </row>
    <row r="467" spans="1:56" ht="57.75" customHeight="1" x14ac:dyDescent="0.25">
      <c r="A467" s="7" t="s">
        <v>59</v>
      </c>
      <c r="B467" s="2" t="s">
        <v>5565</v>
      </c>
      <c r="C467" s="2" t="s">
        <v>5566</v>
      </c>
      <c r="D467" s="2" t="s">
        <v>5567</v>
      </c>
      <c r="F467" s="3" t="s">
        <v>59</v>
      </c>
      <c r="G467" s="3" t="s">
        <v>60</v>
      </c>
      <c r="H467" s="3" t="s">
        <v>59</v>
      </c>
      <c r="I467" s="3" t="s">
        <v>59</v>
      </c>
      <c r="J467" s="3" t="s">
        <v>61</v>
      </c>
      <c r="K467" s="2" t="s">
        <v>5568</v>
      </c>
      <c r="L467" s="2" t="s">
        <v>5569</v>
      </c>
      <c r="M467" s="3" t="s">
        <v>511</v>
      </c>
      <c r="O467" s="3" t="s">
        <v>64</v>
      </c>
      <c r="P467" s="3" t="s">
        <v>467</v>
      </c>
      <c r="R467" s="3" t="s">
        <v>67</v>
      </c>
      <c r="S467" s="4">
        <v>3</v>
      </c>
      <c r="T467" s="4">
        <v>3</v>
      </c>
      <c r="U467" s="5" t="s">
        <v>5250</v>
      </c>
      <c r="V467" s="5" t="s">
        <v>5250</v>
      </c>
      <c r="W467" s="5" t="s">
        <v>5570</v>
      </c>
      <c r="X467" s="5" t="s">
        <v>5570</v>
      </c>
      <c r="Y467" s="4">
        <v>440</v>
      </c>
      <c r="Z467" s="4">
        <v>354</v>
      </c>
      <c r="AA467" s="4">
        <v>354</v>
      </c>
      <c r="AB467" s="4">
        <v>3</v>
      </c>
      <c r="AC467" s="4">
        <v>3</v>
      </c>
      <c r="AD467" s="4">
        <v>16</v>
      </c>
      <c r="AE467" s="4">
        <v>16</v>
      </c>
      <c r="AF467" s="4">
        <v>5</v>
      </c>
      <c r="AG467" s="4">
        <v>5</v>
      </c>
      <c r="AH467" s="4">
        <v>4</v>
      </c>
      <c r="AI467" s="4">
        <v>4</v>
      </c>
      <c r="AJ467" s="4">
        <v>9</v>
      </c>
      <c r="AK467" s="4">
        <v>9</v>
      </c>
      <c r="AL467" s="4">
        <v>2</v>
      </c>
      <c r="AM467" s="4">
        <v>2</v>
      </c>
      <c r="AN467" s="4">
        <v>0</v>
      </c>
      <c r="AO467" s="4">
        <v>0</v>
      </c>
      <c r="AP467" s="3" t="s">
        <v>59</v>
      </c>
      <c r="AQ467" s="3" t="s">
        <v>59</v>
      </c>
      <c r="AS467" s="6" t="str">
        <f>HYPERLINK("https://creighton-primo.hosted.exlibrisgroup.com/primo-explore/search?tab=default_tab&amp;search_scope=EVERYTHING&amp;vid=01CRU&amp;lang=en_US&amp;offset=0&amp;query=any,contains,991002396439702656","Catalog Record")</f>
        <v>Catalog Record</v>
      </c>
      <c r="AT467" s="6" t="str">
        <f>HYPERLINK("http://www.worldcat.org/oclc/31132787","WorldCat Record")</f>
        <v>WorldCat Record</v>
      </c>
      <c r="AU467" s="3" t="s">
        <v>5571</v>
      </c>
      <c r="AV467" s="3" t="s">
        <v>5572</v>
      </c>
      <c r="AW467" s="3" t="s">
        <v>5573</v>
      </c>
      <c r="AX467" s="3" t="s">
        <v>5573</v>
      </c>
      <c r="AY467" s="3" t="s">
        <v>5574</v>
      </c>
      <c r="AZ467" s="3" t="s">
        <v>74</v>
      </c>
      <c r="BB467" s="3" t="s">
        <v>5575</v>
      </c>
      <c r="BC467" s="3" t="s">
        <v>5576</v>
      </c>
      <c r="BD467" s="3" t="s">
        <v>5577</v>
      </c>
    </row>
    <row r="468" spans="1:56" ht="57.75" customHeight="1" x14ac:dyDescent="0.25">
      <c r="A468" s="7" t="s">
        <v>59</v>
      </c>
      <c r="B468" s="2" t="s">
        <v>5578</v>
      </c>
      <c r="C468" s="2" t="s">
        <v>5579</v>
      </c>
      <c r="D468" s="2" t="s">
        <v>5580</v>
      </c>
      <c r="F468" s="3" t="s">
        <v>59</v>
      </c>
      <c r="G468" s="3" t="s">
        <v>60</v>
      </c>
      <c r="H468" s="3" t="s">
        <v>59</v>
      </c>
      <c r="I468" s="3" t="s">
        <v>59</v>
      </c>
      <c r="J468" s="3" t="s">
        <v>61</v>
      </c>
      <c r="K468" s="2" t="s">
        <v>5025</v>
      </c>
      <c r="L468" s="2" t="s">
        <v>5581</v>
      </c>
      <c r="M468" s="3" t="s">
        <v>670</v>
      </c>
      <c r="N468" s="2" t="s">
        <v>556</v>
      </c>
      <c r="O468" s="3" t="s">
        <v>64</v>
      </c>
      <c r="P468" s="3" t="s">
        <v>405</v>
      </c>
      <c r="R468" s="3" t="s">
        <v>67</v>
      </c>
      <c r="S468" s="4">
        <v>4</v>
      </c>
      <c r="T468" s="4">
        <v>4</v>
      </c>
      <c r="U468" s="5" t="s">
        <v>1866</v>
      </c>
      <c r="V468" s="5" t="s">
        <v>1866</v>
      </c>
      <c r="W468" s="5" t="s">
        <v>4507</v>
      </c>
      <c r="X468" s="5" t="s">
        <v>4507</v>
      </c>
      <c r="Y468" s="4">
        <v>233</v>
      </c>
      <c r="Z468" s="4">
        <v>169</v>
      </c>
      <c r="AA468" s="4">
        <v>171</v>
      </c>
      <c r="AB468" s="4">
        <v>2</v>
      </c>
      <c r="AC468" s="4">
        <v>2</v>
      </c>
      <c r="AD468" s="4">
        <v>2</v>
      </c>
      <c r="AE468" s="4">
        <v>2</v>
      </c>
      <c r="AF468" s="4">
        <v>0</v>
      </c>
      <c r="AG468" s="4">
        <v>0</v>
      </c>
      <c r="AH468" s="4">
        <v>0</v>
      </c>
      <c r="AI468" s="4">
        <v>0</v>
      </c>
      <c r="AJ468" s="4">
        <v>1</v>
      </c>
      <c r="AK468" s="4">
        <v>1</v>
      </c>
      <c r="AL468" s="4">
        <v>1</v>
      </c>
      <c r="AM468" s="4">
        <v>1</v>
      </c>
      <c r="AN468" s="4">
        <v>0</v>
      </c>
      <c r="AO468" s="4">
        <v>0</v>
      </c>
      <c r="AP468" s="3" t="s">
        <v>59</v>
      </c>
      <c r="AQ468" s="3" t="s">
        <v>69</v>
      </c>
      <c r="AR468" s="6" t="str">
        <f>HYPERLINK("http://catalog.hathitrust.org/Record/000567426","HathiTrust Record")</f>
        <v>HathiTrust Record</v>
      </c>
      <c r="AS468" s="6" t="str">
        <f>HYPERLINK("https://creighton-primo.hosted.exlibrisgroup.com/primo-explore/search?tab=default_tab&amp;search_scope=EVERYTHING&amp;vid=01CRU&amp;lang=en_US&amp;offset=0&amp;query=any,contains,991005191379702656","Catalog Record")</f>
        <v>Catalog Record</v>
      </c>
      <c r="AT468" s="6" t="str">
        <f>HYPERLINK("http://www.worldcat.org/oclc/7999445","WorldCat Record")</f>
        <v>WorldCat Record</v>
      </c>
      <c r="AU468" s="3" t="s">
        <v>5582</v>
      </c>
      <c r="AV468" s="3" t="s">
        <v>5583</v>
      </c>
      <c r="AW468" s="3" t="s">
        <v>5584</v>
      </c>
      <c r="AX468" s="3" t="s">
        <v>5584</v>
      </c>
      <c r="AY468" s="3" t="s">
        <v>5585</v>
      </c>
      <c r="AZ468" s="3" t="s">
        <v>74</v>
      </c>
      <c r="BB468" s="3" t="s">
        <v>5586</v>
      </c>
      <c r="BC468" s="3" t="s">
        <v>5587</v>
      </c>
      <c r="BD468" s="3" t="s">
        <v>5588</v>
      </c>
    </row>
    <row r="469" spans="1:56" ht="57.75" customHeight="1" x14ac:dyDescent="0.25">
      <c r="A469" s="7" t="s">
        <v>59</v>
      </c>
      <c r="B469" s="2" t="s">
        <v>5589</v>
      </c>
      <c r="C469" s="2" t="s">
        <v>5590</v>
      </c>
      <c r="D469" s="2" t="s">
        <v>5591</v>
      </c>
      <c r="F469" s="3" t="s">
        <v>59</v>
      </c>
      <c r="G469" s="3" t="s">
        <v>60</v>
      </c>
      <c r="H469" s="3" t="s">
        <v>59</v>
      </c>
      <c r="I469" s="3" t="s">
        <v>59</v>
      </c>
      <c r="J469" s="3" t="s">
        <v>61</v>
      </c>
      <c r="K469" s="2" t="s">
        <v>5592</v>
      </c>
      <c r="L469" s="2" t="s">
        <v>5593</v>
      </c>
      <c r="M469" s="3" t="s">
        <v>656</v>
      </c>
      <c r="O469" s="3" t="s">
        <v>64</v>
      </c>
      <c r="P469" s="3" t="s">
        <v>1078</v>
      </c>
      <c r="R469" s="3" t="s">
        <v>67</v>
      </c>
      <c r="S469" s="4">
        <v>3</v>
      </c>
      <c r="T469" s="4">
        <v>3</v>
      </c>
      <c r="U469" s="5" t="s">
        <v>5594</v>
      </c>
      <c r="V469" s="5" t="s">
        <v>5594</v>
      </c>
      <c r="W469" s="5" t="s">
        <v>1064</v>
      </c>
      <c r="X469" s="5" t="s">
        <v>1064</v>
      </c>
      <c r="Y469" s="4">
        <v>821</v>
      </c>
      <c r="Z469" s="4">
        <v>727</v>
      </c>
      <c r="AA469" s="4">
        <v>780</v>
      </c>
      <c r="AB469" s="4">
        <v>6</v>
      </c>
      <c r="AC469" s="4">
        <v>6</v>
      </c>
      <c r="AD469" s="4">
        <v>21</v>
      </c>
      <c r="AE469" s="4">
        <v>23</v>
      </c>
      <c r="AF469" s="4">
        <v>7</v>
      </c>
      <c r="AG469" s="4">
        <v>7</v>
      </c>
      <c r="AH469" s="4">
        <v>5</v>
      </c>
      <c r="AI469" s="4">
        <v>6</v>
      </c>
      <c r="AJ469" s="4">
        <v>8</v>
      </c>
      <c r="AK469" s="4">
        <v>10</v>
      </c>
      <c r="AL469" s="4">
        <v>5</v>
      </c>
      <c r="AM469" s="4">
        <v>5</v>
      </c>
      <c r="AN469" s="4">
        <v>0</v>
      </c>
      <c r="AO469" s="4">
        <v>0</v>
      </c>
      <c r="AP469" s="3" t="s">
        <v>59</v>
      </c>
      <c r="AQ469" s="3" t="s">
        <v>69</v>
      </c>
      <c r="AR469" s="6" t="str">
        <f>HYPERLINK("http://catalog.hathitrust.org/Record/001500299","HathiTrust Record")</f>
        <v>HathiTrust Record</v>
      </c>
      <c r="AS469" s="6" t="str">
        <f>HYPERLINK("https://creighton-primo.hosted.exlibrisgroup.com/primo-explore/search?tab=default_tab&amp;search_scope=EVERYTHING&amp;vid=01CRU&amp;lang=en_US&amp;offset=0&amp;query=any,contains,991001012489702656","Catalog Record")</f>
        <v>Catalog Record</v>
      </c>
      <c r="AT469" s="6" t="str">
        <f>HYPERLINK("http://www.worldcat.org/oclc/173465","WorldCat Record")</f>
        <v>WorldCat Record</v>
      </c>
      <c r="AU469" s="3" t="s">
        <v>5595</v>
      </c>
      <c r="AV469" s="3" t="s">
        <v>5596</v>
      </c>
      <c r="AW469" s="3" t="s">
        <v>5597</v>
      </c>
      <c r="AX469" s="3" t="s">
        <v>5597</v>
      </c>
      <c r="AY469" s="3" t="s">
        <v>5598</v>
      </c>
      <c r="AZ469" s="3" t="s">
        <v>74</v>
      </c>
      <c r="BC469" s="3" t="s">
        <v>5599</v>
      </c>
      <c r="BD469" s="3" t="s">
        <v>5600</v>
      </c>
    </row>
    <row r="470" spans="1:56" ht="57.75" customHeight="1" x14ac:dyDescent="0.25">
      <c r="A470" s="7" t="s">
        <v>59</v>
      </c>
      <c r="B470" s="2" t="s">
        <v>5601</v>
      </c>
      <c r="C470" s="2" t="s">
        <v>5602</v>
      </c>
      <c r="D470" s="2" t="s">
        <v>5603</v>
      </c>
      <c r="F470" s="3" t="s">
        <v>59</v>
      </c>
      <c r="G470" s="3" t="s">
        <v>60</v>
      </c>
      <c r="H470" s="3" t="s">
        <v>59</v>
      </c>
      <c r="I470" s="3" t="s">
        <v>59</v>
      </c>
      <c r="J470" s="3" t="s">
        <v>61</v>
      </c>
      <c r="K470" s="2" t="s">
        <v>4912</v>
      </c>
      <c r="L470" s="2" t="s">
        <v>5604</v>
      </c>
      <c r="M470" s="3" t="s">
        <v>5605</v>
      </c>
      <c r="O470" s="3" t="s">
        <v>64</v>
      </c>
      <c r="P470" s="3" t="s">
        <v>467</v>
      </c>
      <c r="R470" s="3" t="s">
        <v>67</v>
      </c>
      <c r="S470" s="4">
        <v>2</v>
      </c>
      <c r="T470" s="4">
        <v>2</v>
      </c>
      <c r="U470" s="5" t="s">
        <v>5606</v>
      </c>
      <c r="V470" s="5" t="s">
        <v>5606</v>
      </c>
      <c r="W470" s="5" t="s">
        <v>1064</v>
      </c>
      <c r="X470" s="5" t="s">
        <v>1064</v>
      </c>
      <c r="Y470" s="4">
        <v>305</v>
      </c>
      <c r="Z470" s="4">
        <v>287</v>
      </c>
      <c r="AA470" s="4">
        <v>521</v>
      </c>
      <c r="AB470" s="4">
        <v>4</v>
      </c>
      <c r="AC470" s="4">
        <v>4</v>
      </c>
      <c r="AD470" s="4">
        <v>9</v>
      </c>
      <c r="AE470" s="4">
        <v>21</v>
      </c>
      <c r="AF470" s="4">
        <v>2</v>
      </c>
      <c r="AG470" s="4">
        <v>7</v>
      </c>
      <c r="AH470" s="4">
        <v>2</v>
      </c>
      <c r="AI470" s="4">
        <v>4</v>
      </c>
      <c r="AJ470" s="4">
        <v>4</v>
      </c>
      <c r="AK470" s="4">
        <v>11</v>
      </c>
      <c r="AL470" s="4">
        <v>3</v>
      </c>
      <c r="AM470" s="4">
        <v>3</v>
      </c>
      <c r="AN470" s="4">
        <v>0</v>
      </c>
      <c r="AO470" s="4">
        <v>0</v>
      </c>
      <c r="AP470" s="3" t="s">
        <v>69</v>
      </c>
      <c r="AQ470" s="3" t="s">
        <v>59</v>
      </c>
      <c r="AR470" s="6" t="str">
        <f>HYPERLINK("http://catalog.hathitrust.org/Record/001500300","HathiTrust Record")</f>
        <v>HathiTrust Record</v>
      </c>
      <c r="AS470" s="6" t="str">
        <f>HYPERLINK("https://creighton-primo.hosted.exlibrisgroup.com/primo-explore/search?tab=default_tab&amp;search_scope=EVERYTHING&amp;vid=01CRU&amp;lang=en_US&amp;offset=0&amp;query=any,contains,991003463009702656","Catalog Record")</f>
        <v>Catalog Record</v>
      </c>
      <c r="AT470" s="6" t="str">
        <f>HYPERLINK("http://www.worldcat.org/oclc/1004912","WorldCat Record")</f>
        <v>WorldCat Record</v>
      </c>
      <c r="AU470" s="3" t="s">
        <v>5607</v>
      </c>
      <c r="AV470" s="3" t="s">
        <v>5608</v>
      </c>
      <c r="AW470" s="3" t="s">
        <v>5609</v>
      </c>
      <c r="AX470" s="3" t="s">
        <v>5609</v>
      </c>
      <c r="AY470" s="3" t="s">
        <v>5610</v>
      </c>
      <c r="AZ470" s="3" t="s">
        <v>74</v>
      </c>
      <c r="BC470" s="3" t="s">
        <v>5611</v>
      </c>
      <c r="BD470" s="3" t="s">
        <v>5612</v>
      </c>
    </row>
    <row r="471" spans="1:56" ht="57.75" customHeight="1" x14ac:dyDescent="0.25">
      <c r="A471" s="7" t="s">
        <v>59</v>
      </c>
      <c r="B471" s="2" t="s">
        <v>5613</v>
      </c>
      <c r="C471" s="2" t="s">
        <v>5614</v>
      </c>
      <c r="D471" s="2" t="s">
        <v>5615</v>
      </c>
      <c r="F471" s="3" t="s">
        <v>59</v>
      </c>
      <c r="G471" s="3" t="s">
        <v>60</v>
      </c>
      <c r="H471" s="3" t="s">
        <v>59</v>
      </c>
      <c r="I471" s="3" t="s">
        <v>59</v>
      </c>
      <c r="J471" s="3" t="s">
        <v>61</v>
      </c>
      <c r="K471" s="2" t="s">
        <v>5616</v>
      </c>
      <c r="L471" s="2" t="s">
        <v>5617</v>
      </c>
      <c r="M471" s="3" t="s">
        <v>2202</v>
      </c>
      <c r="O471" s="3" t="s">
        <v>64</v>
      </c>
      <c r="P471" s="3" t="s">
        <v>1078</v>
      </c>
      <c r="R471" s="3" t="s">
        <v>67</v>
      </c>
      <c r="S471" s="4">
        <v>1</v>
      </c>
      <c r="T471" s="4">
        <v>1</v>
      </c>
      <c r="U471" s="5" t="s">
        <v>2938</v>
      </c>
      <c r="V471" s="5" t="s">
        <v>2938</v>
      </c>
      <c r="W471" s="5" t="s">
        <v>2452</v>
      </c>
      <c r="X471" s="5" t="s">
        <v>2452</v>
      </c>
      <c r="Y471" s="4">
        <v>452</v>
      </c>
      <c r="Z471" s="4">
        <v>382</v>
      </c>
      <c r="AA471" s="4">
        <v>382</v>
      </c>
      <c r="AB471" s="4">
        <v>4</v>
      </c>
      <c r="AC471" s="4">
        <v>4</v>
      </c>
      <c r="AD471" s="4">
        <v>10</v>
      </c>
      <c r="AE471" s="4">
        <v>10</v>
      </c>
      <c r="AF471" s="4">
        <v>2</v>
      </c>
      <c r="AG471" s="4">
        <v>2</v>
      </c>
      <c r="AH471" s="4">
        <v>1</v>
      </c>
      <c r="AI471" s="4">
        <v>1</v>
      </c>
      <c r="AJ471" s="4">
        <v>6</v>
      </c>
      <c r="AK471" s="4">
        <v>6</v>
      </c>
      <c r="AL471" s="4">
        <v>3</v>
      </c>
      <c r="AM471" s="4">
        <v>3</v>
      </c>
      <c r="AN471" s="4">
        <v>0</v>
      </c>
      <c r="AO471" s="4">
        <v>0</v>
      </c>
      <c r="AP471" s="3" t="s">
        <v>59</v>
      </c>
      <c r="AQ471" s="3" t="s">
        <v>59</v>
      </c>
      <c r="AS471" s="6" t="str">
        <f>HYPERLINK("https://creighton-primo.hosted.exlibrisgroup.com/primo-explore/search?tab=default_tab&amp;search_scope=EVERYTHING&amp;vid=01CRU&amp;lang=en_US&amp;offset=0&amp;query=any,contains,991000116449702656","Catalog Record")</f>
        <v>Catalog Record</v>
      </c>
      <c r="AT471" s="6" t="str">
        <f>HYPERLINK("http://www.worldcat.org/oclc/49352","WorldCat Record")</f>
        <v>WorldCat Record</v>
      </c>
      <c r="AU471" s="3" t="s">
        <v>5618</v>
      </c>
      <c r="AV471" s="3" t="s">
        <v>5619</v>
      </c>
      <c r="AW471" s="3" t="s">
        <v>5620</v>
      </c>
      <c r="AX471" s="3" t="s">
        <v>5620</v>
      </c>
      <c r="AY471" s="3" t="s">
        <v>5621</v>
      </c>
      <c r="AZ471" s="3" t="s">
        <v>74</v>
      </c>
      <c r="BC471" s="3" t="s">
        <v>5622</v>
      </c>
      <c r="BD471" s="3" t="s">
        <v>5623</v>
      </c>
    </row>
    <row r="472" spans="1:56" ht="57.75" customHeight="1" x14ac:dyDescent="0.25">
      <c r="A472" s="7" t="s">
        <v>59</v>
      </c>
      <c r="B472" s="2" t="s">
        <v>5624</v>
      </c>
      <c r="C472" s="2" t="s">
        <v>5625</v>
      </c>
      <c r="D472" s="2" t="s">
        <v>5626</v>
      </c>
      <c r="F472" s="3" t="s">
        <v>59</v>
      </c>
      <c r="G472" s="3" t="s">
        <v>60</v>
      </c>
      <c r="H472" s="3" t="s">
        <v>59</v>
      </c>
      <c r="I472" s="3" t="s">
        <v>59</v>
      </c>
      <c r="J472" s="3" t="s">
        <v>61</v>
      </c>
      <c r="L472" s="2" t="s">
        <v>5627</v>
      </c>
      <c r="M472" s="3" t="s">
        <v>2073</v>
      </c>
      <c r="O472" s="3" t="s">
        <v>64</v>
      </c>
      <c r="P472" s="3" t="s">
        <v>145</v>
      </c>
      <c r="R472" s="3" t="s">
        <v>67</v>
      </c>
      <c r="S472" s="4">
        <v>2</v>
      </c>
      <c r="T472" s="4">
        <v>2</v>
      </c>
      <c r="U472" s="5" t="s">
        <v>1838</v>
      </c>
      <c r="V472" s="5" t="s">
        <v>1838</v>
      </c>
      <c r="W472" s="5" t="s">
        <v>4507</v>
      </c>
      <c r="X472" s="5" t="s">
        <v>4507</v>
      </c>
      <c r="Y472" s="4">
        <v>68</v>
      </c>
      <c r="Z472" s="4">
        <v>63</v>
      </c>
      <c r="AA472" s="4">
        <v>262</v>
      </c>
      <c r="AB472" s="4">
        <v>2</v>
      </c>
      <c r="AC472" s="4">
        <v>4</v>
      </c>
      <c r="AD472" s="4">
        <v>1</v>
      </c>
      <c r="AE472" s="4">
        <v>6</v>
      </c>
      <c r="AF472" s="4">
        <v>0</v>
      </c>
      <c r="AG472" s="4">
        <v>2</v>
      </c>
      <c r="AH472" s="4">
        <v>0</v>
      </c>
      <c r="AI472" s="4">
        <v>0</v>
      </c>
      <c r="AJ472" s="4">
        <v>0</v>
      </c>
      <c r="AK472" s="4">
        <v>1</v>
      </c>
      <c r="AL472" s="4">
        <v>1</v>
      </c>
      <c r="AM472" s="4">
        <v>3</v>
      </c>
      <c r="AN472" s="4">
        <v>0</v>
      </c>
      <c r="AO472" s="4">
        <v>0</v>
      </c>
      <c r="AP472" s="3" t="s">
        <v>59</v>
      </c>
      <c r="AQ472" s="3" t="s">
        <v>59</v>
      </c>
      <c r="AS472" s="6" t="str">
        <f>HYPERLINK("https://creighton-primo.hosted.exlibrisgroup.com/primo-explore/search?tab=default_tab&amp;search_scope=EVERYTHING&amp;vid=01CRU&amp;lang=en_US&amp;offset=0&amp;query=any,contains,991000159319702656","Catalog Record")</f>
        <v>Catalog Record</v>
      </c>
      <c r="AT472" s="6" t="str">
        <f>HYPERLINK("http://www.worldcat.org/oclc/9256341","WorldCat Record")</f>
        <v>WorldCat Record</v>
      </c>
      <c r="AU472" s="3" t="s">
        <v>5628</v>
      </c>
      <c r="AV472" s="3" t="s">
        <v>5629</v>
      </c>
      <c r="AW472" s="3" t="s">
        <v>5630</v>
      </c>
      <c r="AX472" s="3" t="s">
        <v>5630</v>
      </c>
      <c r="AY472" s="3" t="s">
        <v>5631</v>
      </c>
      <c r="AZ472" s="3" t="s">
        <v>74</v>
      </c>
      <c r="BB472" s="3" t="s">
        <v>5632</v>
      </c>
      <c r="BC472" s="3" t="s">
        <v>5633</v>
      </c>
      <c r="BD472" s="3" t="s">
        <v>5634</v>
      </c>
    </row>
    <row r="473" spans="1:56" ht="57.75" customHeight="1" x14ac:dyDescent="0.25">
      <c r="A473" s="7" t="s">
        <v>59</v>
      </c>
      <c r="B473" s="2" t="s">
        <v>5635</v>
      </c>
      <c r="C473" s="2" t="s">
        <v>5636</v>
      </c>
      <c r="D473" s="2" t="s">
        <v>5637</v>
      </c>
      <c r="F473" s="3" t="s">
        <v>59</v>
      </c>
      <c r="G473" s="3" t="s">
        <v>60</v>
      </c>
      <c r="H473" s="3" t="s">
        <v>59</v>
      </c>
      <c r="I473" s="3" t="s">
        <v>59</v>
      </c>
      <c r="J473" s="3" t="s">
        <v>61</v>
      </c>
      <c r="K473" s="2" t="s">
        <v>5260</v>
      </c>
      <c r="L473" s="2" t="s">
        <v>5638</v>
      </c>
      <c r="M473" s="3" t="s">
        <v>4175</v>
      </c>
      <c r="O473" s="3" t="s">
        <v>64</v>
      </c>
      <c r="P473" s="3" t="s">
        <v>467</v>
      </c>
      <c r="R473" s="3" t="s">
        <v>67</v>
      </c>
      <c r="S473" s="4">
        <v>9</v>
      </c>
      <c r="T473" s="4">
        <v>9</v>
      </c>
      <c r="U473" s="5" t="s">
        <v>469</v>
      </c>
      <c r="V473" s="5" t="s">
        <v>469</v>
      </c>
      <c r="W473" s="5" t="s">
        <v>1801</v>
      </c>
      <c r="X473" s="5" t="s">
        <v>1801</v>
      </c>
      <c r="Y473" s="4">
        <v>500</v>
      </c>
      <c r="Z473" s="4">
        <v>406</v>
      </c>
      <c r="AA473" s="4">
        <v>621</v>
      </c>
      <c r="AB473" s="4">
        <v>4</v>
      </c>
      <c r="AC473" s="4">
        <v>5</v>
      </c>
      <c r="AD473" s="4">
        <v>17</v>
      </c>
      <c r="AE473" s="4">
        <v>24</v>
      </c>
      <c r="AF473" s="4">
        <v>4</v>
      </c>
      <c r="AG473" s="4">
        <v>8</v>
      </c>
      <c r="AH473" s="4">
        <v>3</v>
      </c>
      <c r="AI473" s="4">
        <v>3</v>
      </c>
      <c r="AJ473" s="4">
        <v>11</v>
      </c>
      <c r="AK473" s="4">
        <v>14</v>
      </c>
      <c r="AL473" s="4">
        <v>3</v>
      </c>
      <c r="AM473" s="4">
        <v>4</v>
      </c>
      <c r="AN473" s="4">
        <v>0</v>
      </c>
      <c r="AO473" s="4">
        <v>0</v>
      </c>
      <c r="AP473" s="3" t="s">
        <v>59</v>
      </c>
      <c r="AQ473" s="3" t="s">
        <v>69</v>
      </c>
      <c r="AR473" s="6" t="str">
        <f>HYPERLINK("http://catalog.hathitrust.org/Record/001500317","HathiTrust Record")</f>
        <v>HathiTrust Record</v>
      </c>
      <c r="AS473" s="6" t="str">
        <f>HYPERLINK("https://creighton-primo.hosted.exlibrisgroup.com/primo-explore/search?tab=default_tab&amp;search_scope=EVERYTHING&amp;vid=01CRU&amp;lang=en_US&amp;offset=0&amp;query=any,contains,991002835759702656","Catalog Record")</f>
        <v>Catalog Record</v>
      </c>
      <c r="AT473" s="6" t="str">
        <f>HYPERLINK("http://www.worldcat.org/oclc/479885","WorldCat Record")</f>
        <v>WorldCat Record</v>
      </c>
      <c r="AU473" s="3" t="s">
        <v>5639</v>
      </c>
      <c r="AV473" s="3" t="s">
        <v>5640</v>
      </c>
      <c r="AW473" s="3" t="s">
        <v>5641</v>
      </c>
      <c r="AX473" s="3" t="s">
        <v>5641</v>
      </c>
      <c r="AY473" s="3" t="s">
        <v>5642</v>
      </c>
      <c r="AZ473" s="3" t="s">
        <v>74</v>
      </c>
      <c r="BC473" s="3" t="s">
        <v>5643</v>
      </c>
      <c r="BD473" s="3" t="s">
        <v>5644</v>
      </c>
    </row>
    <row r="474" spans="1:56" ht="57.75" customHeight="1" x14ac:dyDescent="0.25">
      <c r="A474" s="7" t="s">
        <v>59</v>
      </c>
      <c r="B474" s="2" t="s">
        <v>5645</v>
      </c>
      <c r="C474" s="2" t="s">
        <v>5646</v>
      </c>
      <c r="D474" s="2" t="s">
        <v>5647</v>
      </c>
      <c r="F474" s="3" t="s">
        <v>59</v>
      </c>
      <c r="G474" s="3" t="s">
        <v>60</v>
      </c>
      <c r="H474" s="3" t="s">
        <v>59</v>
      </c>
      <c r="I474" s="3" t="s">
        <v>59</v>
      </c>
      <c r="J474" s="3" t="s">
        <v>61</v>
      </c>
      <c r="K474" s="2" t="s">
        <v>5648</v>
      </c>
      <c r="L474" s="2" t="s">
        <v>5649</v>
      </c>
      <c r="M474" s="3" t="s">
        <v>452</v>
      </c>
      <c r="N474" s="2" t="s">
        <v>5650</v>
      </c>
      <c r="O474" s="3" t="s">
        <v>64</v>
      </c>
      <c r="P474" s="3" t="s">
        <v>467</v>
      </c>
      <c r="R474" s="3" t="s">
        <v>67</v>
      </c>
      <c r="S474" s="4">
        <v>12</v>
      </c>
      <c r="T474" s="4">
        <v>12</v>
      </c>
      <c r="U474" s="5" t="s">
        <v>5651</v>
      </c>
      <c r="V474" s="5" t="s">
        <v>5651</v>
      </c>
      <c r="W474" s="5" t="s">
        <v>1801</v>
      </c>
      <c r="X474" s="5" t="s">
        <v>1801</v>
      </c>
      <c r="Y474" s="4">
        <v>171</v>
      </c>
      <c r="Z474" s="4">
        <v>156</v>
      </c>
      <c r="AA474" s="4">
        <v>408</v>
      </c>
      <c r="AB474" s="4">
        <v>2</v>
      </c>
      <c r="AC474" s="4">
        <v>5</v>
      </c>
      <c r="AD474" s="4">
        <v>3</v>
      </c>
      <c r="AE474" s="4">
        <v>18</v>
      </c>
      <c r="AF474" s="4">
        <v>2</v>
      </c>
      <c r="AG474" s="4">
        <v>10</v>
      </c>
      <c r="AH474" s="4">
        <v>0</v>
      </c>
      <c r="AI474" s="4">
        <v>3</v>
      </c>
      <c r="AJ474" s="4">
        <v>0</v>
      </c>
      <c r="AK474" s="4">
        <v>5</v>
      </c>
      <c r="AL474" s="4">
        <v>1</v>
      </c>
      <c r="AM474" s="4">
        <v>4</v>
      </c>
      <c r="AN474" s="4">
        <v>0</v>
      </c>
      <c r="AO474" s="4">
        <v>0</v>
      </c>
      <c r="AP474" s="3" t="s">
        <v>59</v>
      </c>
      <c r="AQ474" s="3" t="s">
        <v>69</v>
      </c>
      <c r="AR474" s="6" t="str">
        <f>HYPERLINK("http://catalog.hathitrust.org/Record/008001411","HathiTrust Record")</f>
        <v>HathiTrust Record</v>
      </c>
      <c r="AS474" s="6" t="str">
        <f>HYPERLINK("https://creighton-primo.hosted.exlibrisgroup.com/primo-explore/search?tab=default_tab&amp;search_scope=EVERYTHING&amp;vid=01CRU&amp;lang=en_US&amp;offset=0&amp;query=any,contains,991003249989702656","Catalog Record")</f>
        <v>Catalog Record</v>
      </c>
      <c r="AT474" s="6" t="str">
        <f>HYPERLINK("http://www.worldcat.org/oclc/775002","WorldCat Record")</f>
        <v>WorldCat Record</v>
      </c>
      <c r="AU474" s="3" t="s">
        <v>5652</v>
      </c>
      <c r="AV474" s="3" t="s">
        <v>5653</v>
      </c>
      <c r="AW474" s="3" t="s">
        <v>5654</v>
      </c>
      <c r="AX474" s="3" t="s">
        <v>5654</v>
      </c>
      <c r="AY474" s="3" t="s">
        <v>5655</v>
      </c>
      <c r="AZ474" s="3" t="s">
        <v>74</v>
      </c>
      <c r="BC474" s="3" t="s">
        <v>5656</v>
      </c>
      <c r="BD474" s="3" t="s">
        <v>5657</v>
      </c>
    </row>
    <row r="475" spans="1:56" ht="57.75" customHeight="1" x14ac:dyDescent="0.25">
      <c r="A475" s="7" t="s">
        <v>59</v>
      </c>
      <c r="B475" s="2" t="s">
        <v>5658</v>
      </c>
      <c r="C475" s="2" t="s">
        <v>5659</v>
      </c>
      <c r="D475" s="2" t="s">
        <v>5660</v>
      </c>
      <c r="F475" s="3" t="s">
        <v>59</v>
      </c>
      <c r="G475" s="3" t="s">
        <v>60</v>
      </c>
      <c r="H475" s="3" t="s">
        <v>59</v>
      </c>
      <c r="I475" s="3" t="s">
        <v>59</v>
      </c>
      <c r="J475" s="3" t="s">
        <v>61</v>
      </c>
      <c r="K475" s="2" t="s">
        <v>5661</v>
      </c>
      <c r="L475" s="2" t="s">
        <v>5662</v>
      </c>
      <c r="M475" s="3" t="s">
        <v>144</v>
      </c>
      <c r="O475" s="3" t="s">
        <v>64</v>
      </c>
      <c r="P475" s="3" t="s">
        <v>630</v>
      </c>
      <c r="R475" s="3" t="s">
        <v>67</v>
      </c>
      <c r="S475" s="4">
        <v>2</v>
      </c>
      <c r="T475" s="4">
        <v>2</v>
      </c>
      <c r="U475" s="5" t="s">
        <v>5663</v>
      </c>
      <c r="V475" s="5" t="s">
        <v>5663</v>
      </c>
      <c r="W475" s="5" t="s">
        <v>5664</v>
      </c>
      <c r="X475" s="5" t="s">
        <v>5664</v>
      </c>
      <c r="Y475" s="4">
        <v>2480</v>
      </c>
      <c r="Z475" s="4">
        <v>2415</v>
      </c>
      <c r="AA475" s="4">
        <v>2420</v>
      </c>
      <c r="AB475" s="4">
        <v>18</v>
      </c>
      <c r="AC475" s="4">
        <v>18</v>
      </c>
      <c r="AD475" s="4">
        <v>11</v>
      </c>
      <c r="AE475" s="4">
        <v>11</v>
      </c>
      <c r="AF475" s="4">
        <v>4</v>
      </c>
      <c r="AG475" s="4">
        <v>4</v>
      </c>
      <c r="AH475" s="4">
        <v>2</v>
      </c>
      <c r="AI475" s="4">
        <v>2</v>
      </c>
      <c r="AJ475" s="4">
        <v>5</v>
      </c>
      <c r="AK475" s="4">
        <v>5</v>
      </c>
      <c r="AL475" s="4">
        <v>2</v>
      </c>
      <c r="AM475" s="4">
        <v>2</v>
      </c>
      <c r="AN475" s="4">
        <v>0</v>
      </c>
      <c r="AO475" s="4">
        <v>0</v>
      </c>
      <c r="AP475" s="3" t="s">
        <v>59</v>
      </c>
      <c r="AQ475" s="3" t="s">
        <v>59</v>
      </c>
      <c r="AS475" s="6" t="str">
        <f>HYPERLINK("https://creighton-primo.hosted.exlibrisgroup.com/primo-explore/search?tab=default_tab&amp;search_scope=EVERYTHING&amp;vid=01CRU&amp;lang=en_US&amp;offset=0&amp;query=any,contains,991004764709702656","Catalog Record")</f>
        <v>Catalog Record</v>
      </c>
      <c r="AT475" s="6" t="str">
        <f>HYPERLINK("http://www.worldcat.org/oclc/56368374","WorldCat Record")</f>
        <v>WorldCat Record</v>
      </c>
      <c r="AU475" s="3" t="s">
        <v>5665</v>
      </c>
      <c r="AV475" s="3" t="s">
        <v>5666</v>
      </c>
      <c r="AW475" s="3" t="s">
        <v>5667</v>
      </c>
      <c r="AX475" s="3" t="s">
        <v>5667</v>
      </c>
      <c r="AY475" s="3" t="s">
        <v>5668</v>
      </c>
      <c r="AZ475" s="3" t="s">
        <v>74</v>
      </c>
      <c r="BB475" s="3" t="s">
        <v>5669</v>
      </c>
      <c r="BC475" s="3" t="s">
        <v>5670</v>
      </c>
      <c r="BD475" s="3" t="s">
        <v>5671</v>
      </c>
    </row>
    <row r="476" spans="1:56" ht="57.75" customHeight="1" x14ac:dyDescent="0.25">
      <c r="A476" s="7" t="s">
        <v>59</v>
      </c>
      <c r="B476" s="2" t="s">
        <v>5672</v>
      </c>
      <c r="C476" s="2" t="s">
        <v>5673</v>
      </c>
      <c r="D476" s="2" t="s">
        <v>5674</v>
      </c>
      <c r="F476" s="3" t="s">
        <v>59</v>
      </c>
      <c r="G476" s="3" t="s">
        <v>60</v>
      </c>
      <c r="H476" s="3" t="s">
        <v>59</v>
      </c>
      <c r="I476" s="3" t="s">
        <v>59</v>
      </c>
      <c r="J476" s="3" t="s">
        <v>61</v>
      </c>
      <c r="K476" s="2" t="s">
        <v>5675</v>
      </c>
      <c r="L476" s="2" t="s">
        <v>5676</v>
      </c>
      <c r="M476" s="3" t="s">
        <v>420</v>
      </c>
      <c r="O476" s="3" t="s">
        <v>64</v>
      </c>
      <c r="P476" s="3" t="s">
        <v>3297</v>
      </c>
      <c r="Q476" s="2" t="s">
        <v>5677</v>
      </c>
      <c r="R476" s="3" t="s">
        <v>67</v>
      </c>
      <c r="S476" s="4">
        <v>9</v>
      </c>
      <c r="T476" s="4">
        <v>9</v>
      </c>
      <c r="U476" s="5" t="s">
        <v>1866</v>
      </c>
      <c r="V476" s="5" t="s">
        <v>1866</v>
      </c>
      <c r="W476" s="5" t="s">
        <v>5678</v>
      </c>
      <c r="X476" s="5" t="s">
        <v>5678</v>
      </c>
      <c r="Y476" s="4">
        <v>148</v>
      </c>
      <c r="Z476" s="4">
        <v>134</v>
      </c>
      <c r="AA476" s="4">
        <v>159</v>
      </c>
      <c r="AB476" s="4">
        <v>1</v>
      </c>
      <c r="AC476" s="4">
        <v>1</v>
      </c>
      <c r="AD476" s="4">
        <v>2</v>
      </c>
      <c r="AE476" s="4">
        <v>2</v>
      </c>
      <c r="AF476" s="4">
        <v>1</v>
      </c>
      <c r="AG476" s="4">
        <v>1</v>
      </c>
      <c r="AH476" s="4">
        <v>1</v>
      </c>
      <c r="AI476" s="4">
        <v>1</v>
      </c>
      <c r="AJ476" s="4">
        <v>0</v>
      </c>
      <c r="AK476" s="4">
        <v>0</v>
      </c>
      <c r="AL476" s="4">
        <v>0</v>
      </c>
      <c r="AM476" s="4">
        <v>0</v>
      </c>
      <c r="AN476" s="4">
        <v>0</v>
      </c>
      <c r="AO476" s="4">
        <v>0</v>
      </c>
      <c r="AP476" s="3" t="s">
        <v>59</v>
      </c>
      <c r="AQ476" s="3" t="s">
        <v>69</v>
      </c>
      <c r="AR476" s="6" t="str">
        <f>HYPERLINK("http://catalog.hathitrust.org/Record/001515713","HathiTrust Record")</f>
        <v>HathiTrust Record</v>
      </c>
      <c r="AS476" s="6" t="str">
        <f>HYPERLINK("https://creighton-primo.hosted.exlibrisgroup.com/primo-explore/search?tab=default_tab&amp;search_scope=EVERYTHING&amp;vid=01CRU&amp;lang=en_US&amp;offset=0&amp;query=any,contains,991003911949702656","Catalog Record")</f>
        <v>Catalog Record</v>
      </c>
      <c r="AT476" s="6" t="str">
        <f>HYPERLINK("http://www.worldcat.org/oclc/1853621","WorldCat Record")</f>
        <v>WorldCat Record</v>
      </c>
      <c r="AU476" s="3" t="s">
        <v>5679</v>
      </c>
      <c r="AV476" s="3" t="s">
        <v>5680</v>
      </c>
      <c r="AW476" s="3" t="s">
        <v>5681</v>
      </c>
      <c r="AX476" s="3" t="s">
        <v>5681</v>
      </c>
      <c r="AY476" s="3" t="s">
        <v>5682</v>
      </c>
      <c r="AZ476" s="3" t="s">
        <v>74</v>
      </c>
      <c r="BB476" s="3" t="s">
        <v>5683</v>
      </c>
      <c r="BC476" s="3" t="s">
        <v>5684</v>
      </c>
      <c r="BD476" s="3" t="s">
        <v>5685</v>
      </c>
    </row>
    <row r="477" spans="1:56" ht="57.75" customHeight="1" x14ac:dyDescent="0.25">
      <c r="A477" s="7" t="s">
        <v>59</v>
      </c>
      <c r="B477" s="2" t="s">
        <v>5686</v>
      </c>
      <c r="C477" s="2" t="s">
        <v>5687</v>
      </c>
      <c r="D477" s="2" t="s">
        <v>5688</v>
      </c>
      <c r="F477" s="3" t="s">
        <v>59</v>
      </c>
      <c r="G477" s="3" t="s">
        <v>60</v>
      </c>
      <c r="H477" s="3" t="s">
        <v>59</v>
      </c>
      <c r="I477" s="3" t="s">
        <v>59</v>
      </c>
      <c r="J477" s="3" t="s">
        <v>61</v>
      </c>
      <c r="K477" s="2" t="s">
        <v>5592</v>
      </c>
      <c r="L477" s="2" t="s">
        <v>5689</v>
      </c>
      <c r="M477" s="3" t="s">
        <v>2139</v>
      </c>
      <c r="O477" s="3" t="s">
        <v>64</v>
      </c>
      <c r="P477" s="3" t="s">
        <v>630</v>
      </c>
      <c r="R477" s="3" t="s">
        <v>67</v>
      </c>
      <c r="S477" s="4">
        <v>49</v>
      </c>
      <c r="T477" s="4">
        <v>49</v>
      </c>
      <c r="U477" s="5" t="s">
        <v>1866</v>
      </c>
      <c r="V477" s="5" t="s">
        <v>1866</v>
      </c>
      <c r="W477" s="5" t="s">
        <v>3695</v>
      </c>
      <c r="X477" s="5" t="s">
        <v>3695</v>
      </c>
      <c r="Y477" s="4">
        <v>523</v>
      </c>
      <c r="Z477" s="4">
        <v>421</v>
      </c>
      <c r="AA477" s="4">
        <v>436</v>
      </c>
      <c r="AB477" s="4">
        <v>5</v>
      </c>
      <c r="AC477" s="4">
        <v>5</v>
      </c>
      <c r="AD477" s="4">
        <v>15</v>
      </c>
      <c r="AE477" s="4">
        <v>15</v>
      </c>
      <c r="AF477" s="4">
        <v>5</v>
      </c>
      <c r="AG477" s="4">
        <v>5</v>
      </c>
      <c r="AH477" s="4">
        <v>4</v>
      </c>
      <c r="AI477" s="4">
        <v>4</v>
      </c>
      <c r="AJ477" s="4">
        <v>6</v>
      </c>
      <c r="AK477" s="4">
        <v>6</v>
      </c>
      <c r="AL477" s="4">
        <v>4</v>
      </c>
      <c r="AM477" s="4">
        <v>4</v>
      </c>
      <c r="AN477" s="4">
        <v>0</v>
      </c>
      <c r="AO477" s="4">
        <v>0</v>
      </c>
      <c r="AP477" s="3" t="s">
        <v>59</v>
      </c>
      <c r="AQ477" s="3" t="s">
        <v>69</v>
      </c>
      <c r="AR477" s="6" t="str">
        <f>HYPERLINK("http://catalog.hathitrust.org/Record/000025706","HathiTrust Record")</f>
        <v>HathiTrust Record</v>
      </c>
      <c r="AS477" s="6" t="str">
        <f>HYPERLINK("https://creighton-primo.hosted.exlibrisgroup.com/primo-explore/search?tab=default_tab&amp;search_scope=EVERYTHING&amp;vid=01CRU&amp;lang=en_US&amp;offset=0&amp;query=any,contains,991003651269702656","Catalog Record")</f>
        <v>Catalog Record</v>
      </c>
      <c r="AT477" s="6" t="str">
        <f>HYPERLINK("http://www.worldcat.org/oclc/1255001","WorldCat Record")</f>
        <v>WorldCat Record</v>
      </c>
      <c r="AU477" s="3" t="s">
        <v>5690</v>
      </c>
      <c r="AV477" s="3" t="s">
        <v>5691</v>
      </c>
      <c r="AW477" s="3" t="s">
        <v>5692</v>
      </c>
      <c r="AX477" s="3" t="s">
        <v>5692</v>
      </c>
      <c r="AY477" s="3" t="s">
        <v>5693</v>
      </c>
      <c r="AZ477" s="3" t="s">
        <v>74</v>
      </c>
      <c r="BB477" s="3" t="s">
        <v>5694</v>
      </c>
      <c r="BC477" s="3" t="s">
        <v>5695</v>
      </c>
      <c r="BD477" s="3" t="s">
        <v>5696</v>
      </c>
    </row>
    <row r="478" spans="1:56" ht="57.75" customHeight="1" x14ac:dyDescent="0.25">
      <c r="A478" s="7" t="s">
        <v>59</v>
      </c>
      <c r="B478" s="2" t="s">
        <v>5697</v>
      </c>
      <c r="C478" s="2" t="s">
        <v>5698</v>
      </c>
      <c r="D478" s="2" t="s">
        <v>5699</v>
      </c>
      <c r="F478" s="3" t="s">
        <v>59</v>
      </c>
      <c r="G478" s="3" t="s">
        <v>60</v>
      </c>
      <c r="H478" s="3" t="s">
        <v>59</v>
      </c>
      <c r="I478" s="3" t="s">
        <v>59</v>
      </c>
      <c r="J478" s="3" t="s">
        <v>61</v>
      </c>
      <c r="K478" s="2" t="s">
        <v>5700</v>
      </c>
      <c r="L478" s="2" t="s">
        <v>3747</v>
      </c>
      <c r="M478" s="3" t="s">
        <v>864</v>
      </c>
      <c r="O478" s="3" t="s">
        <v>64</v>
      </c>
      <c r="P478" s="3" t="s">
        <v>467</v>
      </c>
      <c r="R478" s="3" t="s">
        <v>67</v>
      </c>
      <c r="S478" s="4">
        <v>2</v>
      </c>
      <c r="T478" s="4">
        <v>2</v>
      </c>
      <c r="U478" s="5" t="s">
        <v>5701</v>
      </c>
      <c r="V478" s="5" t="s">
        <v>5701</v>
      </c>
      <c r="W478" s="5" t="s">
        <v>5702</v>
      </c>
      <c r="X478" s="5" t="s">
        <v>5702</v>
      </c>
      <c r="Y478" s="4">
        <v>322</v>
      </c>
      <c r="Z478" s="4">
        <v>235</v>
      </c>
      <c r="AA478" s="4">
        <v>236</v>
      </c>
      <c r="AB478" s="4">
        <v>3</v>
      </c>
      <c r="AC478" s="4">
        <v>3</v>
      </c>
      <c r="AD478" s="4">
        <v>11</v>
      </c>
      <c r="AE478" s="4">
        <v>11</v>
      </c>
      <c r="AF478" s="4">
        <v>2</v>
      </c>
      <c r="AG478" s="4">
        <v>2</v>
      </c>
      <c r="AH478" s="4">
        <v>4</v>
      </c>
      <c r="AI478" s="4">
        <v>4</v>
      </c>
      <c r="AJ478" s="4">
        <v>5</v>
      </c>
      <c r="AK478" s="4">
        <v>5</v>
      </c>
      <c r="AL478" s="4">
        <v>2</v>
      </c>
      <c r="AM478" s="4">
        <v>2</v>
      </c>
      <c r="AN478" s="4">
        <v>0</v>
      </c>
      <c r="AO478" s="4">
        <v>0</v>
      </c>
      <c r="AP478" s="3" t="s">
        <v>59</v>
      </c>
      <c r="AQ478" s="3" t="s">
        <v>69</v>
      </c>
      <c r="AR478" s="6" t="str">
        <f>HYPERLINK("http://catalog.hathitrust.org/Record/001500365","HathiTrust Record")</f>
        <v>HathiTrust Record</v>
      </c>
      <c r="AS478" s="6" t="str">
        <f>HYPERLINK("https://creighton-primo.hosted.exlibrisgroup.com/primo-explore/search?tab=default_tab&amp;search_scope=EVERYTHING&amp;vid=01CRU&amp;lang=en_US&amp;offset=0&amp;query=any,contains,991000550399702656","Catalog Record")</f>
        <v>Catalog Record</v>
      </c>
      <c r="AT478" s="6" t="str">
        <f>HYPERLINK("http://www.worldcat.org/oclc/92495","WorldCat Record")</f>
        <v>WorldCat Record</v>
      </c>
      <c r="AU478" s="3" t="s">
        <v>5703</v>
      </c>
      <c r="AV478" s="3" t="s">
        <v>5704</v>
      </c>
      <c r="AW478" s="3" t="s">
        <v>5705</v>
      </c>
      <c r="AX478" s="3" t="s">
        <v>5705</v>
      </c>
      <c r="AY478" s="3" t="s">
        <v>5706</v>
      </c>
      <c r="AZ478" s="3" t="s">
        <v>74</v>
      </c>
      <c r="BC478" s="3" t="s">
        <v>5707</v>
      </c>
      <c r="BD478" s="3" t="s">
        <v>5708</v>
      </c>
    </row>
    <row r="479" spans="1:56" ht="57.75" customHeight="1" x14ac:dyDescent="0.25">
      <c r="A479" s="7" t="s">
        <v>59</v>
      </c>
      <c r="B479" s="2" t="s">
        <v>5709</v>
      </c>
      <c r="C479" s="2" t="s">
        <v>5710</v>
      </c>
      <c r="D479" s="2" t="s">
        <v>5711</v>
      </c>
      <c r="E479" s="3" t="s">
        <v>923</v>
      </c>
      <c r="F479" s="3" t="s">
        <v>69</v>
      </c>
      <c r="G479" s="3" t="s">
        <v>60</v>
      </c>
      <c r="H479" s="3" t="s">
        <v>59</v>
      </c>
      <c r="I479" s="3" t="s">
        <v>59</v>
      </c>
      <c r="J479" s="3" t="s">
        <v>61</v>
      </c>
      <c r="L479" s="2" t="s">
        <v>5712</v>
      </c>
      <c r="M479" s="3" t="s">
        <v>1837</v>
      </c>
      <c r="O479" s="3" t="s">
        <v>64</v>
      </c>
      <c r="P479" s="3" t="s">
        <v>467</v>
      </c>
      <c r="R479" s="3" t="s">
        <v>67</v>
      </c>
      <c r="S479" s="4">
        <v>4</v>
      </c>
      <c r="T479" s="4">
        <v>7</v>
      </c>
      <c r="U479" s="5" t="s">
        <v>3362</v>
      </c>
      <c r="V479" s="5" t="s">
        <v>5701</v>
      </c>
      <c r="W479" s="5" t="s">
        <v>1950</v>
      </c>
      <c r="X479" s="5" t="s">
        <v>1950</v>
      </c>
      <c r="Y479" s="4">
        <v>228</v>
      </c>
      <c r="Z479" s="4">
        <v>168</v>
      </c>
      <c r="AA479" s="4">
        <v>176</v>
      </c>
      <c r="AB479" s="4">
        <v>1</v>
      </c>
      <c r="AC479" s="4">
        <v>1</v>
      </c>
      <c r="AD479" s="4">
        <v>9</v>
      </c>
      <c r="AE479" s="4">
        <v>10</v>
      </c>
      <c r="AF479" s="4">
        <v>4</v>
      </c>
      <c r="AG479" s="4">
        <v>5</v>
      </c>
      <c r="AH479" s="4">
        <v>1</v>
      </c>
      <c r="AI479" s="4">
        <v>1</v>
      </c>
      <c r="AJ479" s="4">
        <v>7</v>
      </c>
      <c r="AK479" s="4">
        <v>8</v>
      </c>
      <c r="AL479" s="4">
        <v>0</v>
      </c>
      <c r="AM479" s="4">
        <v>0</v>
      </c>
      <c r="AN479" s="4">
        <v>0</v>
      </c>
      <c r="AO479" s="4">
        <v>0</v>
      </c>
      <c r="AP479" s="3" t="s">
        <v>59</v>
      </c>
      <c r="AQ479" s="3" t="s">
        <v>69</v>
      </c>
      <c r="AR479" s="6" t="str">
        <f>HYPERLINK("http://catalog.hathitrust.org/Record/002780145","HathiTrust Record")</f>
        <v>HathiTrust Record</v>
      </c>
      <c r="AS479" s="6" t="str">
        <f>HYPERLINK("https://creighton-primo.hosted.exlibrisgroup.com/primo-explore/search?tab=default_tab&amp;search_scope=EVERYTHING&amp;vid=01CRU&amp;lang=en_US&amp;offset=0&amp;query=any,contains,991002122939702656","Catalog Record")</f>
        <v>Catalog Record</v>
      </c>
      <c r="AT479" s="6" t="str">
        <f>HYPERLINK("http://www.worldcat.org/oclc/27187165","WorldCat Record")</f>
        <v>WorldCat Record</v>
      </c>
      <c r="AU479" s="3" t="s">
        <v>5713</v>
      </c>
      <c r="AV479" s="3" t="s">
        <v>5714</v>
      </c>
      <c r="AW479" s="3" t="s">
        <v>5715</v>
      </c>
      <c r="AX479" s="3" t="s">
        <v>5715</v>
      </c>
      <c r="AY479" s="3" t="s">
        <v>5716</v>
      </c>
      <c r="AZ479" s="3" t="s">
        <v>74</v>
      </c>
      <c r="BB479" s="3" t="s">
        <v>5717</v>
      </c>
      <c r="BC479" s="3" t="s">
        <v>5718</v>
      </c>
      <c r="BD479" s="3" t="s">
        <v>5719</v>
      </c>
    </row>
    <row r="480" spans="1:56" ht="57.75" customHeight="1" x14ac:dyDescent="0.25">
      <c r="A480" s="7" t="s">
        <v>59</v>
      </c>
      <c r="B480" s="2" t="s">
        <v>5709</v>
      </c>
      <c r="C480" s="2" t="s">
        <v>5710</v>
      </c>
      <c r="D480" s="2" t="s">
        <v>5711</v>
      </c>
      <c r="E480" s="3" t="s">
        <v>917</v>
      </c>
      <c r="F480" s="3" t="s">
        <v>69</v>
      </c>
      <c r="G480" s="3" t="s">
        <v>60</v>
      </c>
      <c r="H480" s="3" t="s">
        <v>59</v>
      </c>
      <c r="I480" s="3" t="s">
        <v>59</v>
      </c>
      <c r="J480" s="3" t="s">
        <v>61</v>
      </c>
      <c r="L480" s="2" t="s">
        <v>5712</v>
      </c>
      <c r="M480" s="3" t="s">
        <v>1837</v>
      </c>
      <c r="O480" s="3" t="s">
        <v>64</v>
      </c>
      <c r="P480" s="3" t="s">
        <v>467</v>
      </c>
      <c r="R480" s="3" t="s">
        <v>67</v>
      </c>
      <c r="S480" s="4">
        <v>3</v>
      </c>
      <c r="T480" s="4">
        <v>7</v>
      </c>
      <c r="U480" s="5" t="s">
        <v>5701</v>
      </c>
      <c r="V480" s="5" t="s">
        <v>5701</v>
      </c>
      <c r="W480" s="5" t="s">
        <v>1950</v>
      </c>
      <c r="X480" s="5" t="s">
        <v>1950</v>
      </c>
      <c r="Y480" s="4">
        <v>228</v>
      </c>
      <c r="Z480" s="4">
        <v>168</v>
      </c>
      <c r="AA480" s="4">
        <v>176</v>
      </c>
      <c r="AB480" s="4">
        <v>1</v>
      </c>
      <c r="AC480" s="4">
        <v>1</v>
      </c>
      <c r="AD480" s="4">
        <v>9</v>
      </c>
      <c r="AE480" s="4">
        <v>10</v>
      </c>
      <c r="AF480" s="4">
        <v>4</v>
      </c>
      <c r="AG480" s="4">
        <v>5</v>
      </c>
      <c r="AH480" s="4">
        <v>1</v>
      </c>
      <c r="AI480" s="4">
        <v>1</v>
      </c>
      <c r="AJ480" s="4">
        <v>7</v>
      </c>
      <c r="AK480" s="4">
        <v>8</v>
      </c>
      <c r="AL480" s="4">
        <v>0</v>
      </c>
      <c r="AM480" s="4">
        <v>0</v>
      </c>
      <c r="AN480" s="4">
        <v>0</v>
      </c>
      <c r="AO480" s="4">
        <v>0</v>
      </c>
      <c r="AP480" s="3" t="s">
        <v>59</v>
      </c>
      <c r="AQ480" s="3" t="s">
        <v>69</v>
      </c>
      <c r="AR480" s="6" t="str">
        <f>HYPERLINK("http://catalog.hathitrust.org/Record/002780145","HathiTrust Record")</f>
        <v>HathiTrust Record</v>
      </c>
      <c r="AS480" s="6" t="str">
        <f>HYPERLINK("https://creighton-primo.hosted.exlibrisgroup.com/primo-explore/search?tab=default_tab&amp;search_scope=EVERYTHING&amp;vid=01CRU&amp;lang=en_US&amp;offset=0&amp;query=any,contains,991002122939702656","Catalog Record")</f>
        <v>Catalog Record</v>
      </c>
      <c r="AT480" s="6" t="str">
        <f>HYPERLINK("http://www.worldcat.org/oclc/27187165","WorldCat Record")</f>
        <v>WorldCat Record</v>
      </c>
      <c r="AU480" s="3" t="s">
        <v>5713</v>
      </c>
      <c r="AV480" s="3" t="s">
        <v>5714</v>
      </c>
      <c r="AW480" s="3" t="s">
        <v>5715</v>
      </c>
      <c r="AX480" s="3" t="s">
        <v>5715</v>
      </c>
      <c r="AY480" s="3" t="s">
        <v>5716</v>
      </c>
      <c r="AZ480" s="3" t="s">
        <v>74</v>
      </c>
      <c r="BB480" s="3" t="s">
        <v>5717</v>
      </c>
      <c r="BC480" s="3" t="s">
        <v>5720</v>
      </c>
      <c r="BD480" s="3" t="s">
        <v>5721</v>
      </c>
    </row>
    <row r="481" spans="1:56" ht="57.75" customHeight="1" x14ac:dyDescent="0.25">
      <c r="A481" s="7" t="s">
        <v>59</v>
      </c>
      <c r="B481" s="2" t="s">
        <v>5722</v>
      </c>
      <c r="C481" s="2" t="s">
        <v>5723</v>
      </c>
      <c r="D481" s="2" t="s">
        <v>5724</v>
      </c>
      <c r="F481" s="3" t="s">
        <v>59</v>
      </c>
      <c r="G481" s="3" t="s">
        <v>60</v>
      </c>
      <c r="H481" s="3" t="s">
        <v>59</v>
      </c>
      <c r="I481" s="3" t="s">
        <v>59</v>
      </c>
      <c r="J481" s="3" t="s">
        <v>61</v>
      </c>
      <c r="K481" s="2" t="s">
        <v>5725</v>
      </c>
      <c r="L481" s="2" t="s">
        <v>4514</v>
      </c>
      <c r="M481" s="3" t="s">
        <v>670</v>
      </c>
      <c r="O481" s="3" t="s">
        <v>64</v>
      </c>
      <c r="P481" s="3" t="s">
        <v>467</v>
      </c>
      <c r="R481" s="3" t="s">
        <v>67</v>
      </c>
      <c r="S481" s="4">
        <v>1</v>
      </c>
      <c r="T481" s="4">
        <v>1</v>
      </c>
      <c r="U481" s="5" t="s">
        <v>5726</v>
      </c>
      <c r="V481" s="5" t="s">
        <v>5726</v>
      </c>
      <c r="W481" s="5" t="s">
        <v>4507</v>
      </c>
      <c r="X481" s="5" t="s">
        <v>4507</v>
      </c>
      <c r="Y481" s="4">
        <v>210</v>
      </c>
      <c r="Z481" s="4">
        <v>151</v>
      </c>
      <c r="AA481" s="4">
        <v>170</v>
      </c>
      <c r="AB481" s="4">
        <v>1</v>
      </c>
      <c r="AC481" s="4">
        <v>1</v>
      </c>
      <c r="AD481" s="4">
        <v>6</v>
      </c>
      <c r="AE481" s="4">
        <v>7</v>
      </c>
      <c r="AF481" s="4">
        <v>2</v>
      </c>
      <c r="AG481" s="4">
        <v>3</v>
      </c>
      <c r="AH481" s="4">
        <v>2</v>
      </c>
      <c r="AI481" s="4">
        <v>2</v>
      </c>
      <c r="AJ481" s="4">
        <v>4</v>
      </c>
      <c r="AK481" s="4">
        <v>5</v>
      </c>
      <c r="AL481" s="4">
        <v>0</v>
      </c>
      <c r="AM481" s="4">
        <v>0</v>
      </c>
      <c r="AN481" s="4">
        <v>0</v>
      </c>
      <c r="AO481" s="4">
        <v>0</v>
      </c>
      <c r="AP481" s="3" t="s">
        <v>59</v>
      </c>
      <c r="AQ481" s="3" t="s">
        <v>69</v>
      </c>
      <c r="AR481" s="6" t="str">
        <f>HYPERLINK("http://catalog.hathitrust.org/Record/000772218","HathiTrust Record")</f>
        <v>HathiTrust Record</v>
      </c>
      <c r="AS481" s="6" t="str">
        <f>HYPERLINK("https://creighton-primo.hosted.exlibrisgroup.com/primo-explore/search?tab=default_tab&amp;search_scope=EVERYTHING&amp;vid=01CRU&amp;lang=en_US&amp;offset=0&amp;query=any,contains,991005252589702656","Catalog Record")</f>
        <v>Catalog Record</v>
      </c>
      <c r="AT481" s="6" t="str">
        <f>HYPERLINK("http://www.worldcat.org/oclc/8495201","WorldCat Record")</f>
        <v>WorldCat Record</v>
      </c>
      <c r="AU481" s="3" t="s">
        <v>5727</v>
      </c>
      <c r="AV481" s="3" t="s">
        <v>5728</v>
      </c>
      <c r="AW481" s="3" t="s">
        <v>5729</v>
      </c>
      <c r="AX481" s="3" t="s">
        <v>5729</v>
      </c>
      <c r="AY481" s="3" t="s">
        <v>5730</v>
      </c>
      <c r="AZ481" s="3" t="s">
        <v>74</v>
      </c>
      <c r="BB481" s="3" t="s">
        <v>5731</v>
      </c>
      <c r="BC481" s="3" t="s">
        <v>5732</v>
      </c>
      <c r="BD481" s="3" t="s">
        <v>5733</v>
      </c>
    </row>
    <row r="482" spans="1:56" ht="57.75" customHeight="1" x14ac:dyDescent="0.25">
      <c r="A482" s="7" t="s">
        <v>59</v>
      </c>
      <c r="B482" s="2" t="s">
        <v>5734</v>
      </c>
      <c r="C482" s="2" t="s">
        <v>5735</v>
      </c>
      <c r="D482" s="2" t="s">
        <v>5736</v>
      </c>
      <c r="F482" s="3" t="s">
        <v>59</v>
      </c>
      <c r="G482" s="3" t="s">
        <v>60</v>
      </c>
      <c r="H482" s="3" t="s">
        <v>59</v>
      </c>
      <c r="I482" s="3" t="s">
        <v>59</v>
      </c>
      <c r="J482" s="3" t="s">
        <v>61</v>
      </c>
      <c r="L482" s="2" t="s">
        <v>5737</v>
      </c>
      <c r="M482" s="3" t="s">
        <v>670</v>
      </c>
      <c r="O482" s="3" t="s">
        <v>64</v>
      </c>
      <c r="P482" s="3" t="s">
        <v>2726</v>
      </c>
      <c r="R482" s="3" t="s">
        <v>67</v>
      </c>
      <c r="S482" s="4">
        <v>3</v>
      </c>
      <c r="T482" s="4">
        <v>3</v>
      </c>
      <c r="U482" s="5" t="s">
        <v>5738</v>
      </c>
      <c r="V482" s="5" t="s">
        <v>5738</v>
      </c>
      <c r="W482" s="5" t="s">
        <v>5739</v>
      </c>
      <c r="X482" s="5" t="s">
        <v>5739</v>
      </c>
      <c r="Y482" s="4">
        <v>238</v>
      </c>
      <c r="Z482" s="4">
        <v>160</v>
      </c>
      <c r="AA482" s="4">
        <v>162</v>
      </c>
      <c r="AB482" s="4">
        <v>2</v>
      </c>
      <c r="AC482" s="4">
        <v>2</v>
      </c>
      <c r="AD482" s="4">
        <v>6</v>
      </c>
      <c r="AE482" s="4">
        <v>6</v>
      </c>
      <c r="AF482" s="4">
        <v>2</v>
      </c>
      <c r="AG482" s="4">
        <v>2</v>
      </c>
      <c r="AH482" s="4">
        <v>2</v>
      </c>
      <c r="AI482" s="4">
        <v>2</v>
      </c>
      <c r="AJ482" s="4">
        <v>3</v>
      </c>
      <c r="AK482" s="4">
        <v>3</v>
      </c>
      <c r="AL482" s="4">
        <v>1</v>
      </c>
      <c r="AM482" s="4">
        <v>1</v>
      </c>
      <c r="AN482" s="4">
        <v>0</v>
      </c>
      <c r="AO482" s="4">
        <v>0</v>
      </c>
      <c r="AP482" s="3" t="s">
        <v>59</v>
      </c>
      <c r="AQ482" s="3" t="s">
        <v>69</v>
      </c>
      <c r="AR482" s="6" t="str">
        <f>HYPERLINK("http://catalog.hathitrust.org/Record/000770575","HathiTrust Record")</f>
        <v>HathiTrust Record</v>
      </c>
      <c r="AS482" s="6" t="str">
        <f>HYPERLINK("https://creighton-primo.hosted.exlibrisgroup.com/primo-explore/search?tab=default_tab&amp;search_scope=EVERYTHING&amp;vid=01CRU&amp;lang=en_US&amp;offset=0&amp;query=any,contains,991005193219702656","Catalog Record")</f>
        <v>Catalog Record</v>
      </c>
      <c r="AT482" s="6" t="str">
        <f>HYPERLINK("http://www.worldcat.org/oclc/8032161","WorldCat Record")</f>
        <v>WorldCat Record</v>
      </c>
      <c r="AU482" s="3" t="s">
        <v>5740</v>
      </c>
      <c r="AV482" s="3" t="s">
        <v>5741</v>
      </c>
      <c r="AW482" s="3" t="s">
        <v>5742</v>
      </c>
      <c r="AX482" s="3" t="s">
        <v>5742</v>
      </c>
      <c r="AY482" s="3" t="s">
        <v>5743</v>
      </c>
      <c r="AZ482" s="3" t="s">
        <v>74</v>
      </c>
      <c r="BB482" s="3" t="s">
        <v>5744</v>
      </c>
      <c r="BC482" s="3" t="s">
        <v>5745</v>
      </c>
      <c r="BD482" s="3" t="s">
        <v>5746</v>
      </c>
    </row>
    <row r="483" spans="1:56" ht="57.75" customHeight="1" x14ac:dyDescent="0.25">
      <c r="A483" s="7" t="s">
        <v>59</v>
      </c>
      <c r="B483" s="2" t="s">
        <v>5747</v>
      </c>
      <c r="C483" s="2" t="s">
        <v>5748</v>
      </c>
      <c r="D483" s="2" t="s">
        <v>5749</v>
      </c>
      <c r="F483" s="3" t="s">
        <v>59</v>
      </c>
      <c r="G483" s="3" t="s">
        <v>60</v>
      </c>
      <c r="H483" s="3" t="s">
        <v>59</v>
      </c>
      <c r="I483" s="3" t="s">
        <v>59</v>
      </c>
      <c r="J483" s="3" t="s">
        <v>61</v>
      </c>
      <c r="K483" s="2" t="s">
        <v>5750</v>
      </c>
      <c r="L483" s="2" t="s">
        <v>5712</v>
      </c>
      <c r="M483" s="3" t="s">
        <v>1837</v>
      </c>
      <c r="O483" s="3" t="s">
        <v>64</v>
      </c>
      <c r="P483" s="3" t="s">
        <v>467</v>
      </c>
      <c r="R483" s="3" t="s">
        <v>67</v>
      </c>
      <c r="S483" s="4">
        <v>4</v>
      </c>
      <c r="T483" s="4">
        <v>4</v>
      </c>
      <c r="U483" s="5" t="s">
        <v>5701</v>
      </c>
      <c r="V483" s="5" t="s">
        <v>5701</v>
      </c>
      <c r="W483" s="5" t="s">
        <v>1950</v>
      </c>
      <c r="X483" s="5" t="s">
        <v>1950</v>
      </c>
      <c r="Y483" s="4">
        <v>203</v>
      </c>
      <c r="Z483" s="4">
        <v>148</v>
      </c>
      <c r="AA483" s="4">
        <v>150</v>
      </c>
      <c r="AB483" s="4">
        <v>1</v>
      </c>
      <c r="AC483" s="4">
        <v>1</v>
      </c>
      <c r="AD483" s="4">
        <v>9</v>
      </c>
      <c r="AE483" s="4">
        <v>9</v>
      </c>
      <c r="AF483" s="4">
        <v>6</v>
      </c>
      <c r="AG483" s="4">
        <v>6</v>
      </c>
      <c r="AH483" s="4">
        <v>1</v>
      </c>
      <c r="AI483" s="4">
        <v>1</v>
      </c>
      <c r="AJ483" s="4">
        <v>6</v>
      </c>
      <c r="AK483" s="4">
        <v>6</v>
      </c>
      <c r="AL483" s="4">
        <v>0</v>
      </c>
      <c r="AM483" s="4">
        <v>0</v>
      </c>
      <c r="AN483" s="4">
        <v>0</v>
      </c>
      <c r="AO483" s="4">
        <v>0</v>
      </c>
      <c r="AP483" s="3" t="s">
        <v>59</v>
      </c>
      <c r="AQ483" s="3" t="s">
        <v>69</v>
      </c>
      <c r="AR483" s="6" t="str">
        <f>HYPERLINK("http://catalog.hathitrust.org/Record/002780947","HathiTrust Record")</f>
        <v>HathiTrust Record</v>
      </c>
      <c r="AS483" s="6" t="str">
        <f>HYPERLINK("https://creighton-primo.hosted.exlibrisgroup.com/primo-explore/search?tab=default_tab&amp;search_scope=EVERYTHING&amp;vid=01CRU&amp;lang=en_US&amp;offset=0&amp;query=any,contains,991002284319702656","Catalog Record")</f>
        <v>Catalog Record</v>
      </c>
      <c r="AT483" s="6" t="str">
        <f>HYPERLINK("http://www.worldcat.org/oclc/29631848","WorldCat Record")</f>
        <v>WorldCat Record</v>
      </c>
      <c r="AU483" s="3" t="s">
        <v>5751</v>
      </c>
      <c r="AV483" s="3" t="s">
        <v>5752</v>
      </c>
      <c r="AW483" s="3" t="s">
        <v>5753</v>
      </c>
      <c r="AX483" s="3" t="s">
        <v>5753</v>
      </c>
      <c r="AY483" s="3" t="s">
        <v>5754</v>
      </c>
      <c r="AZ483" s="3" t="s">
        <v>74</v>
      </c>
      <c r="BC483" s="3" t="s">
        <v>5755</v>
      </c>
      <c r="BD483" s="3" t="s">
        <v>5756</v>
      </c>
    </row>
    <row r="484" spans="1:56" ht="57.75" customHeight="1" x14ac:dyDescent="0.25">
      <c r="A484" s="7" t="s">
        <v>59</v>
      </c>
      <c r="B484" s="2" t="s">
        <v>5757</v>
      </c>
      <c r="C484" s="2" t="s">
        <v>5758</v>
      </c>
      <c r="D484" s="2" t="s">
        <v>5759</v>
      </c>
      <c r="F484" s="3" t="s">
        <v>59</v>
      </c>
      <c r="G484" s="3" t="s">
        <v>60</v>
      </c>
      <c r="H484" s="3" t="s">
        <v>59</v>
      </c>
      <c r="I484" s="3" t="s">
        <v>59</v>
      </c>
      <c r="J484" s="3" t="s">
        <v>61</v>
      </c>
      <c r="K484" s="2" t="s">
        <v>5760</v>
      </c>
      <c r="L484" s="2" t="s">
        <v>5761</v>
      </c>
      <c r="M484" s="3" t="s">
        <v>511</v>
      </c>
      <c r="O484" s="3" t="s">
        <v>64</v>
      </c>
      <c r="P484" s="3" t="s">
        <v>467</v>
      </c>
      <c r="Q484" s="2" t="s">
        <v>5762</v>
      </c>
      <c r="R484" s="3" t="s">
        <v>67</v>
      </c>
      <c r="S484" s="4">
        <v>3</v>
      </c>
      <c r="T484" s="4">
        <v>3</v>
      </c>
      <c r="U484" s="5" t="s">
        <v>5726</v>
      </c>
      <c r="V484" s="5" t="s">
        <v>5726</v>
      </c>
      <c r="W484" s="5" t="s">
        <v>2740</v>
      </c>
      <c r="X484" s="5" t="s">
        <v>2740</v>
      </c>
      <c r="Y484" s="4">
        <v>162</v>
      </c>
      <c r="Z484" s="4">
        <v>108</v>
      </c>
      <c r="AA484" s="4">
        <v>114</v>
      </c>
      <c r="AB484" s="4">
        <v>2</v>
      </c>
      <c r="AC484" s="4">
        <v>2</v>
      </c>
      <c r="AD484" s="4">
        <v>5</v>
      </c>
      <c r="AE484" s="4">
        <v>5</v>
      </c>
      <c r="AF484" s="4">
        <v>3</v>
      </c>
      <c r="AG484" s="4">
        <v>3</v>
      </c>
      <c r="AH484" s="4">
        <v>1</v>
      </c>
      <c r="AI484" s="4">
        <v>1</v>
      </c>
      <c r="AJ484" s="4">
        <v>2</v>
      </c>
      <c r="AK484" s="4">
        <v>2</v>
      </c>
      <c r="AL484" s="4">
        <v>1</v>
      </c>
      <c r="AM484" s="4">
        <v>1</v>
      </c>
      <c r="AN484" s="4">
        <v>0</v>
      </c>
      <c r="AO484" s="4">
        <v>0</v>
      </c>
      <c r="AP484" s="3" t="s">
        <v>59</v>
      </c>
      <c r="AQ484" s="3" t="s">
        <v>69</v>
      </c>
      <c r="AR484" s="6" t="str">
        <f>HYPERLINK("http://catalog.hathitrust.org/Record/003135081","HathiTrust Record")</f>
        <v>HathiTrust Record</v>
      </c>
      <c r="AS484" s="6" t="str">
        <f>HYPERLINK("https://creighton-primo.hosted.exlibrisgroup.com/primo-explore/search?tab=default_tab&amp;search_scope=EVERYTHING&amp;vid=01CRU&amp;lang=en_US&amp;offset=0&amp;query=any,contains,991002460779702656","Catalog Record")</f>
        <v>Catalog Record</v>
      </c>
      <c r="AT484" s="6" t="str">
        <f>HYPERLINK("http://www.worldcat.org/oclc/32052870","WorldCat Record")</f>
        <v>WorldCat Record</v>
      </c>
      <c r="AU484" s="3" t="s">
        <v>5763</v>
      </c>
      <c r="AV484" s="3" t="s">
        <v>5764</v>
      </c>
      <c r="AW484" s="3" t="s">
        <v>5765</v>
      </c>
      <c r="AX484" s="3" t="s">
        <v>5765</v>
      </c>
      <c r="AY484" s="3" t="s">
        <v>5766</v>
      </c>
      <c r="AZ484" s="3" t="s">
        <v>74</v>
      </c>
      <c r="BB484" s="3" t="s">
        <v>5767</v>
      </c>
      <c r="BC484" s="3" t="s">
        <v>5768</v>
      </c>
      <c r="BD484" s="3" t="s">
        <v>5769</v>
      </c>
    </row>
    <row r="485" spans="1:56" ht="57.75" customHeight="1" x14ac:dyDescent="0.25">
      <c r="A485" s="7" t="s">
        <v>59</v>
      </c>
      <c r="B485" s="2" t="s">
        <v>5770</v>
      </c>
      <c r="C485" s="2" t="s">
        <v>5771</v>
      </c>
      <c r="D485" s="2" t="s">
        <v>5772</v>
      </c>
      <c r="F485" s="3" t="s">
        <v>59</v>
      </c>
      <c r="G485" s="3" t="s">
        <v>60</v>
      </c>
      <c r="H485" s="3" t="s">
        <v>59</v>
      </c>
      <c r="I485" s="3" t="s">
        <v>59</v>
      </c>
      <c r="J485" s="3" t="s">
        <v>61</v>
      </c>
      <c r="K485" s="2" t="s">
        <v>5773</v>
      </c>
      <c r="L485" s="2" t="s">
        <v>2910</v>
      </c>
      <c r="M485" s="3" t="s">
        <v>617</v>
      </c>
      <c r="O485" s="3" t="s">
        <v>64</v>
      </c>
      <c r="P485" s="3" t="s">
        <v>467</v>
      </c>
      <c r="Q485" s="2" t="s">
        <v>5774</v>
      </c>
      <c r="R485" s="3" t="s">
        <v>67</v>
      </c>
      <c r="S485" s="4">
        <v>3</v>
      </c>
      <c r="T485" s="4">
        <v>3</v>
      </c>
      <c r="U485" s="5" t="s">
        <v>5775</v>
      </c>
      <c r="V485" s="5" t="s">
        <v>5775</v>
      </c>
      <c r="W485" s="5" t="s">
        <v>5776</v>
      </c>
      <c r="X485" s="5" t="s">
        <v>5776</v>
      </c>
      <c r="Y485" s="4">
        <v>262</v>
      </c>
      <c r="Z485" s="4">
        <v>198</v>
      </c>
      <c r="AA485" s="4">
        <v>217</v>
      </c>
      <c r="AB485" s="4">
        <v>2</v>
      </c>
      <c r="AC485" s="4">
        <v>2</v>
      </c>
      <c r="AD485" s="4">
        <v>8</v>
      </c>
      <c r="AE485" s="4">
        <v>9</v>
      </c>
      <c r="AF485" s="4">
        <v>1</v>
      </c>
      <c r="AG485" s="4">
        <v>2</v>
      </c>
      <c r="AH485" s="4">
        <v>1</v>
      </c>
      <c r="AI485" s="4">
        <v>1</v>
      </c>
      <c r="AJ485" s="4">
        <v>7</v>
      </c>
      <c r="AK485" s="4">
        <v>8</v>
      </c>
      <c r="AL485" s="4">
        <v>1</v>
      </c>
      <c r="AM485" s="4">
        <v>1</v>
      </c>
      <c r="AN485" s="4">
        <v>0</v>
      </c>
      <c r="AO485" s="4">
        <v>0</v>
      </c>
      <c r="AP485" s="3" t="s">
        <v>59</v>
      </c>
      <c r="AQ485" s="3" t="s">
        <v>69</v>
      </c>
      <c r="AR485" s="6" t="str">
        <f>HYPERLINK("http://catalog.hathitrust.org/Record/000111076","HathiTrust Record")</f>
        <v>HathiTrust Record</v>
      </c>
      <c r="AS485" s="6" t="str">
        <f>HYPERLINK("https://creighton-primo.hosted.exlibrisgroup.com/primo-explore/search?tab=default_tab&amp;search_scope=EVERYTHING&amp;vid=01CRU&amp;lang=en_US&amp;offset=0&amp;query=any,contains,991005011999702656","Catalog Record")</f>
        <v>Catalog Record</v>
      </c>
      <c r="AT485" s="6" t="str">
        <f>HYPERLINK("http://www.worldcat.org/oclc/6603304","WorldCat Record")</f>
        <v>WorldCat Record</v>
      </c>
      <c r="AU485" s="3" t="s">
        <v>5777</v>
      </c>
      <c r="AV485" s="3" t="s">
        <v>5778</v>
      </c>
      <c r="AW485" s="3" t="s">
        <v>5779</v>
      </c>
      <c r="AX485" s="3" t="s">
        <v>5779</v>
      </c>
      <c r="AY485" s="3" t="s">
        <v>5780</v>
      </c>
      <c r="AZ485" s="3" t="s">
        <v>74</v>
      </c>
      <c r="BB485" s="3" t="s">
        <v>5781</v>
      </c>
      <c r="BC485" s="3" t="s">
        <v>5782</v>
      </c>
      <c r="BD485" s="3" t="s">
        <v>5783</v>
      </c>
    </row>
    <row r="486" spans="1:56" ht="57.75" customHeight="1" x14ac:dyDescent="0.25">
      <c r="A486" s="7" t="s">
        <v>59</v>
      </c>
      <c r="B486" s="2" t="s">
        <v>5784</v>
      </c>
      <c r="C486" s="2" t="s">
        <v>5785</v>
      </c>
      <c r="D486" s="2" t="s">
        <v>5786</v>
      </c>
      <c r="F486" s="3" t="s">
        <v>59</v>
      </c>
      <c r="G486" s="3" t="s">
        <v>60</v>
      </c>
      <c r="H486" s="3" t="s">
        <v>59</v>
      </c>
      <c r="I486" s="3" t="s">
        <v>59</v>
      </c>
      <c r="J486" s="3" t="s">
        <v>61</v>
      </c>
      <c r="K486" s="2" t="s">
        <v>5787</v>
      </c>
      <c r="L486" s="2" t="s">
        <v>5788</v>
      </c>
      <c r="M486" s="3" t="s">
        <v>2510</v>
      </c>
      <c r="O486" s="3" t="s">
        <v>64</v>
      </c>
      <c r="P486" s="3" t="s">
        <v>405</v>
      </c>
      <c r="R486" s="3" t="s">
        <v>67</v>
      </c>
      <c r="S486" s="4">
        <v>6</v>
      </c>
      <c r="T486" s="4">
        <v>6</v>
      </c>
      <c r="U486" s="5" t="s">
        <v>1866</v>
      </c>
      <c r="V486" s="5" t="s">
        <v>1866</v>
      </c>
      <c r="W486" s="5" t="s">
        <v>5789</v>
      </c>
      <c r="X486" s="5" t="s">
        <v>5789</v>
      </c>
      <c r="Y486" s="4">
        <v>741</v>
      </c>
      <c r="Z486" s="4">
        <v>563</v>
      </c>
      <c r="AA486" s="4">
        <v>575</v>
      </c>
      <c r="AB486" s="4">
        <v>4</v>
      </c>
      <c r="AC486" s="4">
        <v>4</v>
      </c>
      <c r="AD486" s="4">
        <v>32</v>
      </c>
      <c r="AE486" s="4">
        <v>32</v>
      </c>
      <c r="AF486" s="4">
        <v>14</v>
      </c>
      <c r="AG486" s="4">
        <v>14</v>
      </c>
      <c r="AH486" s="4">
        <v>6</v>
      </c>
      <c r="AI486" s="4">
        <v>6</v>
      </c>
      <c r="AJ486" s="4">
        <v>17</v>
      </c>
      <c r="AK486" s="4">
        <v>17</v>
      </c>
      <c r="AL486" s="4">
        <v>3</v>
      </c>
      <c r="AM486" s="4">
        <v>3</v>
      </c>
      <c r="AN486" s="4">
        <v>0</v>
      </c>
      <c r="AO486" s="4">
        <v>0</v>
      </c>
      <c r="AP486" s="3" t="s">
        <v>59</v>
      </c>
      <c r="AQ486" s="3" t="s">
        <v>59</v>
      </c>
      <c r="AS486" s="6" t="str">
        <f>HYPERLINK("https://creighton-primo.hosted.exlibrisgroup.com/primo-explore/search?tab=default_tab&amp;search_scope=EVERYTHING&amp;vid=01CRU&amp;lang=en_US&amp;offset=0&amp;query=any,contains,991001916499702656","Catalog Record")</f>
        <v>Catalog Record</v>
      </c>
      <c r="AT486" s="6" t="str">
        <f>HYPERLINK("http://www.worldcat.org/oclc/24211238","WorldCat Record")</f>
        <v>WorldCat Record</v>
      </c>
      <c r="AU486" s="3" t="s">
        <v>5790</v>
      </c>
      <c r="AV486" s="3" t="s">
        <v>5791</v>
      </c>
      <c r="AW486" s="3" t="s">
        <v>5792</v>
      </c>
      <c r="AX486" s="3" t="s">
        <v>5792</v>
      </c>
      <c r="AY486" s="3" t="s">
        <v>5793</v>
      </c>
      <c r="AZ486" s="3" t="s">
        <v>74</v>
      </c>
      <c r="BB486" s="3" t="s">
        <v>5794</v>
      </c>
      <c r="BC486" s="3" t="s">
        <v>5795</v>
      </c>
      <c r="BD486" s="3" t="s">
        <v>5796</v>
      </c>
    </row>
    <row r="487" spans="1:56" ht="57.75" customHeight="1" x14ac:dyDescent="0.25">
      <c r="A487" s="7" t="s">
        <v>59</v>
      </c>
      <c r="B487" s="2" t="s">
        <v>5797</v>
      </c>
      <c r="C487" s="2" t="s">
        <v>5798</v>
      </c>
      <c r="D487" s="2" t="s">
        <v>5799</v>
      </c>
      <c r="F487" s="3" t="s">
        <v>59</v>
      </c>
      <c r="G487" s="3" t="s">
        <v>60</v>
      </c>
      <c r="H487" s="3" t="s">
        <v>59</v>
      </c>
      <c r="I487" s="3" t="s">
        <v>59</v>
      </c>
      <c r="J487" s="3" t="s">
        <v>61</v>
      </c>
      <c r="K487" s="2" t="s">
        <v>5800</v>
      </c>
      <c r="L487" s="2" t="s">
        <v>5801</v>
      </c>
      <c r="M487" s="3" t="s">
        <v>5802</v>
      </c>
      <c r="O487" s="3" t="s">
        <v>64</v>
      </c>
      <c r="P487" s="3" t="s">
        <v>145</v>
      </c>
      <c r="Q487" s="2" t="s">
        <v>5803</v>
      </c>
      <c r="R487" s="3" t="s">
        <v>67</v>
      </c>
      <c r="S487" s="4">
        <v>2</v>
      </c>
      <c r="T487" s="4">
        <v>2</v>
      </c>
      <c r="U487" s="5" t="s">
        <v>5738</v>
      </c>
      <c r="V487" s="5" t="s">
        <v>5738</v>
      </c>
      <c r="W487" s="5" t="s">
        <v>2452</v>
      </c>
      <c r="X487" s="5" t="s">
        <v>2452</v>
      </c>
      <c r="Y487" s="4">
        <v>229</v>
      </c>
      <c r="Z487" s="4">
        <v>172</v>
      </c>
      <c r="AA487" s="4">
        <v>205</v>
      </c>
      <c r="AB487" s="4">
        <v>2</v>
      </c>
      <c r="AC487" s="4">
        <v>2</v>
      </c>
      <c r="AD487" s="4">
        <v>4</v>
      </c>
      <c r="AE487" s="4">
        <v>4</v>
      </c>
      <c r="AF487" s="4">
        <v>1</v>
      </c>
      <c r="AG487" s="4">
        <v>1</v>
      </c>
      <c r="AH487" s="4">
        <v>0</v>
      </c>
      <c r="AI487" s="4">
        <v>0</v>
      </c>
      <c r="AJ487" s="4">
        <v>2</v>
      </c>
      <c r="AK487" s="4">
        <v>2</v>
      </c>
      <c r="AL487" s="4">
        <v>1</v>
      </c>
      <c r="AM487" s="4">
        <v>1</v>
      </c>
      <c r="AN487" s="4">
        <v>0</v>
      </c>
      <c r="AO487" s="4">
        <v>0</v>
      </c>
      <c r="AP487" s="3" t="s">
        <v>69</v>
      </c>
      <c r="AQ487" s="3" t="s">
        <v>59</v>
      </c>
      <c r="AR487" s="6" t="str">
        <f>HYPERLINK("http://catalog.hathitrust.org/Record/002038393","HathiTrust Record")</f>
        <v>HathiTrust Record</v>
      </c>
      <c r="AS487" s="6" t="str">
        <f>HYPERLINK("https://creighton-primo.hosted.exlibrisgroup.com/primo-explore/search?tab=default_tab&amp;search_scope=EVERYTHING&amp;vid=01CRU&amp;lang=en_US&amp;offset=0&amp;query=any,contains,991004118059702656","Catalog Record")</f>
        <v>Catalog Record</v>
      </c>
      <c r="AT487" s="6" t="str">
        <f>HYPERLINK("http://www.worldcat.org/oclc/2421918","WorldCat Record")</f>
        <v>WorldCat Record</v>
      </c>
      <c r="AU487" s="3" t="s">
        <v>5804</v>
      </c>
      <c r="AV487" s="3" t="s">
        <v>5805</v>
      </c>
      <c r="AW487" s="3" t="s">
        <v>5806</v>
      </c>
      <c r="AX487" s="3" t="s">
        <v>5806</v>
      </c>
      <c r="AY487" s="3" t="s">
        <v>5807</v>
      </c>
      <c r="AZ487" s="3" t="s">
        <v>74</v>
      </c>
      <c r="BC487" s="3" t="s">
        <v>5808</v>
      </c>
      <c r="BD487" s="3" t="s">
        <v>5809</v>
      </c>
    </row>
    <row r="488" spans="1:56" ht="57.75" customHeight="1" x14ac:dyDescent="0.25">
      <c r="A488" s="7" t="s">
        <v>59</v>
      </c>
      <c r="B488" s="2" t="s">
        <v>5810</v>
      </c>
      <c r="C488" s="2" t="s">
        <v>5811</v>
      </c>
      <c r="D488" s="2" t="s">
        <v>5812</v>
      </c>
      <c r="F488" s="3" t="s">
        <v>59</v>
      </c>
      <c r="G488" s="3" t="s">
        <v>60</v>
      </c>
      <c r="H488" s="3" t="s">
        <v>59</v>
      </c>
      <c r="I488" s="3" t="s">
        <v>59</v>
      </c>
      <c r="J488" s="3" t="s">
        <v>61</v>
      </c>
      <c r="L488" s="2" t="s">
        <v>5813</v>
      </c>
      <c r="M488" s="3" t="s">
        <v>239</v>
      </c>
      <c r="O488" s="3" t="s">
        <v>64</v>
      </c>
      <c r="P488" s="3" t="s">
        <v>2362</v>
      </c>
      <c r="R488" s="3" t="s">
        <v>67</v>
      </c>
      <c r="S488" s="4">
        <v>6</v>
      </c>
      <c r="T488" s="4">
        <v>6</v>
      </c>
      <c r="U488" s="5" t="s">
        <v>5814</v>
      </c>
      <c r="V488" s="5" t="s">
        <v>5814</v>
      </c>
      <c r="W488" s="5" t="s">
        <v>5815</v>
      </c>
      <c r="X488" s="5" t="s">
        <v>5815</v>
      </c>
      <c r="Y488" s="4">
        <v>169</v>
      </c>
      <c r="Z488" s="4">
        <v>105</v>
      </c>
      <c r="AA488" s="4">
        <v>124</v>
      </c>
      <c r="AB488" s="4">
        <v>1</v>
      </c>
      <c r="AC488" s="4">
        <v>1</v>
      </c>
      <c r="AD488" s="4">
        <v>2</v>
      </c>
      <c r="AE488" s="4">
        <v>2</v>
      </c>
      <c r="AF488" s="4">
        <v>0</v>
      </c>
      <c r="AG488" s="4">
        <v>0</v>
      </c>
      <c r="AH488" s="4">
        <v>2</v>
      </c>
      <c r="AI488" s="4">
        <v>2</v>
      </c>
      <c r="AJ488" s="4">
        <v>1</v>
      </c>
      <c r="AK488" s="4">
        <v>1</v>
      </c>
      <c r="AL488" s="4">
        <v>0</v>
      </c>
      <c r="AM488" s="4">
        <v>0</v>
      </c>
      <c r="AN488" s="4">
        <v>0</v>
      </c>
      <c r="AO488" s="4">
        <v>0</v>
      </c>
      <c r="AP488" s="3" t="s">
        <v>59</v>
      </c>
      <c r="AQ488" s="3" t="s">
        <v>59</v>
      </c>
      <c r="AS488" s="6" t="str">
        <f>HYPERLINK("https://creighton-primo.hosted.exlibrisgroup.com/primo-explore/search?tab=default_tab&amp;search_scope=EVERYTHING&amp;vid=01CRU&amp;lang=en_US&amp;offset=0&amp;query=any,contains,991002620719702656","Catalog Record")</f>
        <v>Catalog Record</v>
      </c>
      <c r="AT488" s="6" t="str">
        <f>HYPERLINK("http://www.worldcat.org/oclc/34343237","WorldCat Record")</f>
        <v>WorldCat Record</v>
      </c>
      <c r="AU488" s="3" t="s">
        <v>5816</v>
      </c>
      <c r="AV488" s="3" t="s">
        <v>5817</v>
      </c>
      <c r="AW488" s="3" t="s">
        <v>5818</v>
      </c>
      <c r="AX488" s="3" t="s">
        <v>5818</v>
      </c>
      <c r="AY488" s="3" t="s">
        <v>5819</v>
      </c>
      <c r="AZ488" s="3" t="s">
        <v>74</v>
      </c>
      <c r="BB488" s="3" t="s">
        <v>5820</v>
      </c>
      <c r="BC488" s="3" t="s">
        <v>5821</v>
      </c>
      <c r="BD488" s="3" t="s">
        <v>5822</v>
      </c>
    </row>
    <row r="489" spans="1:56" ht="57.75" customHeight="1" x14ac:dyDescent="0.25">
      <c r="A489" s="7" t="s">
        <v>59</v>
      </c>
      <c r="B489" s="2" t="s">
        <v>5823</v>
      </c>
      <c r="C489" s="2" t="s">
        <v>5824</v>
      </c>
      <c r="D489" s="2" t="s">
        <v>5825</v>
      </c>
      <c r="F489" s="3" t="s">
        <v>59</v>
      </c>
      <c r="G489" s="3" t="s">
        <v>60</v>
      </c>
      <c r="H489" s="3" t="s">
        <v>59</v>
      </c>
      <c r="I489" s="3" t="s">
        <v>59</v>
      </c>
      <c r="J489" s="3" t="s">
        <v>61</v>
      </c>
      <c r="L489" s="2" t="s">
        <v>4402</v>
      </c>
      <c r="M489" s="3" t="s">
        <v>684</v>
      </c>
      <c r="O489" s="3" t="s">
        <v>64</v>
      </c>
      <c r="P489" s="3" t="s">
        <v>2362</v>
      </c>
      <c r="R489" s="3" t="s">
        <v>67</v>
      </c>
      <c r="S489" s="4">
        <v>5</v>
      </c>
      <c r="T489" s="4">
        <v>5</v>
      </c>
      <c r="U489" s="5" t="s">
        <v>3362</v>
      </c>
      <c r="V489" s="5" t="s">
        <v>3362</v>
      </c>
      <c r="W489" s="5" t="s">
        <v>5826</v>
      </c>
      <c r="X489" s="5" t="s">
        <v>5826</v>
      </c>
      <c r="Y489" s="4">
        <v>185</v>
      </c>
      <c r="Z489" s="4">
        <v>130</v>
      </c>
      <c r="AA489" s="4">
        <v>166</v>
      </c>
      <c r="AB489" s="4">
        <v>1</v>
      </c>
      <c r="AC489" s="4">
        <v>1</v>
      </c>
      <c r="AD489" s="4">
        <v>4</v>
      </c>
      <c r="AE489" s="4">
        <v>4</v>
      </c>
      <c r="AF489" s="4">
        <v>1</v>
      </c>
      <c r="AG489" s="4">
        <v>1</v>
      </c>
      <c r="AH489" s="4">
        <v>1</v>
      </c>
      <c r="AI489" s="4">
        <v>1</v>
      </c>
      <c r="AJ489" s="4">
        <v>3</v>
      </c>
      <c r="AK489" s="4">
        <v>3</v>
      </c>
      <c r="AL489" s="4">
        <v>0</v>
      </c>
      <c r="AM489" s="4">
        <v>0</v>
      </c>
      <c r="AN489" s="4">
        <v>0</v>
      </c>
      <c r="AO489" s="4">
        <v>0</v>
      </c>
      <c r="AP489" s="3" t="s">
        <v>59</v>
      </c>
      <c r="AQ489" s="3" t="s">
        <v>59</v>
      </c>
      <c r="AS489" s="6" t="str">
        <f>HYPERLINK("https://creighton-primo.hosted.exlibrisgroup.com/primo-explore/search?tab=default_tab&amp;search_scope=EVERYTHING&amp;vid=01CRU&amp;lang=en_US&amp;offset=0&amp;query=any,contains,991003216799702656","Catalog Record")</f>
        <v>Catalog Record</v>
      </c>
      <c r="AT489" s="6" t="str">
        <f>HYPERLINK("http://www.worldcat.org/oclc/42429272","WorldCat Record")</f>
        <v>WorldCat Record</v>
      </c>
      <c r="AU489" s="3" t="s">
        <v>5827</v>
      </c>
      <c r="AV489" s="3" t="s">
        <v>5828</v>
      </c>
      <c r="AW489" s="3" t="s">
        <v>5829</v>
      </c>
      <c r="AX489" s="3" t="s">
        <v>5829</v>
      </c>
      <c r="AY489" s="3" t="s">
        <v>5830</v>
      </c>
      <c r="AZ489" s="3" t="s">
        <v>74</v>
      </c>
      <c r="BB489" s="3" t="s">
        <v>5831</v>
      </c>
      <c r="BC489" s="3" t="s">
        <v>5832</v>
      </c>
      <c r="BD489" s="3" t="s">
        <v>5833</v>
      </c>
    </row>
    <row r="490" spans="1:56" ht="57.75" customHeight="1" x14ac:dyDescent="0.25">
      <c r="A490" s="7" t="s">
        <v>59</v>
      </c>
      <c r="B490" s="2" t="s">
        <v>5834</v>
      </c>
      <c r="C490" s="2" t="s">
        <v>5835</v>
      </c>
      <c r="D490" s="2" t="s">
        <v>5836</v>
      </c>
      <c r="F490" s="3" t="s">
        <v>59</v>
      </c>
      <c r="G490" s="3" t="s">
        <v>60</v>
      </c>
      <c r="H490" s="3" t="s">
        <v>59</v>
      </c>
      <c r="I490" s="3" t="s">
        <v>59</v>
      </c>
      <c r="J490" s="3" t="s">
        <v>61</v>
      </c>
      <c r="L490" s="2" t="s">
        <v>5837</v>
      </c>
      <c r="M490" s="3" t="s">
        <v>1430</v>
      </c>
      <c r="O490" s="3" t="s">
        <v>64</v>
      </c>
      <c r="P490" s="3" t="s">
        <v>405</v>
      </c>
      <c r="Q490" s="2" t="s">
        <v>5838</v>
      </c>
      <c r="R490" s="3" t="s">
        <v>67</v>
      </c>
      <c r="S490" s="4">
        <v>15</v>
      </c>
      <c r="T490" s="4">
        <v>15</v>
      </c>
      <c r="U490" s="5" t="s">
        <v>5839</v>
      </c>
      <c r="V490" s="5" t="s">
        <v>5839</v>
      </c>
      <c r="W490" s="5" t="s">
        <v>5840</v>
      </c>
      <c r="X490" s="5" t="s">
        <v>5840</v>
      </c>
      <c r="Y490" s="4">
        <v>397</v>
      </c>
      <c r="Z490" s="4">
        <v>277</v>
      </c>
      <c r="AA490" s="4">
        <v>403</v>
      </c>
      <c r="AB490" s="4">
        <v>3</v>
      </c>
      <c r="AC490" s="4">
        <v>4</v>
      </c>
      <c r="AD490" s="4">
        <v>11</v>
      </c>
      <c r="AE490" s="4">
        <v>15</v>
      </c>
      <c r="AF490" s="4">
        <v>5</v>
      </c>
      <c r="AG490" s="4">
        <v>5</v>
      </c>
      <c r="AH490" s="4">
        <v>4</v>
      </c>
      <c r="AI490" s="4">
        <v>4</v>
      </c>
      <c r="AJ490" s="4">
        <v>4</v>
      </c>
      <c r="AK490" s="4">
        <v>7</v>
      </c>
      <c r="AL490" s="4">
        <v>2</v>
      </c>
      <c r="AM490" s="4">
        <v>3</v>
      </c>
      <c r="AN490" s="4">
        <v>0</v>
      </c>
      <c r="AO490" s="4">
        <v>0</v>
      </c>
      <c r="AP490" s="3" t="s">
        <v>59</v>
      </c>
      <c r="AQ490" s="3" t="s">
        <v>69</v>
      </c>
      <c r="AR490" s="6" t="str">
        <f>HYPERLINK("http://catalog.hathitrust.org/Record/000347243","HathiTrust Record")</f>
        <v>HathiTrust Record</v>
      </c>
      <c r="AS490" s="6" t="str">
        <f>HYPERLINK("https://creighton-primo.hosted.exlibrisgroup.com/primo-explore/search?tab=default_tab&amp;search_scope=EVERYTHING&amp;vid=01CRU&amp;lang=en_US&amp;offset=0&amp;query=any,contains,991000571829702656","Catalog Record")</f>
        <v>Catalog Record</v>
      </c>
      <c r="AT490" s="6" t="str">
        <f>HYPERLINK("http://www.worldcat.org/oclc/11651920","WorldCat Record")</f>
        <v>WorldCat Record</v>
      </c>
      <c r="AU490" s="3" t="s">
        <v>5841</v>
      </c>
      <c r="AV490" s="3" t="s">
        <v>5842</v>
      </c>
      <c r="AW490" s="3" t="s">
        <v>5843</v>
      </c>
      <c r="AX490" s="3" t="s">
        <v>5843</v>
      </c>
      <c r="AY490" s="3" t="s">
        <v>5844</v>
      </c>
      <c r="AZ490" s="3" t="s">
        <v>74</v>
      </c>
      <c r="BC490" s="3" t="s">
        <v>5845</v>
      </c>
      <c r="BD490" s="3" t="s">
        <v>5846</v>
      </c>
    </row>
    <row r="491" spans="1:56" ht="57.75" customHeight="1" x14ac:dyDescent="0.25">
      <c r="A491" s="7" t="s">
        <v>59</v>
      </c>
      <c r="B491" s="2" t="s">
        <v>5847</v>
      </c>
      <c r="C491" s="2" t="s">
        <v>5848</v>
      </c>
      <c r="D491" s="2" t="s">
        <v>5849</v>
      </c>
      <c r="F491" s="3" t="s">
        <v>59</v>
      </c>
      <c r="G491" s="3" t="s">
        <v>60</v>
      </c>
      <c r="H491" s="3" t="s">
        <v>59</v>
      </c>
      <c r="I491" s="3" t="s">
        <v>59</v>
      </c>
      <c r="J491" s="3" t="s">
        <v>61</v>
      </c>
      <c r="K491" s="2" t="s">
        <v>5850</v>
      </c>
      <c r="L491" s="2" t="s">
        <v>5851</v>
      </c>
      <c r="M491" s="3" t="s">
        <v>684</v>
      </c>
      <c r="O491" s="3" t="s">
        <v>64</v>
      </c>
      <c r="P491" s="3" t="s">
        <v>5852</v>
      </c>
      <c r="R491" s="3" t="s">
        <v>67</v>
      </c>
      <c r="S491" s="4">
        <v>11</v>
      </c>
      <c r="T491" s="4">
        <v>11</v>
      </c>
      <c r="U491" s="5" t="s">
        <v>878</v>
      </c>
      <c r="V491" s="5" t="s">
        <v>878</v>
      </c>
      <c r="W491" s="5" t="s">
        <v>5853</v>
      </c>
      <c r="X491" s="5" t="s">
        <v>5853</v>
      </c>
      <c r="Y491" s="4">
        <v>98</v>
      </c>
      <c r="Z491" s="4">
        <v>55</v>
      </c>
      <c r="AA491" s="4">
        <v>1018</v>
      </c>
      <c r="AB491" s="4">
        <v>1</v>
      </c>
      <c r="AC491" s="4">
        <v>7</v>
      </c>
      <c r="AD491" s="4">
        <v>1</v>
      </c>
      <c r="AE491" s="4">
        <v>15</v>
      </c>
      <c r="AF491" s="4">
        <v>1</v>
      </c>
      <c r="AG491" s="4">
        <v>8</v>
      </c>
      <c r="AH491" s="4">
        <v>0</v>
      </c>
      <c r="AI491" s="4">
        <v>4</v>
      </c>
      <c r="AJ491" s="4">
        <v>1</v>
      </c>
      <c r="AK491" s="4">
        <v>8</v>
      </c>
      <c r="AL491" s="4">
        <v>0</v>
      </c>
      <c r="AM491" s="4">
        <v>1</v>
      </c>
      <c r="AN491" s="4">
        <v>0</v>
      </c>
      <c r="AO491" s="4">
        <v>0</v>
      </c>
      <c r="AP491" s="3" t="s">
        <v>59</v>
      </c>
      <c r="AQ491" s="3" t="s">
        <v>69</v>
      </c>
      <c r="AR491" s="6" t="str">
        <f>HYPERLINK("http://catalog.hathitrust.org/Record/102015629","HathiTrust Record")</f>
        <v>HathiTrust Record</v>
      </c>
      <c r="AS491" s="6" t="str">
        <f>HYPERLINK("https://creighton-primo.hosted.exlibrisgroup.com/primo-explore/search?tab=default_tab&amp;search_scope=EVERYTHING&amp;vid=01CRU&amp;lang=en_US&amp;offset=0&amp;query=any,contains,991003923669702656","Catalog Record")</f>
        <v>Catalog Record</v>
      </c>
      <c r="AT491" s="6" t="str">
        <f>HYPERLINK("http://www.worldcat.org/oclc/43275891","WorldCat Record")</f>
        <v>WorldCat Record</v>
      </c>
      <c r="AU491" s="3" t="s">
        <v>5854</v>
      </c>
      <c r="AV491" s="3" t="s">
        <v>5855</v>
      </c>
      <c r="AW491" s="3" t="s">
        <v>5856</v>
      </c>
      <c r="AX491" s="3" t="s">
        <v>5856</v>
      </c>
      <c r="AY491" s="3" t="s">
        <v>5857</v>
      </c>
      <c r="AZ491" s="3" t="s">
        <v>74</v>
      </c>
      <c r="BB491" s="3" t="s">
        <v>5858</v>
      </c>
      <c r="BC491" s="3" t="s">
        <v>5859</v>
      </c>
      <c r="BD491" s="3" t="s">
        <v>5860</v>
      </c>
    </row>
    <row r="492" spans="1:56" ht="57.75" customHeight="1" x14ac:dyDescent="0.25">
      <c r="A492" s="7" t="s">
        <v>59</v>
      </c>
      <c r="B492" s="2" t="s">
        <v>5861</v>
      </c>
      <c r="C492" s="2" t="s">
        <v>5862</v>
      </c>
      <c r="D492" s="2" t="s">
        <v>5863</v>
      </c>
      <c r="F492" s="3" t="s">
        <v>59</v>
      </c>
      <c r="G492" s="3" t="s">
        <v>60</v>
      </c>
      <c r="H492" s="3" t="s">
        <v>59</v>
      </c>
      <c r="I492" s="3" t="s">
        <v>59</v>
      </c>
      <c r="J492" s="3" t="s">
        <v>61</v>
      </c>
      <c r="K492" s="2" t="s">
        <v>5864</v>
      </c>
      <c r="L492" s="2" t="s">
        <v>5865</v>
      </c>
      <c r="M492" s="3" t="s">
        <v>684</v>
      </c>
      <c r="O492" s="3" t="s">
        <v>64</v>
      </c>
      <c r="P492" s="3" t="s">
        <v>630</v>
      </c>
      <c r="R492" s="3" t="s">
        <v>67</v>
      </c>
      <c r="S492" s="4">
        <v>2</v>
      </c>
      <c r="T492" s="4">
        <v>2</v>
      </c>
      <c r="U492" s="5" t="s">
        <v>5866</v>
      </c>
      <c r="V492" s="5" t="s">
        <v>5866</v>
      </c>
      <c r="W492" s="5" t="s">
        <v>4162</v>
      </c>
      <c r="X492" s="5" t="s">
        <v>4162</v>
      </c>
      <c r="Y492" s="4">
        <v>534</v>
      </c>
      <c r="Z492" s="4">
        <v>477</v>
      </c>
      <c r="AA492" s="4">
        <v>490</v>
      </c>
      <c r="AB492" s="4">
        <v>4</v>
      </c>
      <c r="AC492" s="4">
        <v>4</v>
      </c>
      <c r="AD492" s="4">
        <v>19</v>
      </c>
      <c r="AE492" s="4">
        <v>19</v>
      </c>
      <c r="AF492" s="4">
        <v>7</v>
      </c>
      <c r="AG492" s="4">
        <v>7</v>
      </c>
      <c r="AH492" s="4">
        <v>6</v>
      </c>
      <c r="AI492" s="4">
        <v>6</v>
      </c>
      <c r="AJ492" s="4">
        <v>9</v>
      </c>
      <c r="AK492" s="4">
        <v>9</v>
      </c>
      <c r="AL492" s="4">
        <v>3</v>
      </c>
      <c r="AM492" s="4">
        <v>3</v>
      </c>
      <c r="AN492" s="4">
        <v>0</v>
      </c>
      <c r="AO492" s="4">
        <v>0</v>
      </c>
      <c r="AP492" s="3" t="s">
        <v>59</v>
      </c>
      <c r="AQ492" s="3" t="s">
        <v>69</v>
      </c>
      <c r="AR492" s="6" t="str">
        <f>HYPERLINK("http://catalog.hathitrust.org/Record/004096072","HathiTrust Record")</f>
        <v>HathiTrust Record</v>
      </c>
      <c r="AS492" s="6" t="str">
        <f>HYPERLINK("https://creighton-primo.hosted.exlibrisgroup.com/primo-explore/search?tab=default_tab&amp;search_scope=EVERYTHING&amp;vid=01CRU&amp;lang=en_US&amp;offset=0&amp;query=any,contains,991003358319702656","Catalog Record")</f>
        <v>Catalog Record</v>
      </c>
      <c r="AT492" s="6" t="str">
        <f>HYPERLINK("http://www.worldcat.org/oclc/39787844","WorldCat Record")</f>
        <v>WorldCat Record</v>
      </c>
      <c r="AU492" s="3" t="s">
        <v>5867</v>
      </c>
      <c r="AV492" s="3" t="s">
        <v>5868</v>
      </c>
      <c r="AW492" s="3" t="s">
        <v>5869</v>
      </c>
      <c r="AX492" s="3" t="s">
        <v>5869</v>
      </c>
      <c r="AY492" s="3" t="s">
        <v>5870</v>
      </c>
      <c r="AZ492" s="3" t="s">
        <v>74</v>
      </c>
      <c r="BB492" s="3" t="s">
        <v>5871</v>
      </c>
      <c r="BC492" s="3" t="s">
        <v>5872</v>
      </c>
      <c r="BD492" s="3" t="s">
        <v>5873</v>
      </c>
    </row>
    <row r="493" spans="1:56" ht="57.75" customHeight="1" x14ac:dyDescent="0.25">
      <c r="A493" s="7" t="s">
        <v>59</v>
      </c>
      <c r="B493" s="2" t="s">
        <v>5874</v>
      </c>
      <c r="C493" s="2" t="s">
        <v>5875</v>
      </c>
      <c r="D493" s="2" t="s">
        <v>5876</v>
      </c>
      <c r="F493" s="3" t="s">
        <v>59</v>
      </c>
      <c r="G493" s="3" t="s">
        <v>60</v>
      </c>
      <c r="H493" s="3" t="s">
        <v>59</v>
      </c>
      <c r="I493" s="3" t="s">
        <v>59</v>
      </c>
      <c r="J493" s="3" t="s">
        <v>61</v>
      </c>
      <c r="K493" s="2" t="s">
        <v>5877</v>
      </c>
      <c r="L493" s="2" t="s">
        <v>5878</v>
      </c>
      <c r="M493" s="3" t="s">
        <v>255</v>
      </c>
      <c r="O493" s="3" t="s">
        <v>64</v>
      </c>
      <c r="P493" s="3" t="s">
        <v>5852</v>
      </c>
      <c r="R493" s="3" t="s">
        <v>67</v>
      </c>
      <c r="S493" s="4">
        <v>7</v>
      </c>
      <c r="T493" s="4">
        <v>7</v>
      </c>
      <c r="U493" s="5" t="s">
        <v>3218</v>
      </c>
      <c r="V493" s="5" t="s">
        <v>3218</v>
      </c>
      <c r="W493" s="5" t="s">
        <v>5879</v>
      </c>
      <c r="X493" s="5" t="s">
        <v>5879</v>
      </c>
      <c r="Y493" s="4">
        <v>693</v>
      </c>
      <c r="Z493" s="4">
        <v>640</v>
      </c>
      <c r="AA493" s="4">
        <v>1135</v>
      </c>
      <c r="AB493" s="4">
        <v>7</v>
      </c>
      <c r="AC493" s="4">
        <v>7</v>
      </c>
      <c r="AD493" s="4">
        <v>19</v>
      </c>
      <c r="AE493" s="4">
        <v>22</v>
      </c>
      <c r="AF493" s="4">
        <v>7</v>
      </c>
      <c r="AG493" s="4">
        <v>9</v>
      </c>
      <c r="AH493" s="4">
        <v>1</v>
      </c>
      <c r="AI493" s="4">
        <v>2</v>
      </c>
      <c r="AJ493" s="4">
        <v>11</v>
      </c>
      <c r="AK493" s="4">
        <v>11</v>
      </c>
      <c r="AL493" s="4">
        <v>4</v>
      </c>
      <c r="AM493" s="4">
        <v>4</v>
      </c>
      <c r="AN493" s="4">
        <v>0</v>
      </c>
      <c r="AO493" s="4">
        <v>0</v>
      </c>
      <c r="AP493" s="3" t="s">
        <v>59</v>
      </c>
      <c r="AQ493" s="3" t="s">
        <v>59</v>
      </c>
      <c r="AS493" s="6" t="str">
        <f>HYPERLINK("https://creighton-primo.hosted.exlibrisgroup.com/primo-explore/search?tab=default_tab&amp;search_scope=EVERYTHING&amp;vid=01CRU&amp;lang=en_US&amp;offset=0&amp;query=any,contains,991002891729702656","Catalog Record")</f>
        <v>Catalog Record</v>
      </c>
      <c r="AT493" s="6" t="str">
        <f>HYPERLINK("http://www.worldcat.org/oclc/38105180","WorldCat Record")</f>
        <v>WorldCat Record</v>
      </c>
      <c r="AU493" s="3" t="s">
        <v>5880</v>
      </c>
      <c r="AV493" s="3" t="s">
        <v>5881</v>
      </c>
      <c r="AW493" s="3" t="s">
        <v>5882</v>
      </c>
      <c r="AX493" s="3" t="s">
        <v>5882</v>
      </c>
      <c r="AY493" s="3" t="s">
        <v>5883</v>
      </c>
      <c r="AZ493" s="3" t="s">
        <v>74</v>
      </c>
      <c r="BB493" s="3" t="s">
        <v>5884</v>
      </c>
      <c r="BC493" s="3" t="s">
        <v>5885</v>
      </c>
      <c r="BD493" s="3" t="s">
        <v>5886</v>
      </c>
    </row>
    <row r="494" spans="1:56" ht="57.75" customHeight="1" x14ac:dyDescent="0.25">
      <c r="A494" s="7" t="s">
        <v>59</v>
      </c>
      <c r="B494" s="2" t="s">
        <v>5887</v>
      </c>
      <c r="C494" s="2" t="s">
        <v>5888</v>
      </c>
      <c r="D494" s="2" t="s">
        <v>5889</v>
      </c>
      <c r="F494" s="3" t="s">
        <v>59</v>
      </c>
      <c r="G494" s="3" t="s">
        <v>60</v>
      </c>
      <c r="H494" s="3" t="s">
        <v>59</v>
      </c>
      <c r="I494" s="3" t="s">
        <v>59</v>
      </c>
      <c r="J494" s="3" t="s">
        <v>61</v>
      </c>
      <c r="K494" s="2" t="s">
        <v>5890</v>
      </c>
      <c r="L494" s="2" t="s">
        <v>5891</v>
      </c>
      <c r="M494" s="3" t="s">
        <v>1757</v>
      </c>
      <c r="O494" s="3" t="s">
        <v>64</v>
      </c>
      <c r="P494" s="3" t="s">
        <v>405</v>
      </c>
      <c r="R494" s="3" t="s">
        <v>67</v>
      </c>
      <c r="S494" s="4">
        <v>9</v>
      </c>
      <c r="T494" s="4">
        <v>9</v>
      </c>
      <c r="U494" s="5" t="s">
        <v>5892</v>
      </c>
      <c r="V494" s="5" t="s">
        <v>5892</v>
      </c>
      <c r="W494" s="5" t="s">
        <v>5893</v>
      </c>
      <c r="X494" s="5" t="s">
        <v>5893</v>
      </c>
      <c r="Y494" s="4">
        <v>256</v>
      </c>
      <c r="Z494" s="4">
        <v>175</v>
      </c>
      <c r="AA494" s="4">
        <v>344</v>
      </c>
      <c r="AB494" s="4">
        <v>2</v>
      </c>
      <c r="AC494" s="4">
        <v>3</v>
      </c>
      <c r="AD494" s="4">
        <v>5</v>
      </c>
      <c r="AE494" s="4">
        <v>5</v>
      </c>
      <c r="AF494" s="4">
        <v>0</v>
      </c>
      <c r="AG494" s="4">
        <v>0</v>
      </c>
      <c r="AH494" s="4">
        <v>2</v>
      </c>
      <c r="AI494" s="4">
        <v>2</v>
      </c>
      <c r="AJ494" s="4">
        <v>3</v>
      </c>
      <c r="AK494" s="4">
        <v>3</v>
      </c>
      <c r="AL494" s="4">
        <v>1</v>
      </c>
      <c r="AM494" s="4">
        <v>1</v>
      </c>
      <c r="AN494" s="4">
        <v>0</v>
      </c>
      <c r="AO494" s="4">
        <v>0</v>
      </c>
      <c r="AP494" s="3" t="s">
        <v>59</v>
      </c>
      <c r="AQ494" s="3" t="s">
        <v>69</v>
      </c>
      <c r="AR494" s="6" t="str">
        <f>HYPERLINK("http://catalog.hathitrust.org/Record/003951085","HathiTrust Record")</f>
        <v>HathiTrust Record</v>
      </c>
      <c r="AS494" s="6" t="str">
        <f>HYPERLINK("https://creighton-primo.hosted.exlibrisgroup.com/primo-explore/search?tab=default_tab&amp;search_scope=EVERYTHING&amp;vid=01CRU&amp;lang=en_US&amp;offset=0&amp;query=any,contains,991002764599702656","Catalog Record")</f>
        <v>Catalog Record</v>
      </c>
      <c r="AT494" s="6" t="str">
        <f>HYPERLINK("http://www.worldcat.org/oclc/36279975","WorldCat Record")</f>
        <v>WorldCat Record</v>
      </c>
      <c r="AU494" s="3" t="s">
        <v>5894</v>
      </c>
      <c r="AV494" s="3" t="s">
        <v>5895</v>
      </c>
      <c r="AW494" s="3" t="s">
        <v>5896</v>
      </c>
      <c r="AX494" s="3" t="s">
        <v>5896</v>
      </c>
      <c r="AY494" s="3" t="s">
        <v>5897</v>
      </c>
      <c r="AZ494" s="3" t="s">
        <v>74</v>
      </c>
      <c r="BB494" s="3" t="s">
        <v>5898</v>
      </c>
      <c r="BC494" s="3" t="s">
        <v>5899</v>
      </c>
      <c r="BD494" s="3" t="s">
        <v>5900</v>
      </c>
    </row>
    <row r="495" spans="1:56" ht="57.75" customHeight="1" x14ac:dyDescent="0.25">
      <c r="A495" s="7" t="s">
        <v>59</v>
      </c>
      <c r="B495" s="2" t="s">
        <v>5901</v>
      </c>
      <c r="C495" s="2" t="s">
        <v>5902</v>
      </c>
      <c r="D495" s="2" t="s">
        <v>5903</v>
      </c>
      <c r="F495" s="3" t="s">
        <v>59</v>
      </c>
      <c r="G495" s="3" t="s">
        <v>60</v>
      </c>
      <c r="H495" s="3" t="s">
        <v>59</v>
      </c>
      <c r="I495" s="3" t="s">
        <v>59</v>
      </c>
      <c r="J495" s="3" t="s">
        <v>61</v>
      </c>
      <c r="K495" s="2" t="s">
        <v>5904</v>
      </c>
      <c r="L495" s="2" t="s">
        <v>5905</v>
      </c>
      <c r="M495" s="3" t="s">
        <v>763</v>
      </c>
      <c r="N495" s="2" t="s">
        <v>4096</v>
      </c>
      <c r="O495" s="3" t="s">
        <v>64</v>
      </c>
      <c r="P495" s="3" t="s">
        <v>467</v>
      </c>
      <c r="Q495" s="2" t="s">
        <v>5906</v>
      </c>
      <c r="R495" s="3" t="s">
        <v>67</v>
      </c>
      <c r="S495" s="4">
        <v>18</v>
      </c>
      <c r="T495" s="4">
        <v>18</v>
      </c>
      <c r="U495" s="5" t="s">
        <v>5907</v>
      </c>
      <c r="V495" s="5" t="s">
        <v>5907</v>
      </c>
      <c r="W495" s="5" t="s">
        <v>5908</v>
      </c>
      <c r="X495" s="5" t="s">
        <v>5908</v>
      </c>
      <c r="Y495" s="4">
        <v>365</v>
      </c>
      <c r="Z495" s="4">
        <v>361</v>
      </c>
      <c r="AA495" s="4">
        <v>1610</v>
      </c>
      <c r="AB495" s="4">
        <v>8</v>
      </c>
      <c r="AC495" s="4">
        <v>27</v>
      </c>
      <c r="AD495" s="4">
        <v>1</v>
      </c>
      <c r="AE495" s="4">
        <v>9</v>
      </c>
      <c r="AF495" s="4">
        <v>0</v>
      </c>
      <c r="AG495" s="4">
        <v>4</v>
      </c>
      <c r="AH495" s="4">
        <v>0</v>
      </c>
      <c r="AI495" s="4">
        <v>0</v>
      </c>
      <c r="AJ495" s="4">
        <v>0</v>
      </c>
      <c r="AK495" s="4">
        <v>1</v>
      </c>
      <c r="AL495" s="4">
        <v>1</v>
      </c>
      <c r="AM495" s="4">
        <v>4</v>
      </c>
      <c r="AN495" s="4">
        <v>0</v>
      </c>
      <c r="AO495" s="4">
        <v>0</v>
      </c>
      <c r="AP495" s="3" t="s">
        <v>59</v>
      </c>
      <c r="AQ495" s="3" t="s">
        <v>59</v>
      </c>
      <c r="AS495" s="6" t="str">
        <f>HYPERLINK("https://creighton-primo.hosted.exlibrisgroup.com/primo-explore/search?tab=default_tab&amp;search_scope=EVERYTHING&amp;vid=01CRU&amp;lang=en_US&amp;offset=0&amp;query=any,contains,991005408729702656","Catalog Record")</f>
        <v>Catalog Record</v>
      </c>
      <c r="AT495" s="6" t="str">
        <f>HYPERLINK("http://www.worldcat.org/oclc/17229034","WorldCat Record")</f>
        <v>WorldCat Record</v>
      </c>
      <c r="AU495" s="3" t="s">
        <v>5909</v>
      </c>
      <c r="AV495" s="3" t="s">
        <v>5910</v>
      </c>
      <c r="AW495" s="3" t="s">
        <v>5911</v>
      </c>
      <c r="AX495" s="3" t="s">
        <v>5911</v>
      </c>
      <c r="AY495" s="3" t="s">
        <v>5912</v>
      </c>
      <c r="AZ495" s="3" t="s">
        <v>74</v>
      </c>
      <c r="BB495" s="3" t="s">
        <v>5913</v>
      </c>
      <c r="BC495" s="3" t="s">
        <v>5914</v>
      </c>
      <c r="BD495" s="3" t="s">
        <v>5915</v>
      </c>
    </row>
    <row r="496" spans="1:56" ht="57.75" customHeight="1" x14ac:dyDescent="0.25">
      <c r="A496" s="7" t="s">
        <v>59</v>
      </c>
      <c r="B496" s="2" t="s">
        <v>5916</v>
      </c>
      <c r="C496" s="2" t="s">
        <v>5917</v>
      </c>
      <c r="D496" s="2" t="s">
        <v>5918</v>
      </c>
      <c r="F496" s="3" t="s">
        <v>59</v>
      </c>
      <c r="G496" s="3" t="s">
        <v>60</v>
      </c>
      <c r="H496" s="3" t="s">
        <v>59</v>
      </c>
      <c r="I496" s="3" t="s">
        <v>59</v>
      </c>
      <c r="J496" s="3" t="s">
        <v>61</v>
      </c>
      <c r="K496" s="2" t="s">
        <v>5919</v>
      </c>
      <c r="L496" s="2" t="s">
        <v>5920</v>
      </c>
      <c r="M496" s="3" t="s">
        <v>540</v>
      </c>
      <c r="N496" s="2" t="s">
        <v>5921</v>
      </c>
      <c r="O496" s="3" t="s">
        <v>64</v>
      </c>
      <c r="P496" s="3" t="s">
        <v>467</v>
      </c>
      <c r="Q496" s="2" t="s">
        <v>5922</v>
      </c>
      <c r="R496" s="3" t="s">
        <v>67</v>
      </c>
      <c r="S496" s="4">
        <v>8</v>
      </c>
      <c r="T496" s="4">
        <v>8</v>
      </c>
      <c r="U496" s="5" t="s">
        <v>5923</v>
      </c>
      <c r="V496" s="5" t="s">
        <v>5923</v>
      </c>
      <c r="W496" s="5" t="s">
        <v>5924</v>
      </c>
      <c r="X496" s="5" t="s">
        <v>5924</v>
      </c>
      <c r="Y496" s="4">
        <v>1774</v>
      </c>
      <c r="Z496" s="4">
        <v>1717</v>
      </c>
      <c r="AA496" s="4">
        <v>1848</v>
      </c>
      <c r="AB496" s="4">
        <v>16</v>
      </c>
      <c r="AC496" s="4">
        <v>16</v>
      </c>
      <c r="AD496" s="4">
        <v>19</v>
      </c>
      <c r="AE496" s="4">
        <v>19</v>
      </c>
      <c r="AF496" s="4">
        <v>8</v>
      </c>
      <c r="AG496" s="4">
        <v>8</v>
      </c>
      <c r="AH496" s="4">
        <v>3</v>
      </c>
      <c r="AI496" s="4">
        <v>3</v>
      </c>
      <c r="AJ496" s="4">
        <v>6</v>
      </c>
      <c r="AK496" s="4">
        <v>6</v>
      </c>
      <c r="AL496" s="4">
        <v>5</v>
      </c>
      <c r="AM496" s="4">
        <v>5</v>
      </c>
      <c r="AN496" s="4">
        <v>0</v>
      </c>
      <c r="AO496" s="4">
        <v>0</v>
      </c>
      <c r="AP496" s="3" t="s">
        <v>59</v>
      </c>
      <c r="AQ496" s="3" t="s">
        <v>69</v>
      </c>
      <c r="AR496" s="6" t="str">
        <f>HYPERLINK("http://catalog.hathitrust.org/Record/000266843","HathiTrust Record")</f>
        <v>HathiTrust Record</v>
      </c>
      <c r="AS496" s="6" t="str">
        <f>HYPERLINK("https://creighton-primo.hosted.exlibrisgroup.com/primo-explore/search?tab=default_tab&amp;search_scope=EVERYTHING&amp;vid=01CRU&amp;lang=en_US&amp;offset=0&amp;query=any,contains,991005143259702656","Catalog Record")</f>
        <v>Catalog Record</v>
      </c>
      <c r="AT496" s="6" t="str">
        <f>HYPERLINK("http://www.worldcat.org/oclc/7646788","WorldCat Record")</f>
        <v>WorldCat Record</v>
      </c>
      <c r="AU496" s="3" t="s">
        <v>5925</v>
      </c>
      <c r="AV496" s="3" t="s">
        <v>5926</v>
      </c>
      <c r="AW496" s="3" t="s">
        <v>5927</v>
      </c>
      <c r="AX496" s="3" t="s">
        <v>5927</v>
      </c>
      <c r="AY496" s="3" t="s">
        <v>5928</v>
      </c>
      <c r="AZ496" s="3" t="s">
        <v>74</v>
      </c>
      <c r="BB496" s="3" t="s">
        <v>5929</v>
      </c>
      <c r="BC496" s="3" t="s">
        <v>5930</v>
      </c>
      <c r="BD496" s="3" t="s">
        <v>5931</v>
      </c>
    </row>
    <row r="497" spans="1:56" ht="57.75" customHeight="1" x14ac:dyDescent="0.25">
      <c r="A497" s="7" t="s">
        <v>59</v>
      </c>
      <c r="B497" s="2" t="s">
        <v>5932</v>
      </c>
      <c r="C497" s="2" t="s">
        <v>5933</v>
      </c>
      <c r="D497" s="2" t="s">
        <v>5934</v>
      </c>
      <c r="F497" s="3" t="s">
        <v>59</v>
      </c>
      <c r="G497" s="3" t="s">
        <v>60</v>
      </c>
      <c r="H497" s="3" t="s">
        <v>59</v>
      </c>
      <c r="I497" s="3" t="s">
        <v>59</v>
      </c>
      <c r="J497" s="3" t="s">
        <v>61</v>
      </c>
      <c r="K497" s="2" t="s">
        <v>5935</v>
      </c>
      <c r="L497" s="2" t="s">
        <v>5936</v>
      </c>
      <c r="M497" s="3" t="s">
        <v>495</v>
      </c>
      <c r="O497" s="3" t="s">
        <v>64</v>
      </c>
      <c r="P497" s="3" t="s">
        <v>1078</v>
      </c>
      <c r="R497" s="3" t="s">
        <v>67</v>
      </c>
      <c r="S497" s="4">
        <v>7</v>
      </c>
      <c r="T497" s="4">
        <v>7</v>
      </c>
      <c r="U497" s="5" t="s">
        <v>3218</v>
      </c>
      <c r="V497" s="5" t="s">
        <v>3218</v>
      </c>
      <c r="W497" s="5" t="s">
        <v>5924</v>
      </c>
      <c r="X497" s="5" t="s">
        <v>5924</v>
      </c>
      <c r="Y497" s="4">
        <v>1176</v>
      </c>
      <c r="Z497" s="4">
        <v>1092</v>
      </c>
      <c r="AA497" s="4">
        <v>1147</v>
      </c>
      <c r="AB497" s="4">
        <v>5</v>
      </c>
      <c r="AC497" s="4">
        <v>5</v>
      </c>
      <c r="AD497" s="4">
        <v>25</v>
      </c>
      <c r="AE497" s="4">
        <v>25</v>
      </c>
      <c r="AF497" s="4">
        <v>12</v>
      </c>
      <c r="AG497" s="4">
        <v>12</v>
      </c>
      <c r="AH497" s="4">
        <v>5</v>
      </c>
      <c r="AI497" s="4">
        <v>5</v>
      </c>
      <c r="AJ497" s="4">
        <v>11</v>
      </c>
      <c r="AK497" s="4">
        <v>11</v>
      </c>
      <c r="AL497" s="4">
        <v>3</v>
      </c>
      <c r="AM497" s="4">
        <v>3</v>
      </c>
      <c r="AN497" s="4">
        <v>0</v>
      </c>
      <c r="AO497" s="4">
        <v>0</v>
      </c>
      <c r="AP497" s="3" t="s">
        <v>59</v>
      </c>
      <c r="AQ497" s="3" t="s">
        <v>59</v>
      </c>
      <c r="AS497" s="6" t="str">
        <f>HYPERLINK("https://creighton-primo.hosted.exlibrisgroup.com/primo-explore/search?tab=default_tab&amp;search_scope=EVERYTHING&amp;vid=01CRU&amp;lang=en_US&amp;offset=0&amp;query=any,contains,991000546759702656","Catalog Record")</f>
        <v>Catalog Record</v>
      </c>
      <c r="AT497" s="6" t="str">
        <f>HYPERLINK("http://www.worldcat.org/oclc/11518801","WorldCat Record")</f>
        <v>WorldCat Record</v>
      </c>
      <c r="AU497" s="3" t="s">
        <v>5937</v>
      </c>
      <c r="AV497" s="3" t="s">
        <v>5938</v>
      </c>
      <c r="AW497" s="3" t="s">
        <v>5939</v>
      </c>
      <c r="AX497" s="3" t="s">
        <v>5939</v>
      </c>
      <c r="AY497" s="3" t="s">
        <v>5940</v>
      </c>
      <c r="AZ497" s="3" t="s">
        <v>74</v>
      </c>
      <c r="BB497" s="3" t="s">
        <v>5941</v>
      </c>
      <c r="BC497" s="3" t="s">
        <v>5942</v>
      </c>
      <c r="BD497" s="3" t="s">
        <v>5943</v>
      </c>
    </row>
    <row r="498" spans="1:56" ht="57.75" customHeight="1" x14ac:dyDescent="0.25">
      <c r="A498" s="7" t="s">
        <v>59</v>
      </c>
      <c r="B498" s="2" t="s">
        <v>5944</v>
      </c>
      <c r="C498" s="2" t="s">
        <v>5945</v>
      </c>
      <c r="D498" s="2" t="s">
        <v>5946</v>
      </c>
      <c r="F498" s="3" t="s">
        <v>59</v>
      </c>
      <c r="G498" s="3" t="s">
        <v>60</v>
      </c>
      <c r="H498" s="3" t="s">
        <v>59</v>
      </c>
      <c r="I498" s="3" t="s">
        <v>59</v>
      </c>
      <c r="J498" s="3" t="s">
        <v>61</v>
      </c>
      <c r="K498" s="2" t="s">
        <v>5947</v>
      </c>
      <c r="L498" s="2" t="s">
        <v>5948</v>
      </c>
      <c r="M498" s="3" t="s">
        <v>1837</v>
      </c>
      <c r="O498" s="3" t="s">
        <v>64</v>
      </c>
      <c r="P498" s="3" t="s">
        <v>630</v>
      </c>
      <c r="R498" s="3" t="s">
        <v>67</v>
      </c>
      <c r="S498" s="4">
        <v>3</v>
      </c>
      <c r="T498" s="4">
        <v>3</v>
      </c>
      <c r="U498" s="5" t="s">
        <v>5949</v>
      </c>
      <c r="V498" s="5" t="s">
        <v>5949</v>
      </c>
      <c r="W498" s="5" t="s">
        <v>5950</v>
      </c>
      <c r="X498" s="5" t="s">
        <v>5950</v>
      </c>
      <c r="Y498" s="4">
        <v>511</v>
      </c>
      <c r="Z498" s="4">
        <v>488</v>
      </c>
      <c r="AA498" s="4">
        <v>495</v>
      </c>
      <c r="AB498" s="4">
        <v>3</v>
      </c>
      <c r="AC498" s="4">
        <v>3</v>
      </c>
      <c r="AD498" s="4">
        <v>3</v>
      </c>
      <c r="AE498" s="4">
        <v>3</v>
      </c>
      <c r="AF498" s="4">
        <v>0</v>
      </c>
      <c r="AG498" s="4">
        <v>0</v>
      </c>
      <c r="AH498" s="4">
        <v>0</v>
      </c>
      <c r="AI498" s="4">
        <v>0</v>
      </c>
      <c r="AJ498" s="4">
        <v>2</v>
      </c>
      <c r="AK498" s="4">
        <v>2</v>
      </c>
      <c r="AL498" s="4">
        <v>1</v>
      </c>
      <c r="AM498" s="4">
        <v>1</v>
      </c>
      <c r="AN498" s="4">
        <v>0</v>
      </c>
      <c r="AO498" s="4">
        <v>0</v>
      </c>
      <c r="AP498" s="3" t="s">
        <v>59</v>
      </c>
      <c r="AQ498" s="3" t="s">
        <v>59</v>
      </c>
      <c r="AS498" s="6" t="str">
        <f>HYPERLINK("https://creighton-primo.hosted.exlibrisgroup.com/primo-explore/search?tab=default_tab&amp;search_scope=EVERYTHING&amp;vid=01CRU&amp;lang=en_US&amp;offset=0&amp;query=any,contains,991002085829702656","Catalog Record")</f>
        <v>Catalog Record</v>
      </c>
      <c r="AT498" s="6" t="str">
        <f>HYPERLINK("http://www.worldcat.org/oclc/26764220","WorldCat Record")</f>
        <v>WorldCat Record</v>
      </c>
      <c r="AU498" s="3" t="s">
        <v>5951</v>
      </c>
      <c r="AV498" s="3" t="s">
        <v>5952</v>
      </c>
      <c r="AW498" s="3" t="s">
        <v>5953</v>
      </c>
      <c r="AX498" s="3" t="s">
        <v>5953</v>
      </c>
      <c r="AY498" s="3" t="s">
        <v>5954</v>
      </c>
      <c r="AZ498" s="3" t="s">
        <v>74</v>
      </c>
      <c r="BB498" s="3" t="s">
        <v>5955</v>
      </c>
      <c r="BC498" s="3" t="s">
        <v>5956</v>
      </c>
      <c r="BD498" s="3" t="s">
        <v>5957</v>
      </c>
    </row>
    <row r="499" spans="1:56" ht="57.75" customHeight="1" x14ac:dyDescent="0.25">
      <c r="A499" s="7" t="s">
        <v>59</v>
      </c>
      <c r="B499" s="2" t="s">
        <v>5958</v>
      </c>
      <c r="C499" s="2" t="s">
        <v>5959</v>
      </c>
      <c r="D499" s="2" t="s">
        <v>5960</v>
      </c>
      <c r="F499" s="3" t="s">
        <v>59</v>
      </c>
      <c r="G499" s="3" t="s">
        <v>60</v>
      </c>
      <c r="H499" s="3" t="s">
        <v>59</v>
      </c>
      <c r="I499" s="3" t="s">
        <v>59</v>
      </c>
      <c r="J499" s="3" t="s">
        <v>61</v>
      </c>
      <c r="K499" s="2" t="s">
        <v>5961</v>
      </c>
      <c r="L499" s="2" t="s">
        <v>5962</v>
      </c>
      <c r="M499" s="3" t="s">
        <v>5963</v>
      </c>
      <c r="O499" s="3" t="s">
        <v>64</v>
      </c>
      <c r="P499" s="3" t="s">
        <v>467</v>
      </c>
      <c r="R499" s="3" t="s">
        <v>67</v>
      </c>
      <c r="S499" s="4">
        <v>4</v>
      </c>
      <c r="T499" s="4">
        <v>4</v>
      </c>
      <c r="U499" s="5" t="s">
        <v>1838</v>
      </c>
      <c r="V499" s="5" t="s">
        <v>1838</v>
      </c>
      <c r="W499" s="5" t="s">
        <v>2452</v>
      </c>
      <c r="X499" s="5" t="s">
        <v>2452</v>
      </c>
      <c r="Y499" s="4">
        <v>280</v>
      </c>
      <c r="Z499" s="4">
        <v>263</v>
      </c>
      <c r="AA499" s="4">
        <v>755</v>
      </c>
      <c r="AB499" s="4">
        <v>4</v>
      </c>
      <c r="AC499" s="4">
        <v>8</v>
      </c>
      <c r="AD499" s="4">
        <v>8</v>
      </c>
      <c r="AE499" s="4">
        <v>28</v>
      </c>
      <c r="AF499" s="4">
        <v>4</v>
      </c>
      <c r="AG499" s="4">
        <v>13</v>
      </c>
      <c r="AH499" s="4">
        <v>0</v>
      </c>
      <c r="AI499" s="4">
        <v>3</v>
      </c>
      <c r="AJ499" s="4">
        <v>3</v>
      </c>
      <c r="AK499" s="4">
        <v>14</v>
      </c>
      <c r="AL499" s="4">
        <v>3</v>
      </c>
      <c r="AM499" s="4">
        <v>6</v>
      </c>
      <c r="AN499" s="4">
        <v>0</v>
      </c>
      <c r="AO499" s="4">
        <v>0</v>
      </c>
      <c r="AP499" s="3" t="s">
        <v>69</v>
      </c>
      <c r="AQ499" s="3" t="s">
        <v>59</v>
      </c>
      <c r="AR499" s="6" t="str">
        <f>HYPERLINK("http://catalog.hathitrust.org/Record/001500438","HathiTrust Record")</f>
        <v>HathiTrust Record</v>
      </c>
      <c r="AS499" s="6" t="str">
        <f>HYPERLINK("https://creighton-primo.hosted.exlibrisgroup.com/primo-explore/search?tab=default_tab&amp;search_scope=EVERYTHING&amp;vid=01CRU&amp;lang=en_US&amp;offset=0&amp;query=any,contains,991004052389702656","Catalog Record")</f>
        <v>Catalog Record</v>
      </c>
      <c r="AT499" s="6" t="str">
        <f>HYPERLINK("http://www.worldcat.org/oclc/2214672","WorldCat Record")</f>
        <v>WorldCat Record</v>
      </c>
      <c r="AU499" s="3" t="s">
        <v>5964</v>
      </c>
      <c r="AV499" s="3" t="s">
        <v>5965</v>
      </c>
      <c r="AW499" s="3" t="s">
        <v>5966</v>
      </c>
      <c r="AX499" s="3" t="s">
        <v>5966</v>
      </c>
      <c r="AY499" s="3" t="s">
        <v>5967</v>
      </c>
      <c r="AZ499" s="3" t="s">
        <v>74</v>
      </c>
      <c r="BC499" s="3" t="s">
        <v>5968</v>
      </c>
      <c r="BD499" s="3" t="s">
        <v>5969</v>
      </c>
    </row>
    <row r="500" spans="1:56" ht="57.75" customHeight="1" x14ac:dyDescent="0.25">
      <c r="A500" s="7" t="s">
        <v>59</v>
      </c>
      <c r="B500" s="2" t="s">
        <v>5970</v>
      </c>
      <c r="C500" s="2" t="s">
        <v>5971</v>
      </c>
      <c r="D500" s="2" t="s">
        <v>5972</v>
      </c>
      <c r="F500" s="3" t="s">
        <v>59</v>
      </c>
      <c r="G500" s="3" t="s">
        <v>60</v>
      </c>
      <c r="H500" s="3" t="s">
        <v>59</v>
      </c>
      <c r="I500" s="3" t="s">
        <v>59</v>
      </c>
      <c r="J500" s="3" t="s">
        <v>61</v>
      </c>
      <c r="K500" s="2" t="s">
        <v>5973</v>
      </c>
      <c r="L500" s="2" t="s">
        <v>5974</v>
      </c>
      <c r="M500" s="3" t="s">
        <v>1430</v>
      </c>
      <c r="O500" s="3" t="s">
        <v>64</v>
      </c>
      <c r="P500" s="3" t="s">
        <v>65</v>
      </c>
      <c r="R500" s="3" t="s">
        <v>67</v>
      </c>
      <c r="S500" s="4">
        <v>3</v>
      </c>
      <c r="T500" s="4">
        <v>3</v>
      </c>
      <c r="U500" s="5" t="s">
        <v>5975</v>
      </c>
      <c r="V500" s="5" t="s">
        <v>5975</v>
      </c>
      <c r="W500" s="5" t="s">
        <v>5976</v>
      </c>
      <c r="X500" s="5" t="s">
        <v>5976</v>
      </c>
      <c r="Y500" s="4">
        <v>549</v>
      </c>
      <c r="Z500" s="4">
        <v>519</v>
      </c>
      <c r="AA500" s="4">
        <v>521</v>
      </c>
      <c r="AB500" s="4">
        <v>3</v>
      </c>
      <c r="AC500" s="4">
        <v>3</v>
      </c>
      <c r="AD500" s="4">
        <v>15</v>
      </c>
      <c r="AE500" s="4">
        <v>15</v>
      </c>
      <c r="AF500" s="4">
        <v>8</v>
      </c>
      <c r="AG500" s="4">
        <v>8</v>
      </c>
      <c r="AH500" s="4">
        <v>2</v>
      </c>
      <c r="AI500" s="4">
        <v>2</v>
      </c>
      <c r="AJ500" s="4">
        <v>5</v>
      </c>
      <c r="AK500" s="4">
        <v>5</v>
      </c>
      <c r="AL500" s="4">
        <v>2</v>
      </c>
      <c r="AM500" s="4">
        <v>2</v>
      </c>
      <c r="AN500" s="4">
        <v>0</v>
      </c>
      <c r="AO500" s="4">
        <v>0</v>
      </c>
      <c r="AP500" s="3" t="s">
        <v>59</v>
      </c>
      <c r="AQ500" s="3" t="s">
        <v>69</v>
      </c>
      <c r="AR500" s="6" t="str">
        <f>HYPERLINK("http://catalog.hathitrust.org/Record/000320907","HathiTrust Record")</f>
        <v>HathiTrust Record</v>
      </c>
      <c r="AS500" s="6" t="str">
        <f>HYPERLINK("https://creighton-primo.hosted.exlibrisgroup.com/primo-explore/search?tab=default_tab&amp;search_scope=EVERYTHING&amp;vid=01CRU&amp;lang=en_US&amp;offset=0&amp;query=any,contains,991004629759702656","Catalog Record")</f>
        <v>Catalog Record</v>
      </c>
      <c r="AT500" s="6" t="str">
        <f>HYPERLINK("http://www.worldcat.org/oclc/9412517","WorldCat Record")</f>
        <v>WorldCat Record</v>
      </c>
      <c r="AU500" s="3" t="s">
        <v>5977</v>
      </c>
      <c r="AV500" s="3" t="s">
        <v>5978</v>
      </c>
      <c r="AW500" s="3" t="s">
        <v>5979</v>
      </c>
      <c r="AX500" s="3" t="s">
        <v>5979</v>
      </c>
      <c r="AY500" s="3" t="s">
        <v>5980</v>
      </c>
      <c r="AZ500" s="3" t="s">
        <v>74</v>
      </c>
      <c r="BB500" s="3" t="s">
        <v>5981</v>
      </c>
      <c r="BC500" s="3" t="s">
        <v>5982</v>
      </c>
      <c r="BD500" s="3" t="s">
        <v>5983</v>
      </c>
    </row>
    <row r="501" spans="1:56" ht="57.75" customHeight="1" x14ac:dyDescent="0.25">
      <c r="A501" s="7" t="s">
        <v>59</v>
      </c>
      <c r="B501" s="2" t="s">
        <v>5984</v>
      </c>
      <c r="C501" s="2" t="s">
        <v>5985</v>
      </c>
      <c r="D501" s="2" t="s">
        <v>5986</v>
      </c>
      <c r="F501" s="3" t="s">
        <v>59</v>
      </c>
      <c r="G501" s="3" t="s">
        <v>60</v>
      </c>
      <c r="H501" s="3" t="s">
        <v>59</v>
      </c>
      <c r="I501" s="3" t="s">
        <v>59</v>
      </c>
      <c r="J501" s="3" t="s">
        <v>61</v>
      </c>
      <c r="K501" s="2" t="s">
        <v>5987</v>
      </c>
      <c r="L501" s="2" t="s">
        <v>5988</v>
      </c>
      <c r="M501" s="3" t="s">
        <v>835</v>
      </c>
      <c r="O501" s="3" t="s">
        <v>64</v>
      </c>
      <c r="P501" s="3" t="s">
        <v>467</v>
      </c>
      <c r="R501" s="3" t="s">
        <v>67</v>
      </c>
      <c r="S501" s="4">
        <v>5</v>
      </c>
      <c r="T501" s="4">
        <v>5</v>
      </c>
      <c r="U501" s="5" t="s">
        <v>5989</v>
      </c>
      <c r="V501" s="5" t="s">
        <v>5989</v>
      </c>
      <c r="W501" s="5" t="s">
        <v>543</v>
      </c>
      <c r="X501" s="5" t="s">
        <v>543</v>
      </c>
      <c r="Y501" s="4">
        <v>181</v>
      </c>
      <c r="Z501" s="4">
        <v>156</v>
      </c>
      <c r="AA501" s="4">
        <v>179</v>
      </c>
      <c r="AB501" s="4">
        <v>1</v>
      </c>
      <c r="AC501" s="4">
        <v>2</v>
      </c>
      <c r="AD501" s="4">
        <v>3</v>
      </c>
      <c r="AE501" s="4">
        <v>4</v>
      </c>
      <c r="AF501" s="4">
        <v>1</v>
      </c>
      <c r="AG501" s="4">
        <v>1</v>
      </c>
      <c r="AH501" s="4">
        <v>1</v>
      </c>
      <c r="AI501" s="4">
        <v>1</v>
      </c>
      <c r="AJ501" s="4">
        <v>1</v>
      </c>
      <c r="AK501" s="4">
        <v>1</v>
      </c>
      <c r="AL501" s="4">
        <v>0</v>
      </c>
      <c r="AM501" s="4">
        <v>1</v>
      </c>
      <c r="AN501" s="4">
        <v>0</v>
      </c>
      <c r="AO501" s="4">
        <v>0</v>
      </c>
      <c r="AP501" s="3" t="s">
        <v>59</v>
      </c>
      <c r="AQ501" s="3" t="s">
        <v>69</v>
      </c>
      <c r="AR501" s="6" t="str">
        <f>HYPERLINK("http://catalog.hathitrust.org/Record/000045056","HathiTrust Record")</f>
        <v>HathiTrust Record</v>
      </c>
      <c r="AS501" s="6" t="str">
        <f>HYPERLINK("https://creighton-primo.hosted.exlibrisgroup.com/primo-explore/search?tab=default_tab&amp;search_scope=EVERYTHING&amp;vid=01CRU&amp;lang=en_US&amp;offset=0&amp;query=any,contains,991004700799702656","Catalog Record")</f>
        <v>Catalog Record</v>
      </c>
      <c r="AT501" s="6" t="str">
        <f>HYPERLINK("http://www.worldcat.org/oclc/4667201","WorldCat Record")</f>
        <v>WorldCat Record</v>
      </c>
      <c r="AU501" s="3" t="s">
        <v>5990</v>
      </c>
      <c r="AV501" s="3" t="s">
        <v>5991</v>
      </c>
      <c r="AW501" s="3" t="s">
        <v>5992</v>
      </c>
      <c r="AX501" s="3" t="s">
        <v>5992</v>
      </c>
      <c r="AY501" s="3" t="s">
        <v>5993</v>
      </c>
      <c r="AZ501" s="3" t="s">
        <v>74</v>
      </c>
      <c r="BB501" s="3" t="s">
        <v>5994</v>
      </c>
      <c r="BC501" s="3" t="s">
        <v>5995</v>
      </c>
      <c r="BD501" s="3" t="s">
        <v>5996</v>
      </c>
    </row>
    <row r="502" spans="1:56" ht="57.75" customHeight="1" x14ac:dyDescent="0.25">
      <c r="A502" s="7" t="s">
        <v>59</v>
      </c>
      <c r="B502" s="2" t="s">
        <v>5997</v>
      </c>
      <c r="C502" s="2" t="s">
        <v>5998</v>
      </c>
      <c r="D502" s="2" t="s">
        <v>5999</v>
      </c>
      <c r="F502" s="3" t="s">
        <v>59</v>
      </c>
      <c r="G502" s="3" t="s">
        <v>60</v>
      </c>
      <c r="H502" s="3" t="s">
        <v>59</v>
      </c>
      <c r="I502" s="3" t="s">
        <v>59</v>
      </c>
      <c r="J502" s="3" t="s">
        <v>61</v>
      </c>
      <c r="K502" s="2" t="s">
        <v>6000</v>
      </c>
      <c r="L502" s="2" t="s">
        <v>6001</v>
      </c>
      <c r="M502" s="3" t="s">
        <v>1701</v>
      </c>
      <c r="O502" s="3" t="s">
        <v>64</v>
      </c>
      <c r="P502" s="3" t="s">
        <v>405</v>
      </c>
      <c r="R502" s="3" t="s">
        <v>67</v>
      </c>
      <c r="S502" s="4">
        <v>6</v>
      </c>
      <c r="T502" s="4">
        <v>6</v>
      </c>
      <c r="U502" s="5" t="s">
        <v>6002</v>
      </c>
      <c r="V502" s="5" t="s">
        <v>6002</v>
      </c>
      <c r="W502" s="5" t="s">
        <v>543</v>
      </c>
      <c r="X502" s="5" t="s">
        <v>543</v>
      </c>
      <c r="Y502" s="4">
        <v>212</v>
      </c>
      <c r="Z502" s="4">
        <v>81</v>
      </c>
      <c r="AA502" s="4">
        <v>86</v>
      </c>
      <c r="AB502" s="4">
        <v>2</v>
      </c>
      <c r="AC502" s="4">
        <v>2</v>
      </c>
      <c r="AD502" s="4">
        <v>6</v>
      </c>
      <c r="AE502" s="4">
        <v>6</v>
      </c>
      <c r="AF502" s="4">
        <v>2</v>
      </c>
      <c r="AG502" s="4">
        <v>2</v>
      </c>
      <c r="AH502" s="4">
        <v>2</v>
      </c>
      <c r="AI502" s="4">
        <v>2</v>
      </c>
      <c r="AJ502" s="4">
        <v>4</v>
      </c>
      <c r="AK502" s="4">
        <v>4</v>
      </c>
      <c r="AL502" s="4">
        <v>1</v>
      </c>
      <c r="AM502" s="4">
        <v>1</v>
      </c>
      <c r="AN502" s="4">
        <v>0</v>
      </c>
      <c r="AO502" s="4">
        <v>0</v>
      </c>
      <c r="AP502" s="3" t="s">
        <v>59</v>
      </c>
      <c r="AQ502" s="3" t="s">
        <v>59</v>
      </c>
      <c r="AS502" s="6" t="str">
        <f>HYPERLINK("https://creighton-primo.hosted.exlibrisgroup.com/primo-explore/search?tab=default_tab&amp;search_scope=EVERYTHING&amp;vid=01CRU&amp;lang=en_US&amp;offset=0&amp;query=any,contains,991004621609702656","Catalog Record")</f>
        <v>Catalog Record</v>
      </c>
      <c r="AT502" s="6" t="str">
        <f>HYPERLINK("http://www.worldcat.org/oclc/4300626","WorldCat Record")</f>
        <v>WorldCat Record</v>
      </c>
      <c r="AU502" s="3" t="s">
        <v>6003</v>
      </c>
      <c r="AV502" s="3" t="s">
        <v>6004</v>
      </c>
      <c r="AW502" s="3" t="s">
        <v>6005</v>
      </c>
      <c r="AX502" s="3" t="s">
        <v>6005</v>
      </c>
      <c r="AY502" s="3" t="s">
        <v>6006</v>
      </c>
      <c r="AZ502" s="3" t="s">
        <v>74</v>
      </c>
      <c r="BB502" s="3" t="s">
        <v>6007</v>
      </c>
      <c r="BC502" s="3" t="s">
        <v>6008</v>
      </c>
      <c r="BD502" s="3" t="s">
        <v>6009</v>
      </c>
    </row>
    <row r="503" spans="1:56" ht="57.75" customHeight="1" x14ac:dyDescent="0.25">
      <c r="A503" s="7" t="s">
        <v>59</v>
      </c>
      <c r="B503" s="2" t="s">
        <v>6010</v>
      </c>
      <c r="C503" s="2" t="s">
        <v>6011</v>
      </c>
      <c r="D503" s="2" t="s">
        <v>6012</v>
      </c>
      <c r="F503" s="3" t="s">
        <v>59</v>
      </c>
      <c r="G503" s="3" t="s">
        <v>60</v>
      </c>
      <c r="H503" s="3" t="s">
        <v>69</v>
      </c>
      <c r="I503" s="3" t="s">
        <v>59</v>
      </c>
      <c r="J503" s="3" t="s">
        <v>61</v>
      </c>
      <c r="L503" s="2" t="s">
        <v>6013</v>
      </c>
      <c r="M503" s="3" t="s">
        <v>763</v>
      </c>
      <c r="O503" s="3" t="s">
        <v>64</v>
      </c>
      <c r="P503" s="3" t="s">
        <v>467</v>
      </c>
      <c r="R503" s="3" t="s">
        <v>67</v>
      </c>
      <c r="S503" s="4">
        <v>12</v>
      </c>
      <c r="T503" s="4">
        <v>18</v>
      </c>
      <c r="U503" s="5" t="s">
        <v>258</v>
      </c>
      <c r="V503" s="5" t="s">
        <v>258</v>
      </c>
      <c r="W503" s="5" t="s">
        <v>6014</v>
      </c>
      <c r="X503" s="5" t="s">
        <v>6014</v>
      </c>
      <c r="Y503" s="4">
        <v>259</v>
      </c>
      <c r="Z503" s="4">
        <v>180</v>
      </c>
      <c r="AA503" s="4">
        <v>275</v>
      </c>
      <c r="AB503" s="4">
        <v>3</v>
      </c>
      <c r="AC503" s="4">
        <v>3</v>
      </c>
      <c r="AD503" s="4">
        <v>9</v>
      </c>
      <c r="AE503" s="4">
        <v>13</v>
      </c>
      <c r="AF503" s="4">
        <v>2</v>
      </c>
      <c r="AG503" s="4">
        <v>3</v>
      </c>
      <c r="AH503" s="4">
        <v>4</v>
      </c>
      <c r="AI503" s="4">
        <v>5</v>
      </c>
      <c r="AJ503" s="4">
        <v>6</v>
      </c>
      <c r="AK503" s="4">
        <v>8</v>
      </c>
      <c r="AL503" s="4">
        <v>1</v>
      </c>
      <c r="AM503" s="4">
        <v>1</v>
      </c>
      <c r="AN503" s="4">
        <v>0</v>
      </c>
      <c r="AO503" s="4">
        <v>0</v>
      </c>
      <c r="AP503" s="3" t="s">
        <v>59</v>
      </c>
      <c r="AQ503" s="3" t="s">
        <v>59</v>
      </c>
      <c r="AS503" s="6" t="str">
        <f>HYPERLINK("https://creighton-primo.hosted.exlibrisgroup.com/primo-explore/search?tab=default_tab&amp;search_scope=EVERYTHING&amp;vid=01CRU&amp;lang=en_US&amp;offset=0&amp;query=any,contains,991001805569702656","Catalog Record")</f>
        <v>Catalog Record</v>
      </c>
      <c r="AT503" s="6" t="str">
        <f>HYPERLINK("http://www.worldcat.org/oclc/14272739","WorldCat Record")</f>
        <v>WorldCat Record</v>
      </c>
      <c r="AU503" s="3" t="s">
        <v>6015</v>
      </c>
      <c r="AV503" s="3" t="s">
        <v>6016</v>
      </c>
      <c r="AW503" s="3" t="s">
        <v>6017</v>
      </c>
      <c r="AX503" s="3" t="s">
        <v>6017</v>
      </c>
      <c r="AY503" s="3" t="s">
        <v>6018</v>
      </c>
      <c r="AZ503" s="3" t="s">
        <v>74</v>
      </c>
      <c r="BB503" s="3" t="s">
        <v>6019</v>
      </c>
      <c r="BC503" s="3" t="s">
        <v>6020</v>
      </c>
      <c r="BD503" s="3" t="s">
        <v>6021</v>
      </c>
    </row>
    <row r="504" spans="1:56" ht="57.75" customHeight="1" x14ac:dyDescent="0.25">
      <c r="A504" s="7" t="s">
        <v>59</v>
      </c>
      <c r="B504" s="2" t="s">
        <v>6022</v>
      </c>
      <c r="C504" s="2" t="s">
        <v>6023</v>
      </c>
      <c r="D504" s="2" t="s">
        <v>6024</v>
      </c>
      <c r="F504" s="3" t="s">
        <v>59</v>
      </c>
      <c r="G504" s="3" t="s">
        <v>60</v>
      </c>
      <c r="H504" s="3" t="s">
        <v>59</v>
      </c>
      <c r="I504" s="3" t="s">
        <v>59</v>
      </c>
      <c r="J504" s="3" t="s">
        <v>61</v>
      </c>
      <c r="K504" s="2" t="s">
        <v>6025</v>
      </c>
      <c r="L504" s="2" t="s">
        <v>775</v>
      </c>
      <c r="M504" s="3" t="s">
        <v>776</v>
      </c>
      <c r="O504" s="3" t="s">
        <v>64</v>
      </c>
      <c r="P504" s="3" t="s">
        <v>405</v>
      </c>
      <c r="R504" s="3" t="s">
        <v>67</v>
      </c>
      <c r="S504" s="4">
        <v>13</v>
      </c>
      <c r="T504" s="4">
        <v>13</v>
      </c>
      <c r="U504" s="5" t="s">
        <v>6026</v>
      </c>
      <c r="V504" s="5" t="s">
        <v>6026</v>
      </c>
      <c r="W504" s="5" t="s">
        <v>6014</v>
      </c>
      <c r="X504" s="5" t="s">
        <v>6014</v>
      </c>
      <c r="Y504" s="4">
        <v>384</v>
      </c>
      <c r="Z504" s="4">
        <v>266</v>
      </c>
      <c r="AA504" s="4">
        <v>276</v>
      </c>
      <c r="AB504" s="4">
        <v>3</v>
      </c>
      <c r="AC504" s="4">
        <v>3</v>
      </c>
      <c r="AD504" s="4">
        <v>11</v>
      </c>
      <c r="AE504" s="4">
        <v>12</v>
      </c>
      <c r="AF504" s="4">
        <v>5</v>
      </c>
      <c r="AG504" s="4">
        <v>5</v>
      </c>
      <c r="AH504" s="4">
        <v>3</v>
      </c>
      <c r="AI504" s="4">
        <v>4</v>
      </c>
      <c r="AJ504" s="4">
        <v>3</v>
      </c>
      <c r="AK504" s="4">
        <v>3</v>
      </c>
      <c r="AL504" s="4">
        <v>2</v>
      </c>
      <c r="AM504" s="4">
        <v>2</v>
      </c>
      <c r="AN504" s="4">
        <v>0</v>
      </c>
      <c r="AO504" s="4">
        <v>0</v>
      </c>
      <c r="AP504" s="3" t="s">
        <v>59</v>
      </c>
      <c r="AQ504" s="3" t="s">
        <v>69</v>
      </c>
      <c r="AR504" s="6" t="str">
        <f>HYPERLINK("http://catalog.hathitrust.org/Record/001498805","HathiTrust Record")</f>
        <v>HathiTrust Record</v>
      </c>
      <c r="AS504" s="6" t="str">
        <f>HYPERLINK("https://creighton-primo.hosted.exlibrisgroup.com/primo-explore/search?tab=default_tab&amp;search_scope=EVERYTHING&amp;vid=01CRU&amp;lang=en_US&amp;offset=0&amp;query=any,contains,991002827039702656","Catalog Record")</f>
        <v>Catalog Record</v>
      </c>
      <c r="AT504" s="6" t="str">
        <f>HYPERLINK("http://www.worldcat.org/oclc/475834","WorldCat Record")</f>
        <v>WorldCat Record</v>
      </c>
      <c r="AU504" s="3" t="s">
        <v>6027</v>
      </c>
      <c r="AV504" s="3" t="s">
        <v>6028</v>
      </c>
      <c r="AW504" s="3" t="s">
        <v>6029</v>
      </c>
      <c r="AX504" s="3" t="s">
        <v>6029</v>
      </c>
      <c r="AY504" s="3" t="s">
        <v>6030</v>
      </c>
      <c r="AZ504" s="3" t="s">
        <v>74</v>
      </c>
      <c r="BB504" s="3" t="s">
        <v>6031</v>
      </c>
      <c r="BC504" s="3" t="s">
        <v>6032</v>
      </c>
      <c r="BD504" s="3" t="s">
        <v>6033</v>
      </c>
    </row>
    <row r="505" spans="1:56" ht="57.75" customHeight="1" x14ac:dyDescent="0.25">
      <c r="A505" s="7" t="s">
        <v>59</v>
      </c>
      <c r="B505" s="2" t="s">
        <v>6034</v>
      </c>
      <c r="C505" s="2" t="s">
        <v>6035</v>
      </c>
      <c r="D505" s="2" t="s">
        <v>6036</v>
      </c>
      <c r="F505" s="3" t="s">
        <v>59</v>
      </c>
      <c r="G505" s="3" t="s">
        <v>60</v>
      </c>
      <c r="H505" s="3" t="s">
        <v>59</v>
      </c>
      <c r="I505" s="3" t="s">
        <v>59</v>
      </c>
      <c r="J505" s="3" t="s">
        <v>61</v>
      </c>
      <c r="K505" s="2" t="s">
        <v>6037</v>
      </c>
      <c r="L505" s="2" t="s">
        <v>6038</v>
      </c>
      <c r="M505" s="3" t="s">
        <v>1102</v>
      </c>
      <c r="O505" s="3" t="s">
        <v>64</v>
      </c>
      <c r="P505" s="3" t="s">
        <v>405</v>
      </c>
      <c r="Q505" s="2" t="s">
        <v>6039</v>
      </c>
      <c r="R505" s="3" t="s">
        <v>67</v>
      </c>
      <c r="S505" s="4">
        <v>6</v>
      </c>
      <c r="T505" s="4">
        <v>6</v>
      </c>
      <c r="U505" s="5" t="s">
        <v>6040</v>
      </c>
      <c r="V505" s="5" t="s">
        <v>6040</v>
      </c>
      <c r="W505" s="5" t="s">
        <v>6041</v>
      </c>
      <c r="X505" s="5" t="s">
        <v>6041</v>
      </c>
      <c r="Y505" s="4">
        <v>609</v>
      </c>
      <c r="Z505" s="4">
        <v>481</v>
      </c>
      <c r="AA505" s="4">
        <v>1518</v>
      </c>
      <c r="AB505" s="4">
        <v>6</v>
      </c>
      <c r="AC505" s="4">
        <v>44</v>
      </c>
      <c r="AD505" s="4">
        <v>28</v>
      </c>
      <c r="AE505" s="4">
        <v>62</v>
      </c>
      <c r="AF505" s="4">
        <v>7</v>
      </c>
      <c r="AG505" s="4">
        <v>24</v>
      </c>
      <c r="AH505" s="4">
        <v>6</v>
      </c>
      <c r="AI505" s="4">
        <v>10</v>
      </c>
      <c r="AJ505" s="4">
        <v>13</v>
      </c>
      <c r="AK505" s="4">
        <v>23</v>
      </c>
      <c r="AL505" s="4">
        <v>5</v>
      </c>
      <c r="AM505" s="4">
        <v>14</v>
      </c>
      <c r="AN505" s="4">
        <v>2</v>
      </c>
      <c r="AO505" s="4">
        <v>4</v>
      </c>
      <c r="AP505" s="3" t="s">
        <v>59</v>
      </c>
      <c r="AQ505" s="3" t="s">
        <v>69</v>
      </c>
      <c r="AR505" s="6" t="str">
        <f>HYPERLINK("http://catalog.hathitrust.org/Record/009920956","HathiTrust Record")</f>
        <v>HathiTrust Record</v>
      </c>
      <c r="AS505" s="6" t="str">
        <f>HYPERLINK("https://creighton-primo.hosted.exlibrisgroup.com/primo-explore/search?tab=default_tab&amp;search_scope=EVERYTHING&amp;vid=01CRU&amp;lang=en_US&amp;offset=0&amp;query=any,contains,991001388339702656","Catalog Record")</f>
        <v>Catalog Record</v>
      </c>
      <c r="AT505" s="6" t="str">
        <f>HYPERLINK("http://www.worldcat.org/oclc/20811929","WorldCat Record")</f>
        <v>WorldCat Record</v>
      </c>
      <c r="AU505" s="3" t="s">
        <v>6042</v>
      </c>
      <c r="AV505" s="3" t="s">
        <v>6043</v>
      </c>
      <c r="AW505" s="3" t="s">
        <v>6044</v>
      </c>
      <c r="AX505" s="3" t="s">
        <v>6044</v>
      </c>
      <c r="AY505" s="3" t="s">
        <v>6045</v>
      </c>
      <c r="AZ505" s="3" t="s">
        <v>74</v>
      </c>
      <c r="BB505" s="3" t="s">
        <v>6046</v>
      </c>
      <c r="BC505" s="3" t="s">
        <v>6047</v>
      </c>
      <c r="BD505" s="3" t="s">
        <v>6048</v>
      </c>
    </row>
    <row r="506" spans="1:56" ht="57.75" customHeight="1" x14ac:dyDescent="0.25">
      <c r="A506" s="7" t="s">
        <v>59</v>
      </c>
      <c r="B506" s="2" t="s">
        <v>6049</v>
      </c>
      <c r="C506" s="2" t="s">
        <v>6050</v>
      </c>
      <c r="D506" s="2" t="s">
        <v>6051</v>
      </c>
      <c r="F506" s="3" t="s">
        <v>59</v>
      </c>
      <c r="G506" s="3" t="s">
        <v>60</v>
      </c>
      <c r="H506" s="3" t="s">
        <v>59</v>
      </c>
      <c r="I506" s="3" t="s">
        <v>59</v>
      </c>
      <c r="J506" s="3" t="s">
        <v>61</v>
      </c>
      <c r="K506" s="2" t="s">
        <v>6052</v>
      </c>
      <c r="L506" s="2" t="s">
        <v>5529</v>
      </c>
      <c r="M506" s="3" t="s">
        <v>144</v>
      </c>
      <c r="O506" s="3" t="s">
        <v>64</v>
      </c>
      <c r="P506" s="3" t="s">
        <v>1268</v>
      </c>
      <c r="R506" s="3" t="s">
        <v>67</v>
      </c>
      <c r="S506" s="4">
        <v>1</v>
      </c>
      <c r="T506" s="4">
        <v>1</v>
      </c>
      <c r="U506" s="5" t="s">
        <v>5531</v>
      </c>
      <c r="V506" s="5" t="s">
        <v>5531</v>
      </c>
      <c r="W506" s="5" t="s">
        <v>5531</v>
      </c>
      <c r="X506" s="5" t="s">
        <v>5531</v>
      </c>
      <c r="Y506" s="4">
        <v>435</v>
      </c>
      <c r="Z506" s="4">
        <v>404</v>
      </c>
      <c r="AA506" s="4">
        <v>419</v>
      </c>
      <c r="AB506" s="4">
        <v>1</v>
      </c>
      <c r="AC506" s="4">
        <v>1</v>
      </c>
      <c r="AD506" s="4">
        <v>10</v>
      </c>
      <c r="AE506" s="4">
        <v>10</v>
      </c>
      <c r="AF506" s="4">
        <v>6</v>
      </c>
      <c r="AG506" s="4">
        <v>6</v>
      </c>
      <c r="AH506" s="4">
        <v>2</v>
      </c>
      <c r="AI506" s="4">
        <v>2</v>
      </c>
      <c r="AJ506" s="4">
        <v>4</v>
      </c>
      <c r="AK506" s="4">
        <v>4</v>
      </c>
      <c r="AL506" s="4">
        <v>0</v>
      </c>
      <c r="AM506" s="4">
        <v>0</v>
      </c>
      <c r="AN506" s="4">
        <v>0</v>
      </c>
      <c r="AO506" s="4">
        <v>0</v>
      </c>
      <c r="AP506" s="3" t="s">
        <v>59</v>
      </c>
      <c r="AQ506" s="3" t="s">
        <v>59</v>
      </c>
      <c r="AS506" s="6" t="str">
        <f>HYPERLINK("https://creighton-primo.hosted.exlibrisgroup.com/primo-explore/search?tab=default_tab&amp;search_scope=EVERYTHING&amp;vid=01CRU&amp;lang=en_US&amp;offset=0&amp;query=any,contains,991004630009702656","Catalog Record")</f>
        <v>Catalog Record</v>
      </c>
      <c r="AT506" s="6" t="str">
        <f>HYPERLINK("http://www.worldcat.org/oclc/56493770","WorldCat Record")</f>
        <v>WorldCat Record</v>
      </c>
      <c r="AU506" s="3" t="s">
        <v>6053</v>
      </c>
      <c r="AV506" s="3" t="s">
        <v>6054</v>
      </c>
      <c r="AW506" s="3" t="s">
        <v>6055</v>
      </c>
      <c r="AX506" s="3" t="s">
        <v>6055</v>
      </c>
      <c r="AY506" s="3" t="s">
        <v>6056</v>
      </c>
      <c r="AZ506" s="3" t="s">
        <v>74</v>
      </c>
      <c r="BB506" s="3" t="s">
        <v>6057</v>
      </c>
      <c r="BC506" s="3" t="s">
        <v>6058</v>
      </c>
      <c r="BD506" s="3" t="s">
        <v>6059</v>
      </c>
    </row>
    <row r="507" spans="1:56" ht="57.75" customHeight="1" x14ac:dyDescent="0.25">
      <c r="A507" s="7" t="s">
        <v>59</v>
      </c>
      <c r="B507" s="2" t="s">
        <v>6060</v>
      </c>
      <c r="C507" s="2" t="s">
        <v>6061</v>
      </c>
      <c r="D507" s="2" t="s">
        <v>6062</v>
      </c>
      <c r="F507" s="3" t="s">
        <v>59</v>
      </c>
      <c r="G507" s="3" t="s">
        <v>60</v>
      </c>
      <c r="H507" s="3" t="s">
        <v>59</v>
      </c>
      <c r="I507" s="3" t="s">
        <v>59</v>
      </c>
      <c r="J507" s="3" t="s">
        <v>61</v>
      </c>
      <c r="K507" s="2" t="s">
        <v>6063</v>
      </c>
      <c r="L507" s="2" t="s">
        <v>6064</v>
      </c>
      <c r="M507" s="3" t="s">
        <v>297</v>
      </c>
      <c r="O507" s="3" t="s">
        <v>64</v>
      </c>
      <c r="P507" s="3" t="s">
        <v>467</v>
      </c>
      <c r="R507" s="3" t="s">
        <v>67</v>
      </c>
      <c r="S507" s="4">
        <v>1</v>
      </c>
      <c r="T507" s="4">
        <v>1</v>
      </c>
      <c r="U507" s="5" t="s">
        <v>6065</v>
      </c>
      <c r="V507" s="5" t="s">
        <v>6065</v>
      </c>
      <c r="W507" s="5" t="s">
        <v>6065</v>
      </c>
      <c r="X507" s="5" t="s">
        <v>6065</v>
      </c>
      <c r="Y507" s="4">
        <v>377</v>
      </c>
      <c r="Z507" s="4">
        <v>350</v>
      </c>
      <c r="AA507" s="4">
        <v>359</v>
      </c>
      <c r="AB507" s="4">
        <v>2</v>
      </c>
      <c r="AC507" s="4">
        <v>3</v>
      </c>
      <c r="AD507" s="4">
        <v>5</v>
      </c>
      <c r="AE507" s="4">
        <v>7</v>
      </c>
      <c r="AF507" s="4">
        <v>2</v>
      </c>
      <c r="AG507" s="4">
        <v>3</v>
      </c>
      <c r="AH507" s="4">
        <v>1</v>
      </c>
      <c r="AI507" s="4">
        <v>2</v>
      </c>
      <c r="AJ507" s="4">
        <v>2</v>
      </c>
      <c r="AK507" s="4">
        <v>2</v>
      </c>
      <c r="AL507" s="4">
        <v>1</v>
      </c>
      <c r="AM507" s="4">
        <v>2</v>
      </c>
      <c r="AN507" s="4">
        <v>0</v>
      </c>
      <c r="AO507" s="4">
        <v>0</v>
      </c>
      <c r="AP507" s="3" t="s">
        <v>59</v>
      </c>
      <c r="AQ507" s="3" t="s">
        <v>59</v>
      </c>
      <c r="AS507" s="6" t="str">
        <f>HYPERLINK("https://creighton-primo.hosted.exlibrisgroup.com/primo-explore/search?tab=default_tab&amp;search_scope=EVERYTHING&amp;vid=01CRU&amp;lang=en_US&amp;offset=0&amp;query=any,contains,991004630239702656","Catalog Record")</f>
        <v>Catalog Record</v>
      </c>
      <c r="AT507" s="6" t="str">
        <f>HYPERLINK("http://www.worldcat.org/oclc/37238997","WorldCat Record")</f>
        <v>WorldCat Record</v>
      </c>
      <c r="AU507" s="3" t="s">
        <v>6066</v>
      </c>
      <c r="AV507" s="3" t="s">
        <v>6067</v>
      </c>
      <c r="AW507" s="3" t="s">
        <v>6068</v>
      </c>
      <c r="AX507" s="3" t="s">
        <v>6068</v>
      </c>
      <c r="AY507" s="3" t="s">
        <v>6069</v>
      </c>
      <c r="AZ507" s="3" t="s">
        <v>74</v>
      </c>
      <c r="BB507" s="3" t="s">
        <v>6070</v>
      </c>
      <c r="BC507" s="3" t="s">
        <v>6071</v>
      </c>
      <c r="BD507" s="3" t="s">
        <v>6072</v>
      </c>
    </row>
    <row r="508" spans="1:56" ht="57.75" customHeight="1" x14ac:dyDescent="0.25">
      <c r="A508" s="7" t="s">
        <v>59</v>
      </c>
      <c r="B508" s="2" t="s">
        <v>6073</v>
      </c>
      <c r="C508" s="2" t="s">
        <v>6074</v>
      </c>
      <c r="D508" s="2" t="s">
        <v>6075</v>
      </c>
      <c r="F508" s="3" t="s">
        <v>59</v>
      </c>
      <c r="G508" s="3" t="s">
        <v>60</v>
      </c>
      <c r="H508" s="3" t="s">
        <v>59</v>
      </c>
      <c r="I508" s="3" t="s">
        <v>59</v>
      </c>
      <c r="J508" s="3" t="s">
        <v>61</v>
      </c>
      <c r="K508" s="2" t="s">
        <v>6076</v>
      </c>
      <c r="L508" s="2" t="s">
        <v>6077</v>
      </c>
      <c r="M508" s="3" t="s">
        <v>1757</v>
      </c>
      <c r="O508" s="3" t="s">
        <v>64</v>
      </c>
      <c r="P508" s="3" t="s">
        <v>1268</v>
      </c>
      <c r="R508" s="3" t="s">
        <v>67</v>
      </c>
      <c r="S508" s="4">
        <v>1</v>
      </c>
      <c r="T508" s="4">
        <v>1</v>
      </c>
      <c r="U508" s="5" t="s">
        <v>6078</v>
      </c>
      <c r="V508" s="5" t="s">
        <v>6078</v>
      </c>
      <c r="W508" s="5" t="s">
        <v>4377</v>
      </c>
      <c r="X508" s="5" t="s">
        <v>4377</v>
      </c>
      <c r="Y508" s="4">
        <v>144</v>
      </c>
      <c r="Z508" s="4">
        <v>140</v>
      </c>
      <c r="AA508" s="4">
        <v>141</v>
      </c>
      <c r="AB508" s="4">
        <v>1</v>
      </c>
      <c r="AC508" s="4">
        <v>1</v>
      </c>
      <c r="AD508" s="4">
        <v>6</v>
      </c>
      <c r="AE508" s="4">
        <v>6</v>
      </c>
      <c r="AF508" s="4">
        <v>2</v>
      </c>
      <c r="AG508" s="4">
        <v>2</v>
      </c>
      <c r="AH508" s="4">
        <v>1</v>
      </c>
      <c r="AI508" s="4">
        <v>1</v>
      </c>
      <c r="AJ508" s="4">
        <v>5</v>
      </c>
      <c r="AK508" s="4">
        <v>5</v>
      </c>
      <c r="AL508" s="4">
        <v>0</v>
      </c>
      <c r="AM508" s="4">
        <v>0</v>
      </c>
      <c r="AN508" s="4">
        <v>0</v>
      </c>
      <c r="AO508" s="4">
        <v>0</v>
      </c>
      <c r="AP508" s="3" t="s">
        <v>59</v>
      </c>
      <c r="AQ508" s="3" t="s">
        <v>59</v>
      </c>
      <c r="AS508" s="6" t="str">
        <f>HYPERLINK("https://creighton-primo.hosted.exlibrisgroup.com/primo-explore/search?tab=default_tab&amp;search_scope=EVERYTHING&amp;vid=01CRU&amp;lang=en_US&amp;offset=0&amp;query=any,contains,991002646259702656","Catalog Record")</f>
        <v>Catalog Record</v>
      </c>
      <c r="AT508" s="6" t="str">
        <f>HYPERLINK("http://www.worldcat.org/oclc/34618386","WorldCat Record")</f>
        <v>WorldCat Record</v>
      </c>
      <c r="AU508" s="3" t="s">
        <v>6079</v>
      </c>
      <c r="AV508" s="3" t="s">
        <v>6080</v>
      </c>
      <c r="AW508" s="3" t="s">
        <v>6081</v>
      </c>
      <c r="AX508" s="3" t="s">
        <v>6081</v>
      </c>
      <c r="AY508" s="3" t="s">
        <v>6082</v>
      </c>
      <c r="AZ508" s="3" t="s">
        <v>74</v>
      </c>
      <c r="BB508" s="3" t="s">
        <v>6083</v>
      </c>
      <c r="BC508" s="3" t="s">
        <v>6084</v>
      </c>
      <c r="BD508" s="3" t="s">
        <v>6085</v>
      </c>
    </row>
    <row r="509" spans="1:56" ht="57.75" customHeight="1" x14ac:dyDescent="0.25">
      <c r="A509" s="7" t="s">
        <v>59</v>
      </c>
      <c r="B509" s="2" t="s">
        <v>6086</v>
      </c>
      <c r="C509" s="2" t="s">
        <v>6087</v>
      </c>
      <c r="D509" s="2" t="s">
        <v>6088</v>
      </c>
      <c r="F509" s="3" t="s">
        <v>59</v>
      </c>
      <c r="G509" s="3" t="s">
        <v>60</v>
      </c>
      <c r="H509" s="3" t="s">
        <v>59</v>
      </c>
      <c r="I509" s="3" t="s">
        <v>59</v>
      </c>
      <c r="J509" s="3" t="s">
        <v>61</v>
      </c>
      <c r="K509" s="2" t="s">
        <v>6063</v>
      </c>
      <c r="L509" s="2" t="s">
        <v>6089</v>
      </c>
      <c r="M509" s="3" t="s">
        <v>313</v>
      </c>
      <c r="O509" s="3" t="s">
        <v>64</v>
      </c>
      <c r="P509" s="3" t="s">
        <v>405</v>
      </c>
      <c r="Q509" s="2" t="s">
        <v>6090</v>
      </c>
      <c r="R509" s="3" t="s">
        <v>67</v>
      </c>
      <c r="S509" s="4">
        <v>1</v>
      </c>
      <c r="T509" s="4">
        <v>1</v>
      </c>
      <c r="U509" s="5" t="s">
        <v>4404</v>
      </c>
      <c r="V509" s="5" t="s">
        <v>4404</v>
      </c>
      <c r="W509" s="5" t="s">
        <v>4404</v>
      </c>
      <c r="X509" s="5" t="s">
        <v>4404</v>
      </c>
      <c r="Y509" s="4">
        <v>356</v>
      </c>
      <c r="Z509" s="4">
        <v>333</v>
      </c>
      <c r="AA509" s="4">
        <v>342</v>
      </c>
      <c r="AB509" s="4">
        <v>6</v>
      </c>
      <c r="AC509" s="4">
        <v>6</v>
      </c>
      <c r="AD509" s="4">
        <v>6</v>
      </c>
      <c r="AE509" s="4">
        <v>6</v>
      </c>
      <c r="AF509" s="4">
        <v>1</v>
      </c>
      <c r="AG509" s="4">
        <v>1</v>
      </c>
      <c r="AH509" s="4">
        <v>0</v>
      </c>
      <c r="AI509" s="4">
        <v>0</v>
      </c>
      <c r="AJ509" s="4">
        <v>1</v>
      </c>
      <c r="AK509" s="4">
        <v>1</v>
      </c>
      <c r="AL509" s="4">
        <v>5</v>
      </c>
      <c r="AM509" s="4">
        <v>5</v>
      </c>
      <c r="AN509" s="4">
        <v>0</v>
      </c>
      <c r="AO509" s="4">
        <v>0</v>
      </c>
      <c r="AP509" s="3" t="s">
        <v>59</v>
      </c>
      <c r="AQ509" s="3" t="s">
        <v>59</v>
      </c>
      <c r="AS509" s="6" t="str">
        <f>HYPERLINK("https://creighton-primo.hosted.exlibrisgroup.com/primo-explore/search?tab=default_tab&amp;search_scope=EVERYTHING&amp;vid=01CRU&amp;lang=en_US&amp;offset=0&amp;query=any,contains,991003671609702656","Catalog Record")</f>
        <v>Catalog Record</v>
      </c>
      <c r="AT509" s="6" t="str">
        <f>HYPERLINK("http://www.worldcat.org/oclc/44313503","WorldCat Record")</f>
        <v>WorldCat Record</v>
      </c>
      <c r="AU509" s="3" t="s">
        <v>6091</v>
      </c>
      <c r="AV509" s="3" t="s">
        <v>6092</v>
      </c>
      <c r="AW509" s="3" t="s">
        <v>6093</v>
      </c>
      <c r="AX509" s="3" t="s">
        <v>6093</v>
      </c>
      <c r="AY509" s="3" t="s">
        <v>6094</v>
      </c>
      <c r="AZ509" s="3" t="s">
        <v>74</v>
      </c>
      <c r="BB509" s="3" t="s">
        <v>6095</v>
      </c>
      <c r="BC509" s="3" t="s">
        <v>6096</v>
      </c>
      <c r="BD509" s="3" t="s">
        <v>6097</v>
      </c>
    </row>
    <row r="510" spans="1:56" ht="57.75" customHeight="1" x14ac:dyDescent="0.25">
      <c r="A510" s="7" t="s">
        <v>59</v>
      </c>
      <c r="B510" s="2" t="s">
        <v>6098</v>
      </c>
      <c r="C510" s="2" t="s">
        <v>6099</v>
      </c>
      <c r="D510" s="2" t="s">
        <v>6100</v>
      </c>
      <c r="F510" s="3" t="s">
        <v>59</v>
      </c>
      <c r="G510" s="3" t="s">
        <v>60</v>
      </c>
      <c r="H510" s="3" t="s">
        <v>59</v>
      </c>
      <c r="I510" s="3" t="s">
        <v>59</v>
      </c>
      <c r="J510" s="3" t="s">
        <v>61</v>
      </c>
      <c r="K510" s="2" t="s">
        <v>6101</v>
      </c>
      <c r="L510" s="2" t="s">
        <v>6102</v>
      </c>
      <c r="M510" s="3" t="s">
        <v>130</v>
      </c>
      <c r="O510" s="3" t="s">
        <v>64</v>
      </c>
      <c r="P510" s="3" t="s">
        <v>5852</v>
      </c>
      <c r="R510" s="3" t="s">
        <v>67</v>
      </c>
      <c r="S510" s="4">
        <v>4</v>
      </c>
      <c r="T510" s="4">
        <v>4</v>
      </c>
      <c r="U510" s="5" t="s">
        <v>6103</v>
      </c>
      <c r="V510" s="5" t="s">
        <v>6103</v>
      </c>
      <c r="W510" s="5" t="s">
        <v>6104</v>
      </c>
      <c r="X510" s="5" t="s">
        <v>6104</v>
      </c>
      <c r="Y510" s="4">
        <v>7</v>
      </c>
      <c r="Z510" s="4">
        <v>1</v>
      </c>
      <c r="AA510" s="4">
        <v>1</v>
      </c>
      <c r="AB510" s="4">
        <v>1</v>
      </c>
      <c r="AC510" s="4">
        <v>1</v>
      </c>
      <c r="AD510" s="4">
        <v>0</v>
      </c>
      <c r="AE510" s="4">
        <v>0</v>
      </c>
      <c r="AF510" s="4">
        <v>0</v>
      </c>
      <c r="AG510" s="4">
        <v>0</v>
      </c>
      <c r="AH510" s="4">
        <v>0</v>
      </c>
      <c r="AI510" s="4">
        <v>0</v>
      </c>
      <c r="AJ510" s="4">
        <v>0</v>
      </c>
      <c r="AK510" s="4">
        <v>0</v>
      </c>
      <c r="AL510" s="4">
        <v>0</v>
      </c>
      <c r="AM510" s="4">
        <v>0</v>
      </c>
      <c r="AN510" s="4">
        <v>0</v>
      </c>
      <c r="AO510" s="4">
        <v>0</v>
      </c>
      <c r="AP510" s="3" t="s">
        <v>59</v>
      </c>
      <c r="AQ510" s="3" t="s">
        <v>59</v>
      </c>
      <c r="AS510" s="6" t="str">
        <f>HYPERLINK("https://creighton-primo.hosted.exlibrisgroup.com/primo-explore/search?tab=default_tab&amp;search_scope=EVERYTHING&amp;vid=01CRU&amp;lang=en_US&amp;offset=0&amp;query=any,contains,991004516109702656","Catalog Record")</f>
        <v>Catalog Record</v>
      </c>
      <c r="AT510" s="6" t="str">
        <f>HYPERLINK("http://www.worldcat.org/oclc/56012128","WorldCat Record")</f>
        <v>WorldCat Record</v>
      </c>
      <c r="AU510" s="3" t="s">
        <v>6105</v>
      </c>
      <c r="AV510" s="3" t="s">
        <v>6106</v>
      </c>
      <c r="AW510" s="3" t="s">
        <v>6107</v>
      </c>
      <c r="AX510" s="3" t="s">
        <v>6107</v>
      </c>
      <c r="AY510" s="3" t="s">
        <v>6108</v>
      </c>
      <c r="AZ510" s="3" t="s">
        <v>74</v>
      </c>
      <c r="BB510" s="3" t="s">
        <v>6109</v>
      </c>
      <c r="BC510" s="3" t="s">
        <v>6110</v>
      </c>
      <c r="BD510" s="3" t="s">
        <v>6111</v>
      </c>
    </row>
    <row r="511" spans="1:56" ht="57.75" customHeight="1" x14ac:dyDescent="0.25">
      <c r="A511" s="7" t="s">
        <v>59</v>
      </c>
      <c r="B511" s="2" t="s">
        <v>6112</v>
      </c>
      <c r="C511" s="2" t="s">
        <v>6113</v>
      </c>
      <c r="D511" s="2" t="s">
        <v>6114</v>
      </c>
      <c r="F511" s="3" t="s">
        <v>59</v>
      </c>
      <c r="G511" s="3" t="s">
        <v>60</v>
      </c>
      <c r="H511" s="3" t="s">
        <v>59</v>
      </c>
      <c r="I511" s="3" t="s">
        <v>59</v>
      </c>
      <c r="J511" s="3" t="s">
        <v>61</v>
      </c>
      <c r="K511" s="2" t="s">
        <v>6115</v>
      </c>
      <c r="L511" s="2" t="s">
        <v>6116</v>
      </c>
      <c r="M511" s="3" t="s">
        <v>763</v>
      </c>
      <c r="O511" s="3" t="s">
        <v>64</v>
      </c>
      <c r="P511" s="3" t="s">
        <v>1268</v>
      </c>
      <c r="R511" s="3" t="s">
        <v>67</v>
      </c>
      <c r="S511" s="4">
        <v>4</v>
      </c>
      <c r="T511" s="4">
        <v>4</v>
      </c>
      <c r="U511" s="5" t="s">
        <v>2802</v>
      </c>
      <c r="V511" s="5" t="s">
        <v>2802</v>
      </c>
      <c r="W511" s="5" t="s">
        <v>6117</v>
      </c>
      <c r="X511" s="5" t="s">
        <v>6117</v>
      </c>
      <c r="Y511" s="4">
        <v>349</v>
      </c>
      <c r="Z511" s="4">
        <v>319</v>
      </c>
      <c r="AA511" s="4">
        <v>345</v>
      </c>
      <c r="AB511" s="4">
        <v>2</v>
      </c>
      <c r="AC511" s="4">
        <v>2</v>
      </c>
      <c r="AD511" s="4">
        <v>8</v>
      </c>
      <c r="AE511" s="4">
        <v>8</v>
      </c>
      <c r="AF511" s="4">
        <v>2</v>
      </c>
      <c r="AG511" s="4">
        <v>2</v>
      </c>
      <c r="AH511" s="4">
        <v>3</v>
      </c>
      <c r="AI511" s="4">
        <v>3</v>
      </c>
      <c r="AJ511" s="4">
        <v>4</v>
      </c>
      <c r="AK511" s="4">
        <v>4</v>
      </c>
      <c r="AL511" s="4">
        <v>1</v>
      </c>
      <c r="AM511" s="4">
        <v>1</v>
      </c>
      <c r="AN511" s="4">
        <v>0</v>
      </c>
      <c r="AO511" s="4">
        <v>0</v>
      </c>
      <c r="AP511" s="3" t="s">
        <v>59</v>
      </c>
      <c r="AQ511" s="3" t="s">
        <v>59</v>
      </c>
      <c r="AS511" s="6" t="str">
        <f>HYPERLINK("https://creighton-primo.hosted.exlibrisgroup.com/primo-explore/search?tab=default_tab&amp;search_scope=EVERYTHING&amp;vid=01CRU&amp;lang=en_US&amp;offset=0&amp;query=any,contains,991000761259702656","Catalog Record")</f>
        <v>Catalog Record</v>
      </c>
      <c r="AT511" s="6" t="str">
        <f>HYPERLINK("http://www.worldcat.org/oclc/12973384","WorldCat Record")</f>
        <v>WorldCat Record</v>
      </c>
      <c r="AU511" s="3" t="s">
        <v>6118</v>
      </c>
      <c r="AV511" s="3" t="s">
        <v>6119</v>
      </c>
      <c r="AW511" s="3" t="s">
        <v>6120</v>
      </c>
      <c r="AX511" s="3" t="s">
        <v>6120</v>
      </c>
      <c r="AY511" s="3" t="s">
        <v>6121</v>
      </c>
      <c r="AZ511" s="3" t="s">
        <v>74</v>
      </c>
      <c r="BB511" s="3" t="s">
        <v>6122</v>
      </c>
      <c r="BC511" s="3" t="s">
        <v>6123</v>
      </c>
      <c r="BD511" s="3" t="s">
        <v>6124</v>
      </c>
    </row>
    <row r="512" spans="1:56" ht="57.75" customHeight="1" x14ac:dyDescent="0.25">
      <c r="A512" s="7" t="s">
        <v>59</v>
      </c>
      <c r="B512" s="2" t="s">
        <v>6125</v>
      </c>
      <c r="C512" s="2" t="s">
        <v>6126</v>
      </c>
      <c r="D512" s="2" t="s">
        <v>6127</v>
      </c>
      <c r="F512" s="3" t="s">
        <v>59</v>
      </c>
      <c r="G512" s="3" t="s">
        <v>60</v>
      </c>
      <c r="H512" s="3" t="s">
        <v>59</v>
      </c>
      <c r="I512" s="3" t="s">
        <v>59</v>
      </c>
      <c r="J512" s="3" t="s">
        <v>61</v>
      </c>
      <c r="K512" s="2" t="s">
        <v>6128</v>
      </c>
      <c r="L512" s="2" t="s">
        <v>6129</v>
      </c>
      <c r="M512" s="3" t="s">
        <v>712</v>
      </c>
      <c r="O512" s="3" t="s">
        <v>64</v>
      </c>
      <c r="P512" s="3" t="s">
        <v>405</v>
      </c>
      <c r="R512" s="3" t="s">
        <v>67</v>
      </c>
      <c r="S512" s="4">
        <v>3</v>
      </c>
      <c r="T512" s="4">
        <v>3</v>
      </c>
      <c r="U512" s="5" t="s">
        <v>6130</v>
      </c>
      <c r="V512" s="5" t="s">
        <v>6130</v>
      </c>
      <c r="W512" s="5" t="s">
        <v>6131</v>
      </c>
      <c r="X512" s="5" t="s">
        <v>6131</v>
      </c>
      <c r="Y512" s="4">
        <v>152</v>
      </c>
      <c r="Z512" s="4">
        <v>124</v>
      </c>
      <c r="AA512" s="4">
        <v>124</v>
      </c>
      <c r="AB512" s="4">
        <v>1</v>
      </c>
      <c r="AC512" s="4">
        <v>1</v>
      </c>
      <c r="AD512" s="4">
        <v>1</v>
      </c>
      <c r="AE512" s="4">
        <v>1</v>
      </c>
      <c r="AF512" s="4">
        <v>0</v>
      </c>
      <c r="AG512" s="4">
        <v>0</v>
      </c>
      <c r="AH512" s="4">
        <v>1</v>
      </c>
      <c r="AI512" s="4">
        <v>1</v>
      </c>
      <c r="AJ512" s="4">
        <v>0</v>
      </c>
      <c r="AK512" s="4">
        <v>0</v>
      </c>
      <c r="AL512" s="4">
        <v>0</v>
      </c>
      <c r="AM512" s="4">
        <v>0</v>
      </c>
      <c r="AN512" s="4">
        <v>0</v>
      </c>
      <c r="AO512" s="4">
        <v>0</v>
      </c>
      <c r="AP512" s="3" t="s">
        <v>59</v>
      </c>
      <c r="AQ512" s="3" t="s">
        <v>59</v>
      </c>
      <c r="AS512" s="6" t="str">
        <f>HYPERLINK("https://creighton-primo.hosted.exlibrisgroup.com/primo-explore/search?tab=default_tab&amp;search_scope=EVERYTHING&amp;vid=01CRU&amp;lang=en_US&amp;offset=0&amp;query=any,contains,991002158809702656","Catalog Record")</f>
        <v>Catalog Record</v>
      </c>
      <c r="AT512" s="6" t="str">
        <f>HYPERLINK("http://www.worldcat.org/oclc/27811791","WorldCat Record")</f>
        <v>WorldCat Record</v>
      </c>
      <c r="AU512" s="3" t="s">
        <v>6132</v>
      </c>
      <c r="AV512" s="3" t="s">
        <v>6133</v>
      </c>
      <c r="AW512" s="3" t="s">
        <v>6134</v>
      </c>
      <c r="AX512" s="3" t="s">
        <v>6134</v>
      </c>
      <c r="AY512" s="3" t="s">
        <v>6135</v>
      </c>
      <c r="AZ512" s="3" t="s">
        <v>74</v>
      </c>
      <c r="BB512" s="3" t="s">
        <v>6136</v>
      </c>
      <c r="BC512" s="3" t="s">
        <v>6137</v>
      </c>
      <c r="BD512" s="3" t="s">
        <v>6138</v>
      </c>
    </row>
    <row r="513" spans="1:56" ht="57.75" customHeight="1" x14ac:dyDescent="0.25">
      <c r="A513" s="7" t="s">
        <v>59</v>
      </c>
      <c r="B513" s="2" t="s">
        <v>6139</v>
      </c>
      <c r="C513" s="2" t="s">
        <v>6140</v>
      </c>
      <c r="D513" s="2" t="s">
        <v>6141</v>
      </c>
      <c r="F513" s="3" t="s">
        <v>59</v>
      </c>
      <c r="G513" s="3" t="s">
        <v>60</v>
      </c>
      <c r="H513" s="3" t="s">
        <v>59</v>
      </c>
      <c r="I513" s="3" t="s">
        <v>59</v>
      </c>
      <c r="J513" s="3" t="s">
        <v>61</v>
      </c>
      <c r="L513" s="2" t="s">
        <v>6142</v>
      </c>
      <c r="M513" s="3" t="s">
        <v>2510</v>
      </c>
      <c r="O513" s="3" t="s">
        <v>64</v>
      </c>
      <c r="P513" s="3" t="s">
        <v>405</v>
      </c>
      <c r="Q513" s="2" t="s">
        <v>2019</v>
      </c>
      <c r="R513" s="3" t="s">
        <v>67</v>
      </c>
      <c r="S513" s="4">
        <v>2</v>
      </c>
      <c r="T513" s="4">
        <v>2</v>
      </c>
      <c r="U513" s="5" t="s">
        <v>6143</v>
      </c>
      <c r="V513" s="5" t="s">
        <v>6143</v>
      </c>
      <c r="W513" s="5" t="s">
        <v>6144</v>
      </c>
      <c r="X513" s="5" t="s">
        <v>6144</v>
      </c>
      <c r="Y513" s="4">
        <v>161</v>
      </c>
      <c r="Z513" s="4">
        <v>104</v>
      </c>
      <c r="AA513" s="4">
        <v>108</v>
      </c>
      <c r="AB513" s="4">
        <v>1</v>
      </c>
      <c r="AC513" s="4">
        <v>1</v>
      </c>
      <c r="AD513" s="4">
        <v>2</v>
      </c>
      <c r="AE513" s="4">
        <v>2</v>
      </c>
      <c r="AF513" s="4">
        <v>0</v>
      </c>
      <c r="AG513" s="4">
        <v>0</v>
      </c>
      <c r="AH513" s="4">
        <v>2</v>
      </c>
      <c r="AI513" s="4">
        <v>2</v>
      </c>
      <c r="AJ513" s="4">
        <v>0</v>
      </c>
      <c r="AK513" s="4">
        <v>0</v>
      </c>
      <c r="AL513" s="4">
        <v>0</v>
      </c>
      <c r="AM513" s="4">
        <v>0</v>
      </c>
      <c r="AN513" s="4">
        <v>0</v>
      </c>
      <c r="AO513" s="4">
        <v>0</v>
      </c>
      <c r="AP513" s="3" t="s">
        <v>59</v>
      </c>
      <c r="AQ513" s="3" t="s">
        <v>69</v>
      </c>
      <c r="AR513" s="6" t="str">
        <f>HYPERLINK("http://catalog.hathitrust.org/Record/002605969","HathiTrust Record")</f>
        <v>HathiTrust Record</v>
      </c>
      <c r="AS513" s="6" t="str">
        <f>HYPERLINK("https://creighton-primo.hosted.exlibrisgroup.com/primo-explore/search?tab=default_tab&amp;search_scope=EVERYTHING&amp;vid=01CRU&amp;lang=en_US&amp;offset=0&amp;query=any,contains,991002008669702656","Catalog Record")</f>
        <v>Catalog Record</v>
      </c>
      <c r="AT513" s="6" t="str">
        <f>HYPERLINK("http://www.worldcat.org/oclc/25546421","WorldCat Record")</f>
        <v>WorldCat Record</v>
      </c>
      <c r="AU513" s="3" t="s">
        <v>6145</v>
      </c>
      <c r="AV513" s="3" t="s">
        <v>6146</v>
      </c>
      <c r="AW513" s="3" t="s">
        <v>6147</v>
      </c>
      <c r="AX513" s="3" t="s">
        <v>6147</v>
      </c>
      <c r="AY513" s="3" t="s">
        <v>6148</v>
      </c>
      <c r="AZ513" s="3" t="s">
        <v>74</v>
      </c>
      <c r="BB513" s="3" t="s">
        <v>6149</v>
      </c>
      <c r="BC513" s="3" t="s">
        <v>6150</v>
      </c>
      <c r="BD513" s="3" t="s">
        <v>6151</v>
      </c>
    </row>
    <row r="514" spans="1:56" ht="57.75" customHeight="1" x14ac:dyDescent="0.25">
      <c r="A514" s="7" t="s">
        <v>59</v>
      </c>
      <c r="B514" s="2" t="s">
        <v>6152</v>
      </c>
      <c r="C514" s="2" t="s">
        <v>6153</v>
      </c>
      <c r="D514" s="2" t="s">
        <v>6154</v>
      </c>
      <c r="F514" s="3" t="s">
        <v>59</v>
      </c>
      <c r="G514" s="3" t="s">
        <v>60</v>
      </c>
      <c r="H514" s="3" t="s">
        <v>59</v>
      </c>
      <c r="I514" s="3" t="s">
        <v>59</v>
      </c>
      <c r="J514" s="3" t="s">
        <v>61</v>
      </c>
      <c r="K514" s="2" t="s">
        <v>6155</v>
      </c>
      <c r="L514" s="2" t="s">
        <v>6156</v>
      </c>
      <c r="M514" s="3" t="s">
        <v>6157</v>
      </c>
      <c r="N514" s="2" t="s">
        <v>6158</v>
      </c>
      <c r="O514" s="3" t="s">
        <v>64</v>
      </c>
      <c r="P514" s="3" t="s">
        <v>405</v>
      </c>
      <c r="Q514" s="2" t="s">
        <v>6159</v>
      </c>
      <c r="R514" s="3" t="s">
        <v>67</v>
      </c>
      <c r="S514" s="4">
        <v>7</v>
      </c>
      <c r="T514" s="4">
        <v>7</v>
      </c>
      <c r="U514" s="5" t="s">
        <v>5839</v>
      </c>
      <c r="V514" s="5" t="s">
        <v>5839</v>
      </c>
      <c r="W514" s="5" t="s">
        <v>2452</v>
      </c>
      <c r="X514" s="5" t="s">
        <v>2452</v>
      </c>
      <c r="Y514" s="4">
        <v>201</v>
      </c>
      <c r="Z514" s="4">
        <v>160</v>
      </c>
      <c r="AA514" s="4">
        <v>298</v>
      </c>
      <c r="AB514" s="4">
        <v>2</v>
      </c>
      <c r="AC514" s="4">
        <v>2</v>
      </c>
      <c r="AD514" s="4">
        <v>6</v>
      </c>
      <c r="AE514" s="4">
        <v>7</v>
      </c>
      <c r="AF514" s="4">
        <v>1</v>
      </c>
      <c r="AG514" s="4">
        <v>1</v>
      </c>
      <c r="AH514" s="4">
        <v>1</v>
      </c>
      <c r="AI514" s="4">
        <v>2</v>
      </c>
      <c r="AJ514" s="4">
        <v>4</v>
      </c>
      <c r="AK514" s="4">
        <v>4</v>
      </c>
      <c r="AL514" s="4">
        <v>1</v>
      </c>
      <c r="AM514" s="4">
        <v>1</v>
      </c>
      <c r="AN514" s="4">
        <v>0</v>
      </c>
      <c r="AO514" s="4">
        <v>0</v>
      </c>
      <c r="AP514" s="3" t="s">
        <v>59</v>
      </c>
      <c r="AQ514" s="3" t="s">
        <v>69</v>
      </c>
      <c r="AR514" s="6" t="str">
        <f>HYPERLINK("http://catalog.hathitrust.org/Record/002105141","HathiTrust Record")</f>
        <v>HathiTrust Record</v>
      </c>
      <c r="AS514" s="6" t="str">
        <f>HYPERLINK("https://creighton-primo.hosted.exlibrisgroup.com/primo-explore/search?tab=default_tab&amp;search_scope=EVERYTHING&amp;vid=01CRU&amp;lang=en_US&amp;offset=0&amp;query=any,contains,991002550419702656","Catalog Record")</f>
        <v>Catalog Record</v>
      </c>
      <c r="AT514" s="6" t="str">
        <f>HYPERLINK("http://www.worldcat.org/oclc/369566","WorldCat Record")</f>
        <v>WorldCat Record</v>
      </c>
      <c r="AU514" s="3" t="s">
        <v>6160</v>
      </c>
      <c r="AV514" s="3" t="s">
        <v>6161</v>
      </c>
      <c r="AW514" s="3" t="s">
        <v>6162</v>
      </c>
      <c r="AX514" s="3" t="s">
        <v>6162</v>
      </c>
      <c r="AY514" s="3" t="s">
        <v>6163</v>
      </c>
      <c r="AZ514" s="3" t="s">
        <v>74</v>
      </c>
      <c r="BC514" s="3" t="s">
        <v>6164</v>
      </c>
      <c r="BD514" s="3" t="s">
        <v>6165</v>
      </c>
    </row>
    <row r="515" spans="1:56" ht="57.75" customHeight="1" x14ac:dyDescent="0.25">
      <c r="A515" s="7" t="s">
        <v>59</v>
      </c>
      <c r="B515" s="2" t="s">
        <v>6166</v>
      </c>
      <c r="C515" s="2" t="s">
        <v>6167</v>
      </c>
      <c r="D515" s="2" t="s">
        <v>6168</v>
      </c>
      <c r="F515" s="3" t="s">
        <v>59</v>
      </c>
      <c r="G515" s="3" t="s">
        <v>60</v>
      </c>
      <c r="H515" s="3" t="s">
        <v>59</v>
      </c>
      <c r="I515" s="3" t="s">
        <v>59</v>
      </c>
      <c r="J515" s="3" t="s">
        <v>61</v>
      </c>
      <c r="K515" s="2" t="s">
        <v>6155</v>
      </c>
      <c r="L515" s="2" t="s">
        <v>6169</v>
      </c>
      <c r="M515" s="3" t="s">
        <v>587</v>
      </c>
      <c r="N515" s="2" t="s">
        <v>6170</v>
      </c>
      <c r="O515" s="3" t="s">
        <v>64</v>
      </c>
      <c r="P515" s="3" t="s">
        <v>405</v>
      </c>
      <c r="Q515" s="2" t="s">
        <v>6159</v>
      </c>
      <c r="R515" s="3" t="s">
        <v>67</v>
      </c>
      <c r="S515" s="4">
        <v>5</v>
      </c>
      <c r="T515" s="4">
        <v>5</v>
      </c>
      <c r="U515" s="5" t="s">
        <v>4692</v>
      </c>
      <c r="V515" s="5" t="s">
        <v>4692</v>
      </c>
      <c r="W515" s="5" t="s">
        <v>2452</v>
      </c>
      <c r="X515" s="5" t="s">
        <v>2452</v>
      </c>
      <c r="Y515" s="4">
        <v>74</v>
      </c>
      <c r="Z515" s="4">
        <v>15</v>
      </c>
      <c r="AA515" s="4">
        <v>270</v>
      </c>
      <c r="AB515" s="4">
        <v>1</v>
      </c>
      <c r="AC515" s="4">
        <v>2</v>
      </c>
      <c r="AD515" s="4">
        <v>0</v>
      </c>
      <c r="AE515" s="4">
        <v>7</v>
      </c>
      <c r="AF515" s="4">
        <v>0</v>
      </c>
      <c r="AG515" s="4">
        <v>2</v>
      </c>
      <c r="AH515" s="4">
        <v>0</v>
      </c>
      <c r="AI515" s="4">
        <v>2</v>
      </c>
      <c r="AJ515" s="4">
        <v>0</v>
      </c>
      <c r="AK515" s="4">
        <v>3</v>
      </c>
      <c r="AL515" s="4">
        <v>0</v>
      </c>
      <c r="AM515" s="4">
        <v>1</v>
      </c>
      <c r="AN515" s="4">
        <v>0</v>
      </c>
      <c r="AO515" s="4">
        <v>0</v>
      </c>
      <c r="AP515" s="3" t="s">
        <v>59</v>
      </c>
      <c r="AQ515" s="3" t="s">
        <v>59</v>
      </c>
      <c r="AS515" s="6" t="str">
        <f>HYPERLINK("https://creighton-primo.hosted.exlibrisgroup.com/primo-explore/search?tab=default_tab&amp;search_scope=EVERYTHING&amp;vid=01CRU&amp;lang=en_US&amp;offset=0&amp;query=any,contains,991003994879702656","Catalog Record")</f>
        <v>Catalog Record</v>
      </c>
      <c r="AT515" s="6" t="str">
        <f>HYPERLINK("http://www.worldcat.org/oclc/2057105","WorldCat Record")</f>
        <v>WorldCat Record</v>
      </c>
      <c r="AU515" s="3" t="s">
        <v>6171</v>
      </c>
      <c r="AV515" s="3" t="s">
        <v>6172</v>
      </c>
      <c r="AW515" s="3" t="s">
        <v>6173</v>
      </c>
      <c r="AX515" s="3" t="s">
        <v>6173</v>
      </c>
      <c r="AY515" s="3" t="s">
        <v>6174</v>
      </c>
      <c r="AZ515" s="3" t="s">
        <v>74</v>
      </c>
      <c r="BC515" s="3" t="s">
        <v>6175</v>
      </c>
      <c r="BD515" s="3" t="s">
        <v>6176</v>
      </c>
    </row>
    <row r="516" spans="1:56" ht="57.75" customHeight="1" x14ac:dyDescent="0.25">
      <c r="A516" s="7" t="s">
        <v>59</v>
      </c>
      <c r="B516" s="2" t="s">
        <v>6177</v>
      </c>
      <c r="C516" s="2" t="s">
        <v>6178</v>
      </c>
      <c r="D516" s="2" t="s">
        <v>6179</v>
      </c>
      <c r="F516" s="3" t="s">
        <v>59</v>
      </c>
      <c r="G516" s="3" t="s">
        <v>60</v>
      </c>
      <c r="H516" s="3" t="s">
        <v>59</v>
      </c>
      <c r="I516" s="3" t="s">
        <v>59</v>
      </c>
      <c r="J516" s="3" t="s">
        <v>61</v>
      </c>
      <c r="L516" s="2" t="s">
        <v>6180</v>
      </c>
      <c r="M516" s="3" t="s">
        <v>313</v>
      </c>
      <c r="O516" s="3" t="s">
        <v>64</v>
      </c>
      <c r="P516" s="3" t="s">
        <v>405</v>
      </c>
      <c r="R516" s="3" t="s">
        <v>67</v>
      </c>
      <c r="S516" s="4">
        <v>1</v>
      </c>
      <c r="T516" s="4">
        <v>1</v>
      </c>
      <c r="U516" s="5" t="s">
        <v>6181</v>
      </c>
      <c r="V516" s="5" t="s">
        <v>6181</v>
      </c>
      <c r="W516" s="5" t="s">
        <v>6182</v>
      </c>
      <c r="X516" s="5" t="s">
        <v>6182</v>
      </c>
      <c r="Y516" s="4">
        <v>178</v>
      </c>
      <c r="Z516" s="4">
        <v>103</v>
      </c>
      <c r="AA516" s="4">
        <v>105</v>
      </c>
      <c r="AB516" s="4">
        <v>1</v>
      </c>
      <c r="AC516" s="4">
        <v>1</v>
      </c>
      <c r="AD516" s="4">
        <v>2</v>
      </c>
      <c r="AE516" s="4">
        <v>2</v>
      </c>
      <c r="AF516" s="4">
        <v>0</v>
      </c>
      <c r="AG516" s="4">
        <v>0</v>
      </c>
      <c r="AH516" s="4">
        <v>1</v>
      </c>
      <c r="AI516" s="4">
        <v>1</v>
      </c>
      <c r="AJ516" s="4">
        <v>1</v>
      </c>
      <c r="AK516" s="4">
        <v>1</v>
      </c>
      <c r="AL516" s="4">
        <v>0</v>
      </c>
      <c r="AM516" s="4">
        <v>0</v>
      </c>
      <c r="AN516" s="4">
        <v>0</v>
      </c>
      <c r="AO516" s="4">
        <v>0</v>
      </c>
      <c r="AP516" s="3" t="s">
        <v>59</v>
      </c>
      <c r="AQ516" s="3" t="s">
        <v>59</v>
      </c>
      <c r="AS516" s="6" t="str">
        <f>HYPERLINK("https://creighton-primo.hosted.exlibrisgroup.com/primo-explore/search?tab=default_tab&amp;search_scope=EVERYTHING&amp;vid=01CRU&amp;lang=en_US&amp;offset=0&amp;query=any,contains,991003671759702656","Catalog Record")</f>
        <v>Catalog Record</v>
      </c>
      <c r="AT516" s="6" t="str">
        <f>HYPERLINK("http://www.worldcat.org/oclc/45121710","WorldCat Record")</f>
        <v>WorldCat Record</v>
      </c>
      <c r="AU516" s="3" t="s">
        <v>6183</v>
      </c>
      <c r="AV516" s="3" t="s">
        <v>6184</v>
      </c>
      <c r="AW516" s="3" t="s">
        <v>6185</v>
      </c>
      <c r="AX516" s="3" t="s">
        <v>6185</v>
      </c>
      <c r="AY516" s="3" t="s">
        <v>6186</v>
      </c>
      <c r="AZ516" s="3" t="s">
        <v>74</v>
      </c>
      <c r="BB516" s="3" t="s">
        <v>6187</v>
      </c>
      <c r="BC516" s="3" t="s">
        <v>6188</v>
      </c>
      <c r="BD516" s="3" t="s">
        <v>6189</v>
      </c>
    </row>
    <row r="517" spans="1:56" ht="57.75" customHeight="1" x14ac:dyDescent="0.25">
      <c r="A517" s="7" t="s">
        <v>59</v>
      </c>
      <c r="B517" s="2" t="s">
        <v>6190</v>
      </c>
      <c r="C517" s="2" t="s">
        <v>6191</v>
      </c>
      <c r="D517" s="2" t="s">
        <v>6192</v>
      </c>
      <c r="F517" s="3" t="s">
        <v>59</v>
      </c>
      <c r="G517" s="3" t="s">
        <v>60</v>
      </c>
      <c r="H517" s="3" t="s">
        <v>59</v>
      </c>
      <c r="I517" s="3" t="s">
        <v>59</v>
      </c>
      <c r="J517" s="3" t="s">
        <v>61</v>
      </c>
      <c r="K517" s="2" t="s">
        <v>6193</v>
      </c>
      <c r="L517" s="2" t="s">
        <v>6194</v>
      </c>
      <c r="M517" s="3" t="s">
        <v>1837</v>
      </c>
      <c r="N517" s="2" t="s">
        <v>556</v>
      </c>
      <c r="O517" s="3" t="s">
        <v>64</v>
      </c>
      <c r="P517" s="3" t="s">
        <v>405</v>
      </c>
      <c r="Q517" s="2" t="s">
        <v>6195</v>
      </c>
      <c r="R517" s="3" t="s">
        <v>67</v>
      </c>
      <c r="S517" s="4">
        <v>18</v>
      </c>
      <c r="T517" s="4">
        <v>18</v>
      </c>
      <c r="U517" s="5" t="s">
        <v>6196</v>
      </c>
      <c r="V517" s="5" t="s">
        <v>6196</v>
      </c>
      <c r="W517" s="5" t="s">
        <v>6197</v>
      </c>
      <c r="X517" s="5" t="s">
        <v>6197</v>
      </c>
      <c r="Y517" s="4">
        <v>233</v>
      </c>
      <c r="Z517" s="4">
        <v>128</v>
      </c>
      <c r="AA517" s="4">
        <v>135</v>
      </c>
      <c r="AB517" s="4">
        <v>3</v>
      </c>
      <c r="AC517" s="4">
        <v>3</v>
      </c>
      <c r="AD517" s="4">
        <v>6</v>
      </c>
      <c r="AE517" s="4">
        <v>6</v>
      </c>
      <c r="AF517" s="4">
        <v>0</v>
      </c>
      <c r="AG517" s="4">
        <v>0</v>
      </c>
      <c r="AH517" s="4">
        <v>3</v>
      </c>
      <c r="AI517" s="4">
        <v>3</v>
      </c>
      <c r="AJ517" s="4">
        <v>2</v>
      </c>
      <c r="AK517" s="4">
        <v>2</v>
      </c>
      <c r="AL517" s="4">
        <v>2</v>
      </c>
      <c r="AM517" s="4">
        <v>2</v>
      </c>
      <c r="AN517" s="4">
        <v>0</v>
      </c>
      <c r="AO517" s="4">
        <v>0</v>
      </c>
      <c r="AP517" s="3" t="s">
        <v>59</v>
      </c>
      <c r="AQ517" s="3" t="s">
        <v>59</v>
      </c>
      <c r="AS517" s="6" t="str">
        <f>HYPERLINK("https://creighton-primo.hosted.exlibrisgroup.com/primo-explore/search?tab=default_tab&amp;search_scope=EVERYTHING&amp;vid=01CRU&amp;lang=en_US&amp;offset=0&amp;query=any,contains,991002154779702656","Catalog Record")</f>
        <v>Catalog Record</v>
      </c>
      <c r="AT517" s="6" t="str">
        <f>HYPERLINK("http://www.worldcat.org/oclc/27769009","WorldCat Record")</f>
        <v>WorldCat Record</v>
      </c>
      <c r="AU517" s="3" t="s">
        <v>6198</v>
      </c>
      <c r="AV517" s="3" t="s">
        <v>6199</v>
      </c>
      <c r="AW517" s="3" t="s">
        <v>6200</v>
      </c>
      <c r="AX517" s="3" t="s">
        <v>6200</v>
      </c>
      <c r="AY517" s="3" t="s">
        <v>6201</v>
      </c>
      <c r="AZ517" s="3" t="s">
        <v>74</v>
      </c>
      <c r="BB517" s="3" t="s">
        <v>6202</v>
      </c>
      <c r="BC517" s="3" t="s">
        <v>6203</v>
      </c>
      <c r="BD517" s="3" t="s">
        <v>6204</v>
      </c>
    </row>
    <row r="518" spans="1:56" ht="57.75" customHeight="1" x14ac:dyDescent="0.25">
      <c r="A518" s="7" t="s">
        <v>59</v>
      </c>
      <c r="B518" s="2" t="s">
        <v>6205</v>
      </c>
      <c r="C518" s="2" t="s">
        <v>6206</v>
      </c>
      <c r="D518" s="2" t="s">
        <v>6207</v>
      </c>
      <c r="F518" s="3" t="s">
        <v>59</v>
      </c>
      <c r="G518" s="3" t="s">
        <v>60</v>
      </c>
      <c r="H518" s="3" t="s">
        <v>59</v>
      </c>
      <c r="I518" s="3" t="s">
        <v>59</v>
      </c>
      <c r="J518" s="3" t="s">
        <v>61</v>
      </c>
      <c r="K518" s="2" t="s">
        <v>6208</v>
      </c>
      <c r="L518" s="2" t="s">
        <v>6209</v>
      </c>
      <c r="M518" s="3" t="s">
        <v>1471</v>
      </c>
      <c r="N518" s="2" t="s">
        <v>6210</v>
      </c>
      <c r="O518" s="3" t="s">
        <v>64</v>
      </c>
      <c r="P518" s="3" t="s">
        <v>6211</v>
      </c>
      <c r="R518" s="3" t="s">
        <v>67</v>
      </c>
      <c r="S518" s="4">
        <v>1</v>
      </c>
      <c r="T518" s="4">
        <v>1</v>
      </c>
      <c r="U518" s="5" t="s">
        <v>3864</v>
      </c>
      <c r="V518" s="5" t="s">
        <v>3864</v>
      </c>
      <c r="W518" s="5" t="s">
        <v>3864</v>
      </c>
      <c r="X518" s="5" t="s">
        <v>3864</v>
      </c>
      <c r="Y518" s="4">
        <v>56</v>
      </c>
      <c r="Z518" s="4">
        <v>32</v>
      </c>
      <c r="AA518" s="4">
        <v>83</v>
      </c>
      <c r="AB518" s="4">
        <v>1</v>
      </c>
      <c r="AC518" s="4">
        <v>2</v>
      </c>
      <c r="AD518" s="4">
        <v>1</v>
      </c>
      <c r="AE518" s="4">
        <v>2</v>
      </c>
      <c r="AF518" s="4">
        <v>0</v>
      </c>
      <c r="AG518" s="4">
        <v>0</v>
      </c>
      <c r="AH518" s="4">
        <v>1</v>
      </c>
      <c r="AI518" s="4">
        <v>1</v>
      </c>
      <c r="AJ518" s="4">
        <v>1</v>
      </c>
      <c r="AK518" s="4">
        <v>1</v>
      </c>
      <c r="AL518" s="4">
        <v>0</v>
      </c>
      <c r="AM518" s="4">
        <v>1</v>
      </c>
      <c r="AN518" s="4">
        <v>0</v>
      </c>
      <c r="AO518" s="4">
        <v>0</v>
      </c>
      <c r="AP518" s="3" t="s">
        <v>59</v>
      </c>
      <c r="AQ518" s="3" t="s">
        <v>59</v>
      </c>
      <c r="AS518" s="6" t="str">
        <f>HYPERLINK("https://creighton-primo.hosted.exlibrisgroup.com/primo-explore/search?tab=default_tab&amp;search_scope=EVERYTHING&amp;vid=01CRU&amp;lang=en_US&amp;offset=0&amp;query=any,contains,991000151239702656","Catalog Record")</f>
        <v>Catalog Record</v>
      </c>
      <c r="AT518" s="6" t="str">
        <f>HYPERLINK("http://www.worldcat.org/oclc/421379977","WorldCat Record")</f>
        <v>WorldCat Record</v>
      </c>
      <c r="AU518" s="3" t="s">
        <v>6212</v>
      </c>
      <c r="AV518" s="3" t="s">
        <v>6213</v>
      </c>
      <c r="AW518" s="3" t="s">
        <v>6214</v>
      </c>
      <c r="AX518" s="3" t="s">
        <v>6214</v>
      </c>
      <c r="AY518" s="3" t="s">
        <v>6215</v>
      </c>
      <c r="AZ518" s="3" t="s">
        <v>74</v>
      </c>
      <c r="BB518" s="3" t="s">
        <v>6216</v>
      </c>
      <c r="BC518" s="3" t="s">
        <v>6217</v>
      </c>
      <c r="BD518" s="3" t="s">
        <v>6218</v>
      </c>
    </row>
    <row r="519" spans="1:56" ht="57.75" customHeight="1" x14ac:dyDescent="0.25">
      <c r="A519" s="7" t="s">
        <v>59</v>
      </c>
      <c r="B519" s="2" t="s">
        <v>6219</v>
      </c>
      <c r="C519" s="2" t="s">
        <v>6220</v>
      </c>
      <c r="D519" s="2" t="s">
        <v>6221</v>
      </c>
      <c r="F519" s="3" t="s">
        <v>59</v>
      </c>
      <c r="G519" s="3" t="s">
        <v>60</v>
      </c>
      <c r="H519" s="3" t="s">
        <v>59</v>
      </c>
      <c r="I519" s="3" t="s">
        <v>59</v>
      </c>
      <c r="J519" s="3" t="s">
        <v>61</v>
      </c>
      <c r="K519" s="2" t="s">
        <v>6222</v>
      </c>
      <c r="L519" s="2" t="s">
        <v>6223</v>
      </c>
      <c r="M519" s="3" t="s">
        <v>313</v>
      </c>
      <c r="O519" s="3" t="s">
        <v>64</v>
      </c>
      <c r="P519" s="3" t="s">
        <v>467</v>
      </c>
      <c r="R519" s="3" t="s">
        <v>67</v>
      </c>
      <c r="S519" s="4">
        <v>1</v>
      </c>
      <c r="T519" s="4">
        <v>1</v>
      </c>
      <c r="U519" s="5" t="s">
        <v>4252</v>
      </c>
      <c r="V519" s="5" t="s">
        <v>4252</v>
      </c>
      <c r="W519" s="5" t="s">
        <v>4252</v>
      </c>
      <c r="X519" s="5" t="s">
        <v>4252</v>
      </c>
      <c r="Y519" s="4">
        <v>122</v>
      </c>
      <c r="Z519" s="4">
        <v>98</v>
      </c>
      <c r="AA519" s="4">
        <v>103</v>
      </c>
      <c r="AB519" s="4">
        <v>3</v>
      </c>
      <c r="AC519" s="4">
        <v>3</v>
      </c>
      <c r="AD519" s="4">
        <v>4</v>
      </c>
      <c r="AE519" s="4">
        <v>4</v>
      </c>
      <c r="AF519" s="4">
        <v>0</v>
      </c>
      <c r="AG519" s="4">
        <v>0</v>
      </c>
      <c r="AH519" s="4">
        <v>1</v>
      </c>
      <c r="AI519" s="4">
        <v>1</v>
      </c>
      <c r="AJ519" s="4">
        <v>2</v>
      </c>
      <c r="AK519" s="4">
        <v>2</v>
      </c>
      <c r="AL519" s="4">
        <v>2</v>
      </c>
      <c r="AM519" s="4">
        <v>2</v>
      </c>
      <c r="AN519" s="4">
        <v>0</v>
      </c>
      <c r="AO519" s="4">
        <v>0</v>
      </c>
      <c r="AP519" s="3" t="s">
        <v>59</v>
      </c>
      <c r="AQ519" s="3" t="s">
        <v>59</v>
      </c>
      <c r="AS519" s="6" t="str">
        <f>HYPERLINK("https://creighton-primo.hosted.exlibrisgroup.com/primo-explore/search?tab=default_tab&amp;search_scope=EVERYTHING&amp;vid=01CRU&amp;lang=en_US&amp;offset=0&amp;query=any,contains,991003671719702656","Catalog Record")</f>
        <v>Catalog Record</v>
      </c>
      <c r="AT519" s="6" t="str">
        <f>HYPERLINK("http://www.worldcat.org/oclc/45087153","WorldCat Record")</f>
        <v>WorldCat Record</v>
      </c>
      <c r="AU519" s="3" t="s">
        <v>6224</v>
      </c>
      <c r="AV519" s="3" t="s">
        <v>6225</v>
      </c>
      <c r="AW519" s="3" t="s">
        <v>6226</v>
      </c>
      <c r="AX519" s="3" t="s">
        <v>6226</v>
      </c>
      <c r="AY519" s="3" t="s">
        <v>6227</v>
      </c>
      <c r="AZ519" s="3" t="s">
        <v>74</v>
      </c>
      <c r="BB519" s="3" t="s">
        <v>6228</v>
      </c>
      <c r="BC519" s="3" t="s">
        <v>6229</v>
      </c>
      <c r="BD519" s="3" t="s">
        <v>6230</v>
      </c>
    </row>
    <row r="520" spans="1:56" ht="57.75" customHeight="1" x14ac:dyDescent="0.25">
      <c r="A520" s="7" t="s">
        <v>59</v>
      </c>
      <c r="B520" s="2" t="s">
        <v>6231</v>
      </c>
      <c r="C520" s="2" t="s">
        <v>6232</v>
      </c>
      <c r="D520" s="2" t="s">
        <v>6233</v>
      </c>
      <c r="F520" s="3" t="s">
        <v>59</v>
      </c>
      <c r="G520" s="3" t="s">
        <v>60</v>
      </c>
      <c r="H520" s="3" t="s">
        <v>59</v>
      </c>
      <c r="I520" s="3" t="s">
        <v>59</v>
      </c>
      <c r="J520" s="3" t="s">
        <v>61</v>
      </c>
      <c r="K520" s="2" t="s">
        <v>6234</v>
      </c>
      <c r="L520" s="2" t="s">
        <v>6235</v>
      </c>
      <c r="M520" s="3" t="s">
        <v>1701</v>
      </c>
      <c r="O520" s="3" t="s">
        <v>64</v>
      </c>
      <c r="P520" s="3" t="s">
        <v>6236</v>
      </c>
      <c r="R520" s="3" t="s">
        <v>67</v>
      </c>
      <c r="S520" s="4">
        <v>4</v>
      </c>
      <c r="T520" s="4">
        <v>4</v>
      </c>
      <c r="U520" s="5" t="s">
        <v>6237</v>
      </c>
      <c r="V520" s="5" t="s">
        <v>6237</v>
      </c>
      <c r="W520" s="5" t="s">
        <v>4507</v>
      </c>
      <c r="X520" s="5" t="s">
        <v>4507</v>
      </c>
      <c r="Y520" s="4">
        <v>123</v>
      </c>
      <c r="Z520" s="4">
        <v>113</v>
      </c>
      <c r="AA520" s="4">
        <v>116</v>
      </c>
      <c r="AB520" s="4">
        <v>2</v>
      </c>
      <c r="AC520" s="4">
        <v>2</v>
      </c>
      <c r="AD520" s="4">
        <v>5</v>
      </c>
      <c r="AE520" s="4">
        <v>5</v>
      </c>
      <c r="AF520" s="4">
        <v>1</v>
      </c>
      <c r="AG520" s="4">
        <v>1</v>
      </c>
      <c r="AH520" s="4">
        <v>1</v>
      </c>
      <c r="AI520" s="4">
        <v>1</v>
      </c>
      <c r="AJ520" s="4">
        <v>2</v>
      </c>
      <c r="AK520" s="4">
        <v>2</v>
      </c>
      <c r="AL520" s="4">
        <v>1</v>
      </c>
      <c r="AM520" s="4">
        <v>1</v>
      </c>
      <c r="AN520" s="4">
        <v>0</v>
      </c>
      <c r="AO520" s="4">
        <v>0</v>
      </c>
      <c r="AP520" s="3" t="s">
        <v>59</v>
      </c>
      <c r="AQ520" s="3" t="s">
        <v>69</v>
      </c>
      <c r="AR520" s="6" t="str">
        <f>HYPERLINK("http://catalog.hathitrust.org/Record/000134792","HathiTrust Record")</f>
        <v>HathiTrust Record</v>
      </c>
      <c r="AS520" s="6" t="str">
        <f>HYPERLINK("https://creighton-primo.hosted.exlibrisgroup.com/primo-explore/search?tab=default_tab&amp;search_scope=EVERYTHING&amp;vid=01CRU&amp;lang=en_US&amp;offset=0&amp;query=any,contains,991004523399702656","Catalog Record")</f>
        <v>Catalog Record</v>
      </c>
      <c r="AT520" s="6" t="str">
        <f>HYPERLINK("http://www.worldcat.org/oclc/3832521","WorldCat Record")</f>
        <v>WorldCat Record</v>
      </c>
      <c r="AU520" s="3" t="s">
        <v>6238</v>
      </c>
      <c r="AV520" s="3" t="s">
        <v>6239</v>
      </c>
      <c r="AW520" s="3" t="s">
        <v>6240</v>
      </c>
      <c r="AX520" s="3" t="s">
        <v>6240</v>
      </c>
      <c r="AY520" s="3" t="s">
        <v>6241</v>
      </c>
      <c r="AZ520" s="3" t="s">
        <v>74</v>
      </c>
      <c r="BC520" s="3" t="s">
        <v>6242</v>
      </c>
      <c r="BD520" s="3" t="s">
        <v>6243</v>
      </c>
    </row>
    <row r="521" spans="1:56" ht="57.75" customHeight="1" x14ac:dyDescent="0.25">
      <c r="A521" s="7" t="s">
        <v>59</v>
      </c>
      <c r="B521" s="2" t="s">
        <v>6244</v>
      </c>
      <c r="C521" s="2" t="s">
        <v>6245</v>
      </c>
      <c r="D521" s="2" t="s">
        <v>6246</v>
      </c>
      <c r="F521" s="3" t="s">
        <v>59</v>
      </c>
      <c r="G521" s="3" t="s">
        <v>60</v>
      </c>
      <c r="H521" s="3" t="s">
        <v>59</v>
      </c>
      <c r="I521" s="3" t="s">
        <v>59</v>
      </c>
      <c r="J521" s="3" t="s">
        <v>61</v>
      </c>
      <c r="L521" s="2" t="s">
        <v>6247</v>
      </c>
      <c r="M521" s="3" t="s">
        <v>1837</v>
      </c>
      <c r="O521" s="3" t="s">
        <v>64</v>
      </c>
      <c r="P521" s="3" t="s">
        <v>1078</v>
      </c>
      <c r="Q521" s="2" t="s">
        <v>6248</v>
      </c>
      <c r="R521" s="3" t="s">
        <v>67</v>
      </c>
      <c r="S521" s="4">
        <v>26</v>
      </c>
      <c r="T521" s="4">
        <v>26</v>
      </c>
      <c r="U521" s="5" t="s">
        <v>6249</v>
      </c>
      <c r="V521" s="5" t="s">
        <v>6249</v>
      </c>
      <c r="W521" s="5" t="s">
        <v>6250</v>
      </c>
      <c r="X521" s="5" t="s">
        <v>6250</v>
      </c>
      <c r="Y521" s="4">
        <v>211</v>
      </c>
      <c r="Z521" s="4">
        <v>167</v>
      </c>
      <c r="AA521" s="4">
        <v>168</v>
      </c>
      <c r="AB521" s="4">
        <v>1</v>
      </c>
      <c r="AC521" s="4">
        <v>1</v>
      </c>
      <c r="AD521" s="4">
        <v>3</v>
      </c>
      <c r="AE521" s="4">
        <v>3</v>
      </c>
      <c r="AF521" s="4">
        <v>1</v>
      </c>
      <c r="AG521" s="4">
        <v>1</v>
      </c>
      <c r="AH521" s="4">
        <v>2</v>
      </c>
      <c r="AI521" s="4">
        <v>2</v>
      </c>
      <c r="AJ521" s="4">
        <v>1</v>
      </c>
      <c r="AK521" s="4">
        <v>1</v>
      </c>
      <c r="AL521" s="4">
        <v>0</v>
      </c>
      <c r="AM521" s="4">
        <v>0</v>
      </c>
      <c r="AN521" s="4">
        <v>0</v>
      </c>
      <c r="AO521" s="4">
        <v>0</v>
      </c>
      <c r="AP521" s="3" t="s">
        <v>59</v>
      </c>
      <c r="AQ521" s="3" t="s">
        <v>69</v>
      </c>
      <c r="AR521" s="6" t="str">
        <f>HYPERLINK("http://catalog.hathitrust.org/Record/002618400","HathiTrust Record")</f>
        <v>HathiTrust Record</v>
      </c>
      <c r="AS521" s="6" t="str">
        <f>HYPERLINK("https://creighton-primo.hosted.exlibrisgroup.com/primo-explore/search?tab=default_tab&amp;search_scope=EVERYTHING&amp;vid=01CRU&amp;lang=en_US&amp;offset=0&amp;query=any,contains,991002146349702656","Catalog Record")</f>
        <v>Catalog Record</v>
      </c>
      <c r="AT521" s="6" t="str">
        <f>HYPERLINK("http://www.worldcat.org/oclc/27655571","WorldCat Record")</f>
        <v>WorldCat Record</v>
      </c>
      <c r="AU521" s="3" t="s">
        <v>6251</v>
      </c>
      <c r="AV521" s="3" t="s">
        <v>6252</v>
      </c>
      <c r="AW521" s="3" t="s">
        <v>6253</v>
      </c>
      <c r="AX521" s="3" t="s">
        <v>6253</v>
      </c>
      <c r="AY521" s="3" t="s">
        <v>6254</v>
      </c>
      <c r="AZ521" s="3" t="s">
        <v>74</v>
      </c>
      <c r="BC521" s="3" t="s">
        <v>6255</v>
      </c>
      <c r="BD521" s="3" t="s">
        <v>6256</v>
      </c>
    </row>
    <row r="522" spans="1:56" ht="57.75" customHeight="1" x14ac:dyDescent="0.25">
      <c r="A522" s="7" t="s">
        <v>59</v>
      </c>
      <c r="B522" s="2" t="s">
        <v>6257</v>
      </c>
      <c r="C522" s="2" t="s">
        <v>6258</v>
      </c>
      <c r="D522" s="2" t="s">
        <v>6259</v>
      </c>
      <c r="F522" s="3" t="s">
        <v>59</v>
      </c>
      <c r="G522" s="3" t="s">
        <v>60</v>
      </c>
      <c r="H522" s="3" t="s">
        <v>59</v>
      </c>
      <c r="I522" s="3" t="s">
        <v>59</v>
      </c>
      <c r="J522" s="3" t="s">
        <v>61</v>
      </c>
      <c r="K522" s="2" t="s">
        <v>6260</v>
      </c>
      <c r="L522" s="2" t="s">
        <v>6261</v>
      </c>
      <c r="M522" s="3" t="s">
        <v>313</v>
      </c>
      <c r="N522" s="2" t="s">
        <v>556</v>
      </c>
      <c r="O522" s="3" t="s">
        <v>64</v>
      </c>
      <c r="P522" s="3" t="s">
        <v>467</v>
      </c>
      <c r="R522" s="3" t="s">
        <v>67</v>
      </c>
      <c r="S522" s="4">
        <v>9</v>
      </c>
      <c r="T522" s="4">
        <v>9</v>
      </c>
      <c r="U522" s="5" t="s">
        <v>6262</v>
      </c>
      <c r="V522" s="5" t="s">
        <v>6262</v>
      </c>
      <c r="W522" s="5" t="s">
        <v>4252</v>
      </c>
      <c r="X522" s="5" t="s">
        <v>4252</v>
      </c>
      <c r="Y522" s="4">
        <v>665</v>
      </c>
      <c r="Z522" s="4">
        <v>655</v>
      </c>
      <c r="AA522" s="4">
        <v>794</v>
      </c>
      <c r="AB522" s="4">
        <v>4</v>
      </c>
      <c r="AC522" s="4">
        <v>7</v>
      </c>
      <c r="AD522" s="4">
        <v>9</v>
      </c>
      <c r="AE522" s="4">
        <v>10</v>
      </c>
      <c r="AF522" s="4">
        <v>2</v>
      </c>
      <c r="AG522" s="4">
        <v>2</v>
      </c>
      <c r="AH522" s="4">
        <v>3</v>
      </c>
      <c r="AI522" s="4">
        <v>3</v>
      </c>
      <c r="AJ522" s="4">
        <v>6</v>
      </c>
      <c r="AK522" s="4">
        <v>6</v>
      </c>
      <c r="AL522" s="4">
        <v>1</v>
      </c>
      <c r="AM522" s="4">
        <v>2</v>
      </c>
      <c r="AN522" s="4">
        <v>0</v>
      </c>
      <c r="AO522" s="4">
        <v>0</v>
      </c>
      <c r="AP522" s="3" t="s">
        <v>59</v>
      </c>
      <c r="AQ522" s="3" t="s">
        <v>59</v>
      </c>
      <c r="AS522" s="6" t="str">
        <f>HYPERLINK("https://creighton-primo.hosted.exlibrisgroup.com/primo-explore/search?tab=default_tab&amp;search_scope=EVERYTHING&amp;vid=01CRU&amp;lang=en_US&amp;offset=0&amp;query=any,contains,991003667989702656","Catalog Record")</f>
        <v>Catalog Record</v>
      </c>
      <c r="AT522" s="6" t="str">
        <f>HYPERLINK("http://www.worldcat.org/oclc/45172046","WorldCat Record")</f>
        <v>WorldCat Record</v>
      </c>
      <c r="AU522" s="3" t="s">
        <v>6263</v>
      </c>
      <c r="AV522" s="3" t="s">
        <v>6264</v>
      </c>
      <c r="AW522" s="3" t="s">
        <v>6265</v>
      </c>
      <c r="AX522" s="3" t="s">
        <v>6265</v>
      </c>
      <c r="AY522" s="3" t="s">
        <v>6266</v>
      </c>
      <c r="AZ522" s="3" t="s">
        <v>74</v>
      </c>
      <c r="BB522" s="3" t="s">
        <v>6267</v>
      </c>
      <c r="BC522" s="3" t="s">
        <v>6268</v>
      </c>
      <c r="BD522" s="3" t="s">
        <v>6269</v>
      </c>
    </row>
    <row r="523" spans="1:56" ht="57.75" customHeight="1" x14ac:dyDescent="0.25">
      <c r="A523" s="7" t="s">
        <v>59</v>
      </c>
      <c r="B523" s="2" t="s">
        <v>6270</v>
      </c>
      <c r="C523" s="2" t="s">
        <v>6271</v>
      </c>
      <c r="D523" s="2" t="s">
        <v>6272</v>
      </c>
      <c r="F523" s="3" t="s">
        <v>59</v>
      </c>
      <c r="G523" s="3" t="s">
        <v>60</v>
      </c>
      <c r="H523" s="3" t="s">
        <v>59</v>
      </c>
      <c r="I523" s="3" t="s">
        <v>59</v>
      </c>
      <c r="J523" s="3" t="s">
        <v>61</v>
      </c>
      <c r="L523" s="2" t="s">
        <v>6273</v>
      </c>
      <c r="M523" s="3" t="s">
        <v>130</v>
      </c>
      <c r="O523" s="3" t="s">
        <v>64</v>
      </c>
      <c r="P523" s="3" t="s">
        <v>467</v>
      </c>
      <c r="R523" s="3" t="s">
        <v>67</v>
      </c>
      <c r="S523" s="4">
        <v>9</v>
      </c>
      <c r="T523" s="4">
        <v>9</v>
      </c>
      <c r="U523" s="5" t="s">
        <v>6274</v>
      </c>
      <c r="V523" s="5" t="s">
        <v>6274</v>
      </c>
      <c r="W523" s="5" t="s">
        <v>6275</v>
      </c>
      <c r="X523" s="5" t="s">
        <v>6275</v>
      </c>
      <c r="Y523" s="4">
        <v>751</v>
      </c>
      <c r="Z523" s="4">
        <v>695</v>
      </c>
      <c r="AA523" s="4">
        <v>730</v>
      </c>
      <c r="AB523" s="4">
        <v>4</v>
      </c>
      <c r="AC523" s="4">
        <v>4</v>
      </c>
      <c r="AD523" s="4">
        <v>19</v>
      </c>
      <c r="AE523" s="4">
        <v>20</v>
      </c>
      <c r="AF523" s="4">
        <v>11</v>
      </c>
      <c r="AG523" s="4">
        <v>11</v>
      </c>
      <c r="AH523" s="4">
        <v>2</v>
      </c>
      <c r="AI523" s="4">
        <v>3</v>
      </c>
      <c r="AJ523" s="4">
        <v>7</v>
      </c>
      <c r="AK523" s="4">
        <v>8</v>
      </c>
      <c r="AL523" s="4">
        <v>2</v>
      </c>
      <c r="AM523" s="4">
        <v>2</v>
      </c>
      <c r="AN523" s="4">
        <v>0</v>
      </c>
      <c r="AO523" s="4">
        <v>0</v>
      </c>
      <c r="AP523" s="3" t="s">
        <v>59</v>
      </c>
      <c r="AQ523" s="3" t="s">
        <v>59</v>
      </c>
      <c r="AS523" s="6" t="str">
        <f>HYPERLINK("https://creighton-primo.hosted.exlibrisgroup.com/primo-explore/search?tab=default_tab&amp;search_scope=EVERYTHING&amp;vid=01CRU&amp;lang=en_US&amp;offset=0&amp;query=any,contains,991004489019702656","Catalog Record")</f>
        <v>Catalog Record</v>
      </c>
      <c r="AT523" s="6" t="str">
        <f>HYPERLINK("http://www.worldcat.org/oclc/54046294","WorldCat Record")</f>
        <v>WorldCat Record</v>
      </c>
      <c r="AU523" s="3" t="s">
        <v>6276</v>
      </c>
      <c r="AV523" s="3" t="s">
        <v>6277</v>
      </c>
      <c r="AW523" s="3" t="s">
        <v>6278</v>
      </c>
      <c r="AX523" s="3" t="s">
        <v>6278</v>
      </c>
      <c r="AY523" s="3" t="s">
        <v>6279</v>
      </c>
      <c r="AZ523" s="3" t="s">
        <v>74</v>
      </c>
      <c r="BB523" s="3" t="s">
        <v>6280</v>
      </c>
      <c r="BC523" s="3" t="s">
        <v>6281</v>
      </c>
      <c r="BD523" s="3" t="s">
        <v>6282</v>
      </c>
    </row>
    <row r="524" spans="1:56" ht="57.75" customHeight="1" x14ac:dyDescent="0.25">
      <c r="A524" s="7" t="s">
        <v>59</v>
      </c>
      <c r="B524" s="2" t="s">
        <v>6283</v>
      </c>
      <c r="C524" s="2" t="s">
        <v>6284</v>
      </c>
      <c r="D524" s="2" t="s">
        <v>6285</v>
      </c>
      <c r="F524" s="3" t="s">
        <v>59</v>
      </c>
      <c r="G524" s="3" t="s">
        <v>60</v>
      </c>
      <c r="H524" s="3" t="s">
        <v>59</v>
      </c>
      <c r="I524" s="3" t="s">
        <v>59</v>
      </c>
      <c r="J524" s="3" t="s">
        <v>61</v>
      </c>
      <c r="K524" s="2" t="s">
        <v>5919</v>
      </c>
      <c r="L524" s="2" t="s">
        <v>6286</v>
      </c>
      <c r="M524" s="3" t="s">
        <v>297</v>
      </c>
      <c r="O524" s="3" t="s">
        <v>64</v>
      </c>
      <c r="P524" s="3" t="s">
        <v>630</v>
      </c>
      <c r="R524" s="3" t="s">
        <v>67</v>
      </c>
      <c r="S524" s="4">
        <v>9</v>
      </c>
      <c r="T524" s="4">
        <v>9</v>
      </c>
      <c r="U524" s="5" t="s">
        <v>6262</v>
      </c>
      <c r="V524" s="5" t="s">
        <v>6262</v>
      </c>
      <c r="W524" s="5" t="s">
        <v>6287</v>
      </c>
      <c r="X524" s="5" t="s">
        <v>6287</v>
      </c>
      <c r="Y524" s="4">
        <v>919</v>
      </c>
      <c r="Z524" s="4">
        <v>878</v>
      </c>
      <c r="AA524" s="4">
        <v>1254</v>
      </c>
      <c r="AB524" s="4">
        <v>6</v>
      </c>
      <c r="AC524" s="4">
        <v>36</v>
      </c>
      <c r="AD524" s="4">
        <v>11</v>
      </c>
      <c r="AE524" s="4">
        <v>32</v>
      </c>
      <c r="AF524" s="4">
        <v>1</v>
      </c>
      <c r="AG524" s="4">
        <v>6</v>
      </c>
      <c r="AH524" s="4">
        <v>3</v>
      </c>
      <c r="AI524" s="4">
        <v>6</v>
      </c>
      <c r="AJ524" s="4">
        <v>8</v>
      </c>
      <c r="AK524" s="4">
        <v>12</v>
      </c>
      <c r="AL524" s="4">
        <v>1</v>
      </c>
      <c r="AM524" s="4">
        <v>12</v>
      </c>
      <c r="AN524" s="4">
        <v>0</v>
      </c>
      <c r="AO524" s="4">
        <v>0</v>
      </c>
      <c r="AP524" s="3" t="s">
        <v>59</v>
      </c>
      <c r="AQ524" s="3" t="s">
        <v>59</v>
      </c>
      <c r="AS524" s="6" t="str">
        <f>HYPERLINK("https://creighton-primo.hosted.exlibrisgroup.com/primo-explore/search?tab=default_tab&amp;search_scope=EVERYTHING&amp;vid=01CRU&amp;lang=en_US&amp;offset=0&amp;query=any,contains,991003204859702656","Catalog Record")</f>
        <v>Catalog Record</v>
      </c>
      <c r="AT524" s="6" t="str">
        <f>HYPERLINK("http://www.worldcat.org/oclc/40683040","WorldCat Record")</f>
        <v>WorldCat Record</v>
      </c>
      <c r="AU524" s="3" t="s">
        <v>6288</v>
      </c>
      <c r="AV524" s="3" t="s">
        <v>6289</v>
      </c>
      <c r="AW524" s="3" t="s">
        <v>6290</v>
      </c>
      <c r="AX524" s="3" t="s">
        <v>6290</v>
      </c>
      <c r="AY524" s="3" t="s">
        <v>6291</v>
      </c>
      <c r="AZ524" s="3" t="s">
        <v>74</v>
      </c>
      <c r="BB524" s="3" t="s">
        <v>6292</v>
      </c>
      <c r="BC524" s="3" t="s">
        <v>6293</v>
      </c>
      <c r="BD524" s="3" t="s">
        <v>6294</v>
      </c>
    </row>
    <row r="525" spans="1:56" ht="57.75" customHeight="1" x14ac:dyDescent="0.25">
      <c r="A525" s="7" t="s">
        <v>59</v>
      </c>
      <c r="B525" s="2" t="s">
        <v>6295</v>
      </c>
      <c r="C525" s="2" t="s">
        <v>6296</v>
      </c>
      <c r="D525" s="2" t="s">
        <v>6297</v>
      </c>
      <c r="F525" s="3" t="s">
        <v>59</v>
      </c>
      <c r="G525" s="3" t="s">
        <v>60</v>
      </c>
      <c r="H525" s="3" t="s">
        <v>59</v>
      </c>
      <c r="I525" s="3" t="s">
        <v>59</v>
      </c>
      <c r="J525" s="3" t="s">
        <v>61</v>
      </c>
      <c r="K525" s="2" t="s">
        <v>5850</v>
      </c>
      <c r="L525" s="2" t="s">
        <v>6298</v>
      </c>
      <c r="M525" s="3" t="s">
        <v>130</v>
      </c>
      <c r="O525" s="3" t="s">
        <v>64</v>
      </c>
      <c r="P525" s="3" t="s">
        <v>467</v>
      </c>
      <c r="R525" s="3" t="s">
        <v>67</v>
      </c>
      <c r="S525" s="4">
        <v>7</v>
      </c>
      <c r="T525" s="4">
        <v>7</v>
      </c>
      <c r="U525" s="5" t="s">
        <v>1838</v>
      </c>
      <c r="V525" s="5" t="s">
        <v>1838</v>
      </c>
      <c r="W525" s="5" t="s">
        <v>6299</v>
      </c>
      <c r="X525" s="5" t="s">
        <v>6299</v>
      </c>
      <c r="Y525" s="4">
        <v>455</v>
      </c>
      <c r="Z525" s="4">
        <v>445</v>
      </c>
      <c r="AA525" s="4">
        <v>450</v>
      </c>
      <c r="AB525" s="4">
        <v>3</v>
      </c>
      <c r="AC525" s="4">
        <v>3</v>
      </c>
      <c r="AD525" s="4">
        <v>6</v>
      </c>
      <c r="AE525" s="4">
        <v>6</v>
      </c>
      <c r="AF525" s="4">
        <v>1</v>
      </c>
      <c r="AG525" s="4">
        <v>1</v>
      </c>
      <c r="AH525" s="4">
        <v>2</v>
      </c>
      <c r="AI525" s="4">
        <v>2</v>
      </c>
      <c r="AJ525" s="4">
        <v>2</v>
      </c>
      <c r="AK525" s="4">
        <v>2</v>
      </c>
      <c r="AL525" s="4">
        <v>2</v>
      </c>
      <c r="AM525" s="4">
        <v>2</v>
      </c>
      <c r="AN525" s="4">
        <v>0</v>
      </c>
      <c r="AO525" s="4">
        <v>0</v>
      </c>
      <c r="AP525" s="3" t="s">
        <v>59</v>
      </c>
      <c r="AQ525" s="3" t="s">
        <v>59</v>
      </c>
      <c r="AS525" s="6" t="str">
        <f>HYPERLINK("https://creighton-primo.hosted.exlibrisgroup.com/primo-explore/search?tab=default_tab&amp;search_scope=EVERYTHING&amp;vid=01CRU&amp;lang=en_US&amp;offset=0&amp;query=any,contains,991004630409702656","Catalog Record")</f>
        <v>Catalog Record</v>
      </c>
      <c r="AT525" s="6" t="str">
        <f>HYPERLINK("http://www.worldcat.org/oclc/56793328","WorldCat Record")</f>
        <v>WorldCat Record</v>
      </c>
      <c r="AU525" s="3" t="s">
        <v>6300</v>
      </c>
      <c r="AV525" s="3" t="s">
        <v>6301</v>
      </c>
      <c r="AW525" s="3" t="s">
        <v>6302</v>
      </c>
      <c r="AX525" s="3" t="s">
        <v>6302</v>
      </c>
      <c r="AY525" s="3" t="s">
        <v>6303</v>
      </c>
      <c r="AZ525" s="3" t="s">
        <v>74</v>
      </c>
      <c r="BB525" s="3" t="s">
        <v>6304</v>
      </c>
      <c r="BC525" s="3" t="s">
        <v>6305</v>
      </c>
      <c r="BD525" s="3" t="s">
        <v>6306</v>
      </c>
    </row>
    <row r="526" spans="1:56" ht="57.75" customHeight="1" x14ac:dyDescent="0.25">
      <c r="A526" s="7" t="s">
        <v>59</v>
      </c>
      <c r="B526" s="2" t="s">
        <v>6307</v>
      </c>
      <c r="C526" s="2" t="s">
        <v>6308</v>
      </c>
      <c r="D526" s="2" t="s">
        <v>6309</v>
      </c>
      <c r="F526" s="3" t="s">
        <v>59</v>
      </c>
      <c r="G526" s="3" t="s">
        <v>60</v>
      </c>
      <c r="H526" s="3" t="s">
        <v>59</v>
      </c>
      <c r="I526" s="3" t="s">
        <v>59</v>
      </c>
      <c r="J526" s="3" t="s">
        <v>61</v>
      </c>
      <c r="K526" s="2" t="s">
        <v>6310</v>
      </c>
      <c r="L526" s="2" t="s">
        <v>6311</v>
      </c>
      <c r="M526" s="3" t="s">
        <v>2139</v>
      </c>
      <c r="O526" s="3" t="s">
        <v>64</v>
      </c>
      <c r="P526" s="3" t="s">
        <v>630</v>
      </c>
      <c r="R526" s="3" t="s">
        <v>67</v>
      </c>
      <c r="S526" s="4">
        <v>1</v>
      </c>
      <c r="T526" s="4">
        <v>1</v>
      </c>
      <c r="U526" s="5" t="s">
        <v>5892</v>
      </c>
      <c r="V526" s="5" t="s">
        <v>5892</v>
      </c>
      <c r="W526" s="5" t="s">
        <v>4507</v>
      </c>
      <c r="X526" s="5" t="s">
        <v>4507</v>
      </c>
      <c r="Y526" s="4">
        <v>358</v>
      </c>
      <c r="Z526" s="4">
        <v>328</v>
      </c>
      <c r="AA526" s="4">
        <v>330</v>
      </c>
      <c r="AB526" s="4">
        <v>3</v>
      </c>
      <c r="AC526" s="4">
        <v>3</v>
      </c>
      <c r="AD526" s="4">
        <v>7</v>
      </c>
      <c r="AE526" s="4">
        <v>7</v>
      </c>
      <c r="AF526" s="4">
        <v>2</v>
      </c>
      <c r="AG526" s="4">
        <v>2</v>
      </c>
      <c r="AH526" s="4">
        <v>2</v>
      </c>
      <c r="AI526" s="4">
        <v>2</v>
      </c>
      <c r="AJ526" s="4">
        <v>2</v>
      </c>
      <c r="AK526" s="4">
        <v>2</v>
      </c>
      <c r="AL526" s="4">
        <v>2</v>
      </c>
      <c r="AM526" s="4">
        <v>2</v>
      </c>
      <c r="AN526" s="4">
        <v>0</v>
      </c>
      <c r="AO526" s="4">
        <v>0</v>
      </c>
      <c r="AP526" s="3" t="s">
        <v>59</v>
      </c>
      <c r="AQ526" s="3" t="s">
        <v>69</v>
      </c>
      <c r="AR526" s="6" t="str">
        <f>HYPERLINK("http://catalog.hathitrust.org/Record/009664819","HathiTrust Record")</f>
        <v>HathiTrust Record</v>
      </c>
      <c r="AS526" s="6" t="str">
        <f>HYPERLINK("https://creighton-primo.hosted.exlibrisgroup.com/primo-explore/search?tab=default_tab&amp;search_scope=EVERYTHING&amp;vid=01CRU&amp;lang=en_US&amp;offset=0&amp;query=any,contains,991003885149702656","Catalog Record")</f>
        <v>Catalog Record</v>
      </c>
      <c r="AT526" s="6" t="str">
        <f>HYPERLINK("http://www.worldcat.org/oclc/1735300","WorldCat Record")</f>
        <v>WorldCat Record</v>
      </c>
      <c r="AU526" s="3" t="s">
        <v>6312</v>
      </c>
      <c r="AV526" s="3" t="s">
        <v>6313</v>
      </c>
      <c r="AW526" s="3" t="s">
        <v>6314</v>
      </c>
      <c r="AX526" s="3" t="s">
        <v>6314</v>
      </c>
      <c r="AY526" s="3" t="s">
        <v>6315</v>
      </c>
      <c r="AZ526" s="3" t="s">
        <v>74</v>
      </c>
      <c r="BB526" s="3" t="s">
        <v>6316</v>
      </c>
      <c r="BC526" s="3" t="s">
        <v>6317</v>
      </c>
      <c r="BD526" s="3" t="s">
        <v>6318</v>
      </c>
    </row>
    <row r="527" spans="1:56" ht="57.75" customHeight="1" x14ac:dyDescent="0.25">
      <c r="A527" s="7" t="s">
        <v>59</v>
      </c>
      <c r="B527" s="2" t="s">
        <v>6319</v>
      </c>
      <c r="C527" s="2" t="s">
        <v>6320</v>
      </c>
      <c r="D527" s="2" t="s">
        <v>6321</v>
      </c>
      <c r="F527" s="3" t="s">
        <v>59</v>
      </c>
      <c r="G527" s="3" t="s">
        <v>60</v>
      </c>
      <c r="H527" s="3" t="s">
        <v>59</v>
      </c>
      <c r="I527" s="3" t="s">
        <v>59</v>
      </c>
      <c r="J527" s="3" t="s">
        <v>61</v>
      </c>
      <c r="K527" s="2" t="s">
        <v>6322</v>
      </c>
      <c r="L527" s="2" t="s">
        <v>6323</v>
      </c>
      <c r="M527" s="3" t="s">
        <v>1430</v>
      </c>
      <c r="O527" s="3" t="s">
        <v>64</v>
      </c>
      <c r="P527" s="3" t="s">
        <v>405</v>
      </c>
      <c r="R527" s="3" t="s">
        <v>67</v>
      </c>
      <c r="S527" s="4">
        <v>12</v>
      </c>
      <c r="T527" s="4">
        <v>12</v>
      </c>
      <c r="U527" s="5" t="s">
        <v>6324</v>
      </c>
      <c r="V527" s="5" t="s">
        <v>6324</v>
      </c>
      <c r="W527" s="5" t="s">
        <v>6325</v>
      </c>
      <c r="X527" s="5" t="s">
        <v>6325</v>
      </c>
      <c r="Y527" s="4">
        <v>263</v>
      </c>
      <c r="Z527" s="4">
        <v>206</v>
      </c>
      <c r="AA527" s="4">
        <v>216</v>
      </c>
      <c r="AB527" s="4">
        <v>1</v>
      </c>
      <c r="AC527" s="4">
        <v>1</v>
      </c>
      <c r="AD527" s="4">
        <v>3</v>
      </c>
      <c r="AE527" s="4">
        <v>3</v>
      </c>
      <c r="AF527" s="4">
        <v>0</v>
      </c>
      <c r="AG527" s="4">
        <v>0</v>
      </c>
      <c r="AH527" s="4">
        <v>2</v>
      </c>
      <c r="AI527" s="4">
        <v>2</v>
      </c>
      <c r="AJ527" s="4">
        <v>2</v>
      </c>
      <c r="AK527" s="4">
        <v>2</v>
      </c>
      <c r="AL527" s="4">
        <v>0</v>
      </c>
      <c r="AM527" s="4">
        <v>0</v>
      </c>
      <c r="AN527" s="4">
        <v>0</v>
      </c>
      <c r="AO527" s="4">
        <v>0</v>
      </c>
      <c r="AP527" s="3" t="s">
        <v>59</v>
      </c>
      <c r="AQ527" s="3" t="s">
        <v>69</v>
      </c>
      <c r="AR527" s="6" t="str">
        <f>HYPERLINK("http://catalog.hathitrust.org/Record/000562802","HathiTrust Record")</f>
        <v>HathiTrust Record</v>
      </c>
      <c r="AS527" s="6" t="str">
        <f>HYPERLINK("https://creighton-primo.hosted.exlibrisgroup.com/primo-explore/search?tab=default_tab&amp;search_scope=EVERYTHING&amp;vid=01CRU&amp;lang=en_US&amp;offset=0&amp;query=any,contains,991000524439702656","Catalog Record")</f>
        <v>Catalog Record</v>
      </c>
      <c r="AT527" s="6" t="str">
        <f>HYPERLINK("http://www.worldcat.org/oclc/11364239","WorldCat Record")</f>
        <v>WorldCat Record</v>
      </c>
      <c r="AU527" s="3" t="s">
        <v>6326</v>
      </c>
      <c r="AV527" s="3" t="s">
        <v>6327</v>
      </c>
      <c r="AW527" s="3" t="s">
        <v>6328</v>
      </c>
      <c r="AX527" s="3" t="s">
        <v>6328</v>
      </c>
      <c r="AY527" s="3" t="s">
        <v>6329</v>
      </c>
      <c r="AZ527" s="3" t="s">
        <v>74</v>
      </c>
      <c r="BB527" s="3" t="s">
        <v>6330</v>
      </c>
      <c r="BC527" s="3" t="s">
        <v>6331</v>
      </c>
      <c r="BD527" s="3" t="s">
        <v>6332</v>
      </c>
    </row>
    <row r="528" spans="1:56" ht="57.75" customHeight="1" x14ac:dyDescent="0.25">
      <c r="A528" s="7" t="s">
        <v>59</v>
      </c>
      <c r="B528" s="2" t="s">
        <v>6333</v>
      </c>
      <c r="C528" s="2" t="s">
        <v>6334</v>
      </c>
      <c r="D528" s="2" t="s">
        <v>6335</v>
      </c>
      <c r="F528" s="3" t="s">
        <v>59</v>
      </c>
      <c r="G528" s="3" t="s">
        <v>60</v>
      </c>
      <c r="H528" s="3" t="s">
        <v>59</v>
      </c>
      <c r="I528" s="3" t="s">
        <v>59</v>
      </c>
      <c r="J528" s="3" t="s">
        <v>61</v>
      </c>
      <c r="K528" s="2" t="s">
        <v>2017</v>
      </c>
      <c r="L528" s="2" t="s">
        <v>6336</v>
      </c>
      <c r="M528" s="3" t="s">
        <v>2244</v>
      </c>
      <c r="O528" s="3" t="s">
        <v>64</v>
      </c>
      <c r="P528" s="3" t="s">
        <v>2074</v>
      </c>
      <c r="Q528" s="2" t="s">
        <v>6337</v>
      </c>
      <c r="R528" s="3" t="s">
        <v>67</v>
      </c>
      <c r="S528" s="4">
        <v>1</v>
      </c>
      <c r="T528" s="4">
        <v>1</v>
      </c>
      <c r="U528" s="5" t="s">
        <v>2392</v>
      </c>
      <c r="V528" s="5" t="s">
        <v>2392</v>
      </c>
      <c r="W528" s="5" t="s">
        <v>6338</v>
      </c>
      <c r="X528" s="5" t="s">
        <v>6338</v>
      </c>
      <c r="Y528" s="4">
        <v>74</v>
      </c>
      <c r="Z528" s="4">
        <v>47</v>
      </c>
      <c r="AA528" s="4">
        <v>49</v>
      </c>
      <c r="AB528" s="4">
        <v>1</v>
      </c>
      <c r="AC528" s="4">
        <v>1</v>
      </c>
      <c r="AD528" s="4">
        <v>1</v>
      </c>
      <c r="AE528" s="4">
        <v>1</v>
      </c>
      <c r="AF528" s="4">
        <v>0</v>
      </c>
      <c r="AG528" s="4">
        <v>0</v>
      </c>
      <c r="AH528" s="4">
        <v>1</v>
      </c>
      <c r="AI528" s="4">
        <v>1</v>
      </c>
      <c r="AJ528" s="4">
        <v>1</v>
      </c>
      <c r="AK528" s="4">
        <v>1</v>
      </c>
      <c r="AL528" s="4">
        <v>0</v>
      </c>
      <c r="AM528" s="4">
        <v>0</v>
      </c>
      <c r="AN528" s="4">
        <v>0</v>
      </c>
      <c r="AO528" s="4">
        <v>0</v>
      </c>
      <c r="AP528" s="3" t="s">
        <v>59</v>
      </c>
      <c r="AQ528" s="3" t="s">
        <v>69</v>
      </c>
      <c r="AR528" s="6" t="str">
        <f>HYPERLINK("http://catalog.hathitrust.org/Record/002643435","HathiTrust Record")</f>
        <v>HathiTrust Record</v>
      </c>
      <c r="AS528" s="6" t="str">
        <f>HYPERLINK("https://creighton-primo.hosted.exlibrisgroup.com/primo-explore/search?tab=default_tab&amp;search_scope=EVERYTHING&amp;vid=01CRU&amp;lang=en_US&amp;offset=0&amp;query=any,contains,991002077969702656","Catalog Record")</f>
        <v>Catalog Record</v>
      </c>
      <c r="AT528" s="6" t="str">
        <f>HYPERLINK("http://www.worldcat.org/oclc/26634954","WorldCat Record")</f>
        <v>WorldCat Record</v>
      </c>
      <c r="AU528" s="3" t="s">
        <v>6339</v>
      </c>
      <c r="AV528" s="3" t="s">
        <v>6340</v>
      </c>
      <c r="AW528" s="3" t="s">
        <v>6341</v>
      </c>
      <c r="AX528" s="3" t="s">
        <v>6341</v>
      </c>
      <c r="AY528" s="3" t="s">
        <v>6342</v>
      </c>
      <c r="AZ528" s="3" t="s">
        <v>74</v>
      </c>
      <c r="BB528" s="3" t="s">
        <v>6343</v>
      </c>
      <c r="BC528" s="3" t="s">
        <v>6344</v>
      </c>
      <c r="BD528" s="3" t="s">
        <v>6345</v>
      </c>
    </row>
    <row r="529" spans="1:56" ht="57.75" customHeight="1" x14ac:dyDescent="0.25">
      <c r="A529" s="7" t="s">
        <v>59</v>
      </c>
      <c r="B529" s="2" t="s">
        <v>6346</v>
      </c>
      <c r="C529" s="2" t="s">
        <v>6347</v>
      </c>
      <c r="D529" s="2" t="s">
        <v>6348</v>
      </c>
      <c r="F529" s="3" t="s">
        <v>59</v>
      </c>
      <c r="G529" s="3" t="s">
        <v>60</v>
      </c>
      <c r="H529" s="3" t="s">
        <v>59</v>
      </c>
      <c r="I529" s="3" t="s">
        <v>59</v>
      </c>
      <c r="J529" s="3" t="s">
        <v>61</v>
      </c>
      <c r="K529" s="2" t="s">
        <v>6349</v>
      </c>
      <c r="L529" s="2" t="s">
        <v>6350</v>
      </c>
      <c r="M529" s="3" t="s">
        <v>712</v>
      </c>
      <c r="O529" s="3" t="s">
        <v>64</v>
      </c>
      <c r="P529" s="3" t="s">
        <v>2362</v>
      </c>
      <c r="R529" s="3" t="s">
        <v>67</v>
      </c>
      <c r="S529" s="4">
        <v>7</v>
      </c>
      <c r="T529" s="4">
        <v>7</v>
      </c>
      <c r="U529" s="5" t="s">
        <v>2392</v>
      </c>
      <c r="V529" s="5" t="s">
        <v>2392</v>
      </c>
      <c r="W529" s="5" t="s">
        <v>6351</v>
      </c>
      <c r="X529" s="5" t="s">
        <v>6351</v>
      </c>
      <c r="Y529" s="4">
        <v>167</v>
      </c>
      <c r="Z529" s="4">
        <v>142</v>
      </c>
      <c r="AA529" s="4">
        <v>143</v>
      </c>
      <c r="AB529" s="4">
        <v>1</v>
      </c>
      <c r="AC529" s="4">
        <v>1</v>
      </c>
      <c r="AD529" s="4">
        <v>5</v>
      </c>
      <c r="AE529" s="4">
        <v>5</v>
      </c>
      <c r="AF529" s="4">
        <v>1</v>
      </c>
      <c r="AG529" s="4">
        <v>1</v>
      </c>
      <c r="AH529" s="4">
        <v>2</v>
      </c>
      <c r="AI529" s="4">
        <v>2</v>
      </c>
      <c r="AJ529" s="4">
        <v>3</v>
      </c>
      <c r="AK529" s="4">
        <v>3</v>
      </c>
      <c r="AL529" s="4">
        <v>0</v>
      </c>
      <c r="AM529" s="4">
        <v>0</v>
      </c>
      <c r="AN529" s="4">
        <v>0</v>
      </c>
      <c r="AO529" s="4">
        <v>0</v>
      </c>
      <c r="AP529" s="3" t="s">
        <v>59</v>
      </c>
      <c r="AQ529" s="3" t="s">
        <v>69</v>
      </c>
      <c r="AR529" s="6" t="str">
        <f>HYPERLINK("http://catalog.hathitrust.org/Record/002993706","HathiTrust Record")</f>
        <v>HathiTrust Record</v>
      </c>
      <c r="AS529" s="6" t="str">
        <f>HYPERLINK("https://creighton-primo.hosted.exlibrisgroup.com/primo-explore/search?tab=default_tab&amp;search_scope=EVERYTHING&amp;vid=01CRU&amp;lang=en_US&amp;offset=0&amp;query=any,contains,991002055549702656","Catalog Record")</f>
        <v>Catalog Record</v>
      </c>
      <c r="AT529" s="6" t="str">
        <f>HYPERLINK("http://www.worldcat.org/oclc/26261337","WorldCat Record")</f>
        <v>WorldCat Record</v>
      </c>
      <c r="AU529" s="3" t="s">
        <v>6352</v>
      </c>
      <c r="AV529" s="3" t="s">
        <v>6353</v>
      </c>
      <c r="AW529" s="3" t="s">
        <v>6354</v>
      </c>
      <c r="AX529" s="3" t="s">
        <v>6354</v>
      </c>
      <c r="AY529" s="3" t="s">
        <v>6355</v>
      </c>
      <c r="AZ529" s="3" t="s">
        <v>74</v>
      </c>
      <c r="BB529" s="3" t="s">
        <v>6356</v>
      </c>
      <c r="BC529" s="3" t="s">
        <v>6357</v>
      </c>
      <c r="BD529" s="3" t="s">
        <v>6358</v>
      </c>
    </row>
    <row r="530" spans="1:56" ht="57.75" customHeight="1" x14ac:dyDescent="0.25">
      <c r="A530" s="7" t="s">
        <v>59</v>
      </c>
      <c r="B530" s="2" t="s">
        <v>6359</v>
      </c>
      <c r="C530" s="2" t="s">
        <v>6360</v>
      </c>
      <c r="D530" s="2" t="s">
        <v>6361</v>
      </c>
      <c r="F530" s="3" t="s">
        <v>59</v>
      </c>
      <c r="G530" s="3" t="s">
        <v>60</v>
      </c>
      <c r="H530" s="3" t="s">
        <v>59</v>
      </c>
      <c r="I530" s="3" t="s">
        <v>59</v>
      </c>
      <c r="J530" s="3" t="s">
        <v>61</v>
      </c>
      <c r="L530" s="2" t="s">
        <v>6362</v>
      </c>
      <c r="M530" s="3" t="s">
        <v>511</v>
      </c>
      <c r="O530" s="3" t="s">
        <v>64</v>
      </c>
      <c r="P530" s="3" t="s">
        <v>405</v>
      </c>
      <c r="R530" s="3" t="s">
        <v>67</v>
      </c>
      <c r="S530" s="4">
        <v>1</v>
      </c>
      <c r="T530" s="4">
        <v>1</v>
      </c>
      <c r="U530" s="5" t="s">
        <v>6237</v>
      </c>
      <c r="V530" s="5" t="s">
        <v>6237</v>
      </c>
      <c r="W530" s="5" t="s">
        <v>6363</v>
      </c>
      <c r="X530" s="5" t="s">
        <v>6363</v>
      </c>
      <c r="Y530" s="4">
        <v>166</v>
      </c>
      <c r="Z530" s="4">
        <v>107</v>
      </c>
      <c r="AA530" s="4">
        <v>121</v>
      </c>
      <c r="AB530" s="4">
        <v>1</v>
      </c>
      <c r="AC530" s="4">
        <v>1</v>
      </c>
      <c r="AD530" s="4">
        <v>3</v>
      </c>
      <c r="AE530" s="4">
        <v>3</v>
      </c>
      <c r="AF530" s="4">
        <v>1</v>
      </c>
      <c r="AG530" s="4">
        <v>1</v>
      </c>
      <c r="AH530" s="4">
        <v>1</v>
      </c>
      <c r="AI530" s="4">
        <v>1</v>
      </c>
      <c r="AJ530" s="4">
        <v>2</v>
      </c>
      <c r="AK530" s="4">
        <v>2</v>
      </c>
      <c r="AL530" s="4">
        <v>0</v>
      </c>
      <c r="AM530" s="4">
        <v>0</v>
      </c>
      <c r="AN530" s="4">
        <v>0</v>
      </c>
      <c r="AO530" s="4">
        <v>0</v>
      </c>
      <c r="AP530" s="3" t="s">
        <v>59</v>
      </c>
      <c r="AQ530" s="3" t="s">
        <v>59</v>
      </c>
      <c r="AS530" s="6" t="str">
        <f>HYPERLINK("https://creighton-primo.hosted.exlibrisgroup.com/primo-explore/search?tab=default_tab&amp;search_scope=EVERYTHING&amp;vid=01CRU&amp;lang=en_US&amp;offset=0&amp;query=any,contains,991002276539702656","Catalog Record")</f>
        <v>Catalog Record</v>
      </c>
      <c r="AT530" s="6" t="str">
        <f>HYPERLINK("http://www.worldcat.org/oclc/29548076","WorldCat Record")</f>
        <v>WorldCat Record</v>
      </c>
      <c r="AU530" s="3" t="s">
        <v>6364</v>
      </c>
      <c r="AV530" s="3" t="s">
        <v>6365</v>
      </c>
      <c r="AW530" s="3" t="s">
        <v>6366</v>
      </c>
      <c r="AX530" s="3" t="s">
        <v>6366</v>
      </c>
      <c r="AY530" s="3" t="s">
        <v>6367</v>
      </c>
      <c r="AZ530" s="3" t="s">
        <v>74</v>
      </c>
      <c r="BB530" s="3" t="s">
        <v>6368</v>
      </c>
      <c r="BC530" s="3" t="s">
        <v>6369</v>
      </c>
      <c r="BD530" s="3" t="s">
        <v>6370</v>
      </c>
    </row>
    <row r="531" spans="1:56" ht="57.75" customHeight="1" x14ac:dyDescent="0.25">
      <c r="A531" s="7" t="s">
        <v>59</v>
      </c>
      <c r="B531" s="2" t="s">
        <v>6371</v>
      </c>
      <c r="C531" s="2" t="s">
        <v>6372</v>
      </c>
      <c r="D531" s="2" t="s">
        <v>6373</v>
      </c>
      <c r="F531" s="3" t="s">
        <v>59</v>
      </c>
      <c r="G531" s="3" t="s">
        <v>60</v>
      </c>
      <c r="H531" s="3" t="s">
        <v>59</v>
      </c>
      <c r="I531" s="3" t="s">
        <v>59</v>
      </c>
      <c r="J531" s="3" t="s">
        <v>61</v>
      </c>
      <c r="K531" s="2" t="s">
        <v>6374</v>
      </c>
      <c r="L531" s="2" t="s">
        <v>6375</v>
      </c>
      <c r="M531" s="3" t="s">
        <v>1837</v>
      </c>
      <c r="O531" s="3" t="s">
        <v>64</v>
      </c>
      <c r="P531" s="3" t="s">
        <v>405</v>
      </c>
      <c r="R531" s="3" t="s">
        <v>67</v>
      </c>
      <c r="S531" s="4">
        <v>11</v>
      </c>
      <c r="T531" s="4">
        <v>11</v>
      </c>
      <c r="U531" s="5" t="s">
        <v>878</v>
      </c>
      <c r="V531" s="5" t="s">
        <v>878</v>
      </c>
      <c r="W531" s="5" t="s">
        <v>807</v>
      </c>
      <c r="X531" s="5" t="s">
        <v>807</v>
      </c>
      <c r="Y531" s="4">
        <v>237</v>
      </c>
      <c r="Z531" s="4">
        <v>164</v>
      </c>
      <c r="AA531" s="4">
        <v>166</v>
      </c>
      <c r="AB531" s="4">
        <v>1</v>
      </c>
      <c r="AC531" s="4">
        <v>1</v>
      </c>
      <c r="AD531" s="4">
        <v>4</v>
      </c>
      <c r="AE531" s="4">
        <v>4</v>
      </c>
      <c r="AF531" s="4">
        <v>0</v>
      </c>
      <c r="AG531" s="4">
        <v>0</v>
      </c>
      <c r="AH531" s="4">
        <v>1</v>
      </c>
      <c r="AI531" s="4">
        <v>1</v>
      </c>
      <c r="AJ531" s="4">
        <v>3</v>
      </c>
      <c r="AK531" s="4">
        <v>3</v>
      </c>
      <c r="AL531" s="4">
        <v>0</v>
      </c>
      <c r="AM531" s="4">
        <v>0</v>
      </c>
      <c r="AN531" s="4">
        <v>0</v>
      </c>
      <c r="AO531" s="4">
        <v>0</v>
      </c>
      <c r="AP531" s="3" t="s">
        <v>59</v>
      </c>
      <c r="AQ531" s="3" t="s">
        <v>69</v>
      </c>
      <c r="AR531" s="6" t="str">
        <f>HYPERLINK("http://catalog.hathitrust.org/Record/002752920","HathiTrust Record")</f>
        <v>HathiTrust Record</v>
      </c>
      <c r="AS531" s="6" t="str">
        <f>HYPERLINK("https://creighton-primo.hosted.exlibrisgroup.com/primo-explore/search?tab=default_tab&amp;search_scope=EVERYTHING&amp;vid=01CRU&amp;lang=en_US&amp;offset=0&amp;query=any,contains,991002133009702656","Catalog Record")</f>
        <v>Catalog Record</v>
      </c>
      <c r="AT531" s="6" t="str">
        <f>HYPERLINK("http://www.worldcat.org/oclc/27339355","WorldCat Record")</f>
        <v>WorldCat Record</v>
      </c>
      <c r="AU531" s="3" t="s">
        <v>6376</v>
      </c>
      <c r="AV531" s="3" t="s">
        <v>6377</v>
      </c>
      <c r="AW531" s="3" t="s">
        <v>6378</v>
      </c>
      <c r="AX531" s="3" t="s">
        <v>6378</v>
      </c>
      <c r="AY531" s="3" t="s">
        <v>6379</v>
      </c>
      <c r="AZ531" s="3" t="s">
        <v>74</v>
      </c>
      <c r="BB531" s="3" t="s">
        <v>6380</v>
      </c>
      <c r="BC531" s="3" t="s">
        <v>6381</v>
      </c>
      <c r="BD531" s="3" t="s">
        <v>6382</v>
      </c>
    </row>
    <row r="532" spans="1:56" ht="57.75" customHeight="1" x14ac:dyDescent="0.25">
      <c r="A532" s="7" t="s">
        <v>59</v>
      </c>
      <c r="B532" s="2" t="s">
        <v>6383</v>
      </c>
      <c r="C532" s="2" t="s">
        <v>6384</v>
      </c>
      <c r="D532" s="2" t="s">
        <v>6385</v>
      </c>
      <c r="F532" s="3" t="s">
        <v>59</v>
      </c>
      <c r="G532" s="3" t="s">
        <v>60</v>
      </c>
      <c r="H532" s="3" t="s">
        <v>59</v>
      </c>
      <c r="I532" s="3" t="s">
        <v>59</v>
      </c>
      <c r="J532" s="3" t="s">
        <v>61</v>
      </c>
      <c r="K532" s="2" t="s">
        <v>6386</v>
      </c>
      <c r="L532" s="2" t="s">
        <v>6387</v>
      </c>
      <c r="M532" s="3" t="s">
        <v>313</v>
      </c>
      <c r="O532" s="3" t="s">
        <v>64</v>
      </c>
      <c r="P532" s="3" t="s">
        <v>467</v>
      </c>
      <c r="Q532" s="2" t="s">
        <v>5473</v>
      </c>
      <c r="R532" s="3" t="s">
        <v>67</v>
      </c>
      <c r="S532" s="4">
        <v>19</v>
      </c>
      <c r="T532" s="4">
        <v>19</v>
      </c>
      <c r="U532" s="5" t="s">
        <v>6388</v>
      </c>
      <c r="V532" s="5" t="s">
        <v>6388</v>
      </c>
      <c r="W532" s="5" t="s">
        <v>6389</v>
      </c>
      <c r="X532" s="5" t="s">
        <v>6389</v>
      </c>
      <c r="Y532" s="4">
        <v>402</v>
      </c>
      <c r="Z532" s="4">
        <v>348</v>
      </c>
      <c r="AA532" s="4">
        <v>356</v>
      </c>
      <c r="AB532" s="4">
        <v>3</v>
      </c>
      <c r="AC532" s="4">
        <v>3</v>
      </c>
      <c r="AD532" s="4">
        <v>16</v>
      </c>
      <c r="AE532" s="4">
        <v>16</v>
      </c>
      <c r="AF532" s="4">
        <v>6</v>
      </c>
      <c r="AG532" s="4">
        <v>6</v>
      </c>
      <c r="AH532" s="4">
        <v>5</v>
      </c>
      <c r="AI532" s="4">
        <v>5</v>
      </c>
      <c r="AJ532" s="4">
        <v>8</v>
      </c>
      <c r="AK532" s="4">
        <v>8</v>
      </c>
      <c r="AL532" s="4">
        <v>2</v>
      </c>
      <c r="AM532" s="4">
        <v>2</v>
      </c>
      <c r="AN532" s="4">
        <v>0</v>
      </c>
      <c r="AO532" s="4">
        <v>0</v>
      </c>
      <c r="AP532" s="3" t="s">
        <v>59</v>
      </c>
      <c r="AQ532" s="3" t="s">
        <v>59</v>
      </c>
      <c r="AS532" s="6" t="str">
        <f>HYPERLINK("https://creighton-primo.hosted.exlibrisgroup.com/primo-explore/search?tab=default_tab&amp;search_scope=EVERYTHING&amp;vid=01CRU&amp;lang=en_US&amp;offset=0&amp;query=any,contains,991003661739702656","Catalog Record")</f>
        <v>Catalog Record</v>
      </c>
      <c r="AT532" s="6" t="str">
        <f>HYPERLINK("http://www.worldcat.org/oclc/44516527","WorldCat Record")</f>
        <v>WorldCat Record</v>
      </c>
      <c r="AU532" s="3" t="s">
        <v>6390</v>
      </c>
      <c r="AV532" s="3" t="s">
        <v>6391</v>
      </c>
      <c r="AW532" s="3" t="s">
        <v>6392</v>
      </c>
      <c r="AX532" s="3" t="s">
        <v>6392</v>
      </c>
      <c r="AY532" s="3" t="s">
        <v>6393</v>
      </c>
      <c r="AZ532" s="3" t="s">
        <v>74</v>
      </c>
      <c r="BB532" s="3" t="s">
        <v>6394</v>
      </c>
      <c r="BC532" s="3" t="s">
        <v>6395</v>
      </c>
      <c r="BD532" s="3" t="s">
        <v>6396</v>
      </c>
    </row>
    <row r="533" spans="1:56" ht="57.75" customHeight="1" x14ac:dyDescent="0.25">
      <c r="A533" s="7" t="s">
        <v>59</v>
      </c>
      <c r="B533" s="2" t="s">
        <v>6397</v>
      </c>
      <c r="C533" s="2" t="s">
        <v>6398</v>
      </c>
      <c r="D533" s="2" t="s">
        <v>6399</v>
      </c>
      <c r="F533" s="3" t="s">
        <v>59</v>
      </c>
      <c r="G533" s="3" t="s">
        <v>60</v>
      </c>
      <c r="H533" s="3" t="s">
        <v>59</v>
      </c>
      <c r="I533" s="3" t="s">
        <v>59</v>
      </c>
      <c r="J533" s="3" t="s">
        <v>61</v>
      </c>
      <c r="K533" s="2" t="s">
        <v>6400</v>
      </c>
      <c r="L533" s="2" t="s">
        <v>6401</v>
      </c>
      <c r="M533" s="3" t="s">
        <v>2202</v>
      </c>
      <c r="O533" s="3" t="s">
        <v>64</v>
      </c>
      <c r="P533" s="3" t="s">
        <v>467</v>
      </c>
      <c r="R533" s="3" t="s">
        <v>67</v>
      </c>
      <c r="S533" s="4">
        <v>6</v>
      </c>
      <c r="T533" s="4">
        <v>6</v>
      </c>
      <c r="U533" s="5" t="s">
        <v>6402</v>
      </c>
      <c r="V533" s="5" t="s">
        <v>6402</v>
      </c>
      <c r="W533" s="5" t="s">
        <v>2452</v>
      </c>
      <c r="X533" s="5" t="s">
        <v>2452</v>
      </c>
      <c r="Y533" s="4">
        <v>383</v>
      </c>
      <c r="Z533" s="4">
        <v>374</v>
      </c>
      <c r="AA533" s="4">
        <v>502</v>
      </c>
      <c r="AB533" s="4">
        <v>4</v>
      </c>
      <c r="AC533" s="4">
        <v>6</v>
      </c>
      <c r="AD533" s="4">
        <v>9</v>
      </c>
      <c r="AE533" s="4">
        <v>15</v>
      </c>
      <c r="AF533" s="4">
        <v>2</v>
      </c>
      <c r="AG533" s="4">
        <v>4</v>
      </c>
      <c r="AH533" s="4">
        <v>1</v>
      </c>
      <c r="AI533" s="4">
        <v>2</v>
      </c>
      <c r="AJ533" s="4">
        <v>3</v>
      </c>
      <c r="AK533" s="4">
        <v>8</v>
      </c>
      <c r="AL533" s="4">
        <v>3</v>
      </c>
      <c r="AM533" s="4">
        <v>4</v>
      </c>
      <c r="AN533" s="4">
        <v>0</v>
      </c>
      <c r="AO533" s="4">
        <v>0</v>
      </c>
      <c r="AP533" s="3" t="s">
        <v>59</v>
      </c>
      <c r="AQ533" s="3" t="s">
        <v>59</v>
      </c>
      <c r="AS533" s="6" t="str">
        <f>HYPERLINK("https://creighton-primo.hosted.exlibrisgroup.com/primo-explore/search?tab=default_tab&amp;search_scope=EVERYTHING&amp;vid=01CRU&amp;lang=en_US&amp;offset=0&amp;query=any,contains,991000126549702656","Catalog Record")</f>
        <v>Catalog Record</v>
      </c>
      <c r="AT533" s="6" t="str">
        <f>HYPERLINK("http://www.worldcat.org/oclc/52174","WorldCat Record")</f>
        <v>WorldCat Record</v>
      </c>
      <c r="AU533" s="3" t="s">
        <v>6403</v>
      </c>
      <c r="AV533" s="3" t="s">
        <v>6404</v>
      </c>
      <c r="AW533" s="3" t="s">
        <v>6405</v>
      </c>
      <c r="AX533" s="3" t="s">
        <v>6405</v>
      </c>
      <c r="AY533" s="3" t="s">
        <v>6406</v>
      </c>
      <c r="AZ533" s="3" t="s">
        <v>74</v>
      </c>
      <c r="BB533" s="3" t="s">
        <v>6407</v>
      </c>
      <c r="BC533" s="3" t="s">
        <v>6408</v>
      </c>
      <c r="BD533" s="3" t="s">
        <v>6409</v>
      </c>
    </row>
    <row r="534" spans="1:56" ht="57.75" customHeight="1" x14ac:dyDescent="0.25">
      <c r="A534" s="7" t="s">
        <v>59</v>
      </c>
      <c r="B534" s="2" t="s">
        <v>6410</v>
      </c>
      <c r="C534" s="2" t="s">
        <v>6411</v>
      </c>
      <c r="D534" s="2" t="s">
        <v>6412</v>
      </c>
      <c r="F534" s="3" t="s">
        <v>59</v>
      </c>
      <c r="G534" s="3" t="s">
        <v>60</v>
      </c>
      <c r="H534" s="3" t="s">
        <v>59</v>
      </c>
      <c r="I534" s="3" t="s">
        <v>59</v>
      </c>
      <c r="J534" s="3" t="s">
        <v>61</v>
      </c>
      <c r="K534" s="2" t="s">
        <v>6413</v>
      </c>
      <c r="L534" s="2" t="s">
        <v>6414</v>
      </c>
      <c r="M534" s="3" t="s">
        <v>1852</v>
      </c>
      <c r="O534" s="3" t="s">
        <v>64</v>
      </c>
      <c r="P534" s="3" t="s">
        <v>467</v>
      </c>
      <c r="R534" s="3" t="s">
        <v>67</v>
      </c>
      <c r="S534" s="4">
        <v>2</v>
      </c>
      <c r="T534" s="4">
        <v>2</v>
      </c>
      <c r="U534" s="5" t="s">
        <v>454</v>
      </c>
      <c r="V534" s="5" t="s">
        <v>454</v>
      </c>
      <c r="W534" s="5" t="s">
        <v>2452</v>
      </c>
      <c r="X534" s="5" t="s">
        <v>2452</v>
      </c>
      <c r="Y534" s="4">
        <v>623</v>
      </c>
      <c r="Z534" s="4">
        <v>589</v>
      </c>
      <c r="AA534" s="4">
        <v>719</v>
      </c>
      <c r="AB534" s="4">
        <v>7</v>
      </c>
      <c r="AC534" s="4">
        <v>7</v>
      </c>
      <c r="AD534" s="4">
        <v>16</v>
      </c>
      <c r="AE534" s="4">
        <v>17</v>
      </c>
      <c r="AF534" s="4">
        <v>5</v>
      </c>
      <c r="AG534" s="4">
        <v>5</v>
      </c>
      <c r="AH534" s="4">
        <v>2</v>
      </c>
      <c r="AI534" s="4">
        <v>2</v>
      </c>
      <c r="AJ534" s="4">
        <v>7</v>
      </c>
      <c r="AK534" s="4">
        <v>8</v>
      </c>
      <c r="AL534" s="4">
        <v>5</v>
      </c>
      <c r="AM534" s="4">
        <v>5</v>
      </c>
      <c r="AN534" s="4">
        <v>0</v>
      </c>
      <c r="AO534" s="4">
        <v>0</v>
      </c>
      <c r="AP534" s="3" t="s">
        <v>59</v>
      </c>
      <c r="AQ534" s="3" t="s">
        <v>59</v>
      </c>
      <c r="AR534" s="6" t="str">
        <f>HYPERLINK("http://catalog.hathitrust.org/Record/001500506","HathiTrust Record")</f>
        <v>HathiTrust Record</v>
      </c>
      <c r="AS534" s="6" t="str">
        <f>HYPERLINK("https://creighton-primo.hosted.exlibrisgroup.com/primo-explore/search?tab=default_tab&amp;search_scope=EVERYTHING&amp;vid=01CRU&amp;lang=en_US&amp;offset=0&amp;query=any,contains,991001070109702656","Catalog Record")</f>
        <v>Catalog Record</v>
      </c>
      <c r="AT534" s="6" t="str">
        <f>HYPERLINK("http://www.worldcat.org/oclc/178586","WorldCat Record")</f>
        <v>WorldCat Record</v>
      </c>
      <c r="AU534" s="3" t="s">
        <v>6415</v>
      </c>
      <c r="AV534" s="3" t="s">
        <v>6416</v>
      </c>
      <c r="AW534" s="3" t="s">
        <v>6417</v>
      </c>
      <c r="AX534" s="3" t="s">
        <v>6417</v>
      </c>
      <c r="AY534" s="3" t="s">
        <v>6418</v>
      </c>
      <c r="AZ534" s="3" t="s">
        <v>74</v>
      </c>
      <c r="BC534" s="3" t="s">
        <v>6419</v>
      </c>
      <c r="BD534" s="3" t="s">
        <v>6420</v>
      </c>
    </row>
    <row r="535" spans="1:56" ht="57.75" customHeight="1" x14ac:dyDescent="0.25">
      <c r="A535" s="7" t="s">
        <v>59</v>
      </c>
      <c r="B535" s="2" t="s">
        <v>6421</v>
      </c>
      <c r="C535" s="2" t="s">
        <v>6422</v>
      </c>
      <c r="D535" s="2" t="s">
        <v>6423</v>
      </c>
      <c r="F535" s="3" t="s">
        <v>59</v>
      </c>
      <c r="G535" s="3" t="s">
        <v>60</v>
      </c>
      <c r="H535" s="3" t="s">
        <v>59</v>
      </c>
      <c r="I535" s="3" t="s">
        <v>59</v>
      </c>
      <c r="J535" s="3" t="s">
        <v>61</v>
      </c>
      <c r="L535" s="2" t="s">
        <v>6424</v>
      </c>
      <c r="M535" s="3" t="s">
        <v>1701</v>
      </c>
      <c r="O535" s="3" t="s">
        <v>64</v>
      </c>
      <c r="P535" s="3" t="s">
        <v>1674</v>
      </c>
      <c r="R535" s="3" t="s">
        <v>67</v>
      </c>
      <c r="S535" s="4">
        <v>11</v>
      </c>
      <c r="T535" s="4">
        <v>11</v>
      </c>
      <c r="U535" s="5" t="s">
        <v>6425</v>
      </c>
      <c r="V535" s="5" t="s">
        <v>6425</v>
      </c>
      <c r="W535" s="5" t="s">
        <v>4507</v>
      </c>
      <c r="X535" s="5" t="s">
        <v>4507</v>
      </c>
      <c r="Y535" s="4">
        <v>27</v>
      </c>
      <c r="Z535" s="4">
        <v>14</v>
      </c>
      <c r="AA535" s="4">
        <v>16</v>
      </c>
      <c r="AB535" s="4">
        <v>1</v>
      </c>
      <c r="AC535" s="4">
        <v>1</v>
      </c>
      <c r="AD535" s="4">
        <v>1</v>
      </c>
      <c r="AE535" s="4">
        <v>1</v>
      </c>
      <c r="AF535" s="4">
        <v>0</v>
      </c>
      <c r="AG535" s="4">
        <v>0</v>
      </c>
      <c r="AH535" s="4">
        <v>1</v>
      </c>
      <c r="AI535" s="4">
        <v>1</v>
      </c>
      <c r="AJ535" s="4">
        <v>0</v>
      </c>
      <c r="AK535" s="4">
        <v>0</v>
      </c>
      <c r="AL535" s="4">
        <v>0</v>
      </c>
      <c r="AM535" s="4">
        <v>0</v>
      </c>
      <c r="AN535" s="4">
        <v>0</v>
      </c>
      <c r="AO535" s="4">
        <v>0</v>
      </c>
      <c r="AP535" s="3" t="s">
        <v>59</v>
      </c>
      <c r="AQ535" s="3" t="s">
        <v>69</v>
      </c>
      <c r="AR535" s="6" t="str">
        <f>HYPERLINK("http://catalog.hathitrust.org/Record/009108932","HathiTrust Record")</f>
        <v>HathiTrust Record</v>
      </c>
      <c r="AS535" s="6" t="str">
        <f>HYPERLINK("https://creighton-primo.hosted.exlibrisgroup.com/primo-explore/search?tab=default_tab&amp;search_scope=EVERYTHING&amp;vid=01CRU&amp;lang=en_US&amp;offset=0&amp;query=any,contains,991004626279702656","Catalog Record")</f>
        <v>Catalog Record</v>
      </c>
      <c r="AT535" s="6" t="str">
        <f>HYPERLINK("http://www.worldcat.org/oclc/4343156","WorldCat Record")</f>
        <v>WorldCat Record</v>
      </c>
      <c r="AU535" s="3" t="s">
        <v>6426</v>
      </c>
      <c r="AV535" s="3" t="s">
        <v>6427</v>
      </c>
      <c r="AW535" s="3" t="s">
        <v>6428</v>
      </c>
      <c r="AX535" s="3" t="s">
        <v>6428</v>
      </c>
      <c r="AY535" s="3" t="s">
        <v>6429</v>
      </c>
      <c r="AZ535" s="3" t="s">
        <v>74</v>
      </c>
      <c r="BC535" s="3" t="s">
        <v>6430</v>
      </c>
      <c r="BD535" s="3" t="s">
        <v>6431</v>
      </c>
    </row>
    <row r="536" spans="1:56" ht="57.75" customHeight="1" x14ac:dyDescent="0.25">
      <c r="A536" s="7" t="s">
        <v>59</v>
      </c>
      <c r="B536" s="2" t="s">
        <v>6432</v>
      </c>
      <c r="C536" s="2" t="s">
        <v>6433</v>
      </c>
      <c r="D536" s="2" t="s">
        <v>6434</v>
      </c>
      <c r="F536" s="3" t="s">
        <v>59</v>
      </c>
      <c r="G536" s="3" t="s">
        <v>60</v>
      </c>
      <c r="H536" s="3" t="s">
        <v>59</v>
      </c>
      <c r="I536" s="3" t="s">
        <v>59</v>
      </c>
      <c r="J536" s="3" t="s">
        <v>61</v>
      </c>
      <c r="L536" s="2" t="s">
        <v>6435</v>
      </c>
      <c r="M536" s="3" t="s">
        <v>2244</v>
      </c>
      <c r="O536" s="3" t="s">
        <v>64</v>
      </c>
      <c r="P536" s="3" t="s">
        <v>4538</v>
      </c>
      <c r="Q536" s="2" t="s">
        <v>4539</v>
      </c>
      <c r="R536" s="3" t="s">
        <v>67</v>
      </c>
      <c r="S536" s="4">
        <v>21</v>
      </c>
      <c r="T536" s="4">
        <v>21</v>
      </c>
      <c r="U536" s="5" t="s">
        <v>4692</v>
      </c>
      <c r="V536" s="5" t="s">
        <v>4692</v>
      </c>
      <c r="W536" s="5" t="s">
        <v>6436</v>
      </c>
      <c r="X536" s="5" t="s">
        <v>6436</v>
      </c>
      <c r="Y536" s="4">
        <v>359</v>
      </c>
      <c r="Z536" s="4">
        <v>312</v>
      </c>
      <c r="AA536" s="4">
        <v>337</v>
      </c>
      <c r="AB536" s="4">
        <v>2</v>
      </c>
      <c r="AC536" s="4">
        <v>2</v>
      </c>
      <c r="AD536" s="4">
        <v>11</v>
      </c>
      <c r="AE536" s="4">
        <v>11</v>
      </c>
      <c r="AF536" s="4">
        <v>4</v>
      </c>
      <c r="AG536" s="4">
        <v>4</v>
      </c>
      <c r="AH536" s="4">
        <v>4</v>
      </c>
      <c r="AI536" s="4">
        <v>4</v>
      </c>
      <c r="AJ536" s="4">
        <v>5</v>
      </c>
      <c r="AK536" s="4">
        <v>5</v>
      </c>
      <c r="AL536" s="4">
        <v>1</v>
      </c>
      <c r="AM536" s="4">
        <v>1</v>
      </c>
      <c r="AN536" s="4">
        <v>0</v>
      </c>
      <c r="AO536" s="4">
        <v>0</v>
      </c>
      <c r="AP536" s="3" t="s">
        <v>59</v>
      </c>
      <c r="AQ536" s="3" t="s">
        <v>69</v>
      </c>
      <c r="AR536" s="6" t="str">
        <f>HYPERLINK("http://catalog.hathitrust.org/Record/002425841","HathiTrust Record")</f>
        <v>HathiTrust Record</v>
      </c>
      <c r="AS536" s="6" t="str">
        <f>HYPERLINK("https://creighton-primo.hosted.exlibrisgroup.com/primo-explore/search?tab=default_tab&amp;search_scope=EVERYTHING&amp;vid=01CRU&amp;lang=en_US&amp;offset=0&amp;query=any,contains,991000988269702656","Catalog Record")</f>
        <v>Catalog Record</v>
      </c>
      <c r="AT536" s="6" t="str">
        <f>HYPERLINK("http://www.worldcat.org/oclc/15084122","WorldCat Record")</f>
        <v>WorldCat Record</v>
      </c>
      <c r="AU536" s="3" t="s">
        <v>6437</v>
      </c>
      <c r="AV536" s="3" t="s">
        <v>6438</v>
      </c>
      <c r="AW536" s="3" t="s">
        <v>6439</v>
      </c>
      <c r="AX536" s="3" t="s">
        <v>6439</v>
      </c>
      <c r="AY536" s="3" t="s">
        <v>6440</v>
      </c>
      <c r="AZ536" s="3" t="s">
        <v>74</v>
      </c>
      <c r="BB536" s="3" t="s">
        <v>6441</v>
      </c>
      <c r="BC536" s="3" t="s">
        <v>6442</v>
      </c>
      <c r="BD536" s="3" t="s">
        <v>6443</v>
      </c>
    </row>
    <row r="537" spans="1:56" ht="57.75" customHeight="1" x14ac:dyDescent="0.25">
      <c r="A537" s="7" t="s">
        <v>59</v>
      </c>
      <c r="B537" s="2" t="s">
        <v>6444</v>
      </c>
      <c r="C537" s="2" t="s">
        <v>6445</v>
      </c>
      <c r="D537" s="2" t="s">
        <v>6446</v>
      </c>
      <c r="F537" s="3" t="s">
        <v>59</v>
      </c>
      <c r="G537" s="3" t="s">
        <v>60</v>
      </c>
      <c r="H537" s="3" t="s">
        <v>59</v>
      </c>
      <c r="I537" s="3" t="s">
        <v>59</v>
      </c>
      <c r="J537" s="3" t="s">
        <v>61</v>
      </c>
      <c r="K537" s="2" t="s">
        <v>6447</v>
      </c>
      <c r="L537" s="2" t="s">
        <v>6448</v>
      </c>
      <c r="M537" s="3" t="s">
        <v>864</v>
      </c>
      <c r="O537" s="3" t="s">
        <v>64</v>
      </c>
      <c r="P537" s="3" t="s">
        <v>932</v>
      </c>
      <c r="Q537" s="2" t="s">
        <v>6449</v>
      </c>
      <c r="R537" s="3" t="s">
        <v>67</v>
      </c>
      <c r="S537" s="4">
        <v>4</v>
      </c>
      <c r="T537" s="4">
        <v>4</v>
      </c>
      <c r="U537" s="5" t="s">
        <v>6450</v>
      </c>
      <c r="V537" s="5" t="s">
        <v>6450</v>
      </c>
      <c r="W537" s="5" t="s">
        <v>2452</v>
      </c>
      <c r="X537" s="5" t="s">
        <v>2452</v>
      </c>
      <c r="Y537" s="4">
        <v>97</v>
      </c>
      <c r="Z537" s="4">
        <v>96</v>
      </c>
      <c r="AA537" s="4">
        <v>98</v>
      </c>
      <c r="AB537" s="4">
        <v>1</v>
      </c>
      <c r="AC537" s="4">
        <v>1</v>
      </c>
      <c r="AD537" s="4">
        <v>6</v>
      </c>
      <c r="AE537" s="4">
        <v>6</v>
      </c>
      <c r="AF537" s="4">
        <v>1</v>
      </c>
      <c r="AG537" s="4">
        <v>1</v>
      </c>
      <c r="AH537" s="4">
        <v>1</v>
      </c>
      <c r="AI537" s="4">
        <v>1</v>
      </c>
      <c r="AJ537" s="4">
        <v>4</v>
      </c>
      <c r="AK537" s="4">
        <v>4</v>
      </c>
      <c r="AL537" s="4">
        <v>0</v>
      </c>
      <c r="AM537" s="4">
        <v>0</v>
      </c>
      <c r="AN537" s="4">
        <v>0</v>
      </c>
      <c r="AO537" s="4">
        <v>0</v>
      </c>
      <c r="AP537" s="3" t="s">
        <v>59</v>
      </c>
      <c r="AQ537" s="3" t="s">
        <v>69</v>
      </c>
      <c r="AR537" s="6" t="str">
        <f>HYPERLINK("http://catalog.hathitrust.org/Record/000939164","HathiTrust Record")</f>
        <v>HathiTrust Record</v>
      </c>
      <c r="AS537" s="6" t="str">
        <f>HYPERLINK("https://creighton-primo.hosted.exlibrisgroup.com/primo-explore/search?tab=default_tab&amp;search_scope=EVERYTHING&amp;vid=01CRU&amp;lang=en_US&amp;offset=0&amp;query=any,contains,991002709239702656","Catalog Record")</f>
        <v>Catalog Record</v>
      </c>
      <c r="AT537" s="6" t="str">
        <f>HYPERLINK("http://www.worldcat.org/oclc/408514","WorldCat Record")</f>
        <v>WorldCat Record</v>
      </c>
      <c r="AU537" s="3" t="s">
        <v>6451</v>
      </c>
      <c r="AV537" s="3" t="s">
        <v>6452</v>
      </c>
      <c r="AW537" s="3" t="s">
        <v>6453</v>
      </c>
      <c r="AX537" s="3" t="s">
        <v>6453</v>
      </c>
      <c r="AY537" s="3" t="s">
        <v>6454</v>
      </c>
      <c r="AZ537" s="3" t="s">
        <v>74</v>
      </c>
      <c r="BC537" s="3" t="s">
        <v>6455</v>
      </c>
      <c r="BD537" s="3" t="s">
        <v>6456</v>
      </c>
    </row>
    <row r="538" spans="1:56" ht="57.75" customHeight="1" x14ac:dyDescent="0.25">
      <c r="A538" s="7" t="s">
        <v>59</v>
      </c>
      <c r="B538" s="2" t="s">
        <v>6457</v>
      </c>
      <c r="C538" s="2" t="s">
        <v>6458</v>
      </c>
      <c r="D538" s="2" t="s">
        <v>6459</v>
      </c>
      <c r="F538" s="3" t="s">
        <v>59</v>
      </c>
      <c r="G538" s="3" t="s">
        <v>60</v>
      </c>
      <c r="H538" s="3" t="s">
        <v>59</v>
      </c>
      <c r="I538" s="3" t="s">
        <v>59</v>
      </c>
      <c r="J538" s="3" t="s">
        <v>61</v>
      </c>
      <c r="K538" s="2" t="s">
        <v>4912</v>
      </c>
      <c r="L538" s="2" t="s">
        <v>6460</v>
      </c>
      <c r="M538" s="3" t="s">
        <v>6461</v>
      </c>
      <c r="O538" s="3" t="s">
        <v>64</v>
      </c>
      <c r="P538" s="3" t="s">
        <v>467</v>
      </c>
      <c r="R538" s="3" t="s">
        <v>67</v>
      </c>
      <c r="S538" s="4">
        <v>1</v>
      </c>
      <c r="T538" s="4">
        <v>1</v>
      </c>
      <c r="U538" s="5" t="s">
        <v>4692</v>
      </c>
      <c r="V538" s="5" t="s">
        <v>4692</v>
      </c>
      <c r="W538" s="5" t="s">
        <v>2452</v>
      </c>
      <c r="X538" s="5" t="s">
        <v>2452</v>
      </c>
      <c r="Y538" s="4">
        <v>298</v>
      </c>
      <c r="Z538" s="4">
        <v>273</v>
      </c>
      <c r="AA538" s="4">
        <v>529</v>
      </c>
      <c r="AB538" s="4">
        <v>3</v>
      </c>
      <c r="AC538" s="4">
        <v>6</v>
      </c>
      <c r="AD538" s="4">
        <v>15</v>
      </c>
      <c r="AE538" s="4">
        <v>30</v>
      </c>
      <c r="AF538" s="4">
        <v>5</v>
      </c>
      <c r="AG538" s="4">
        <v>10</v>
      </c>
      <c r="AH538" s="4">
        <v>2</v>
      </c>
      <c r="AI538" s="4">
        <v>6</v>
      </c>
      <c r="AJ538" s="4">
        <v>10</v>
      </c>
      <c r="AK538" s="4">
        <v>18</v>
      </c>
      <c r="AL538" s="4">
        <v>2</v>
      </c>
      <c r="AM538" s="4">
        <v>5</v>
      </c>
      <c r="AN538" s="4">
        <v>0</v>
      </c>
      <c r="AO538" s="4">
        <v>0</v>
      </c>
      <c r="AP538" s="3" t="s">
        <v>69</v>
      </c>
      <c r="AQ538" s="3" t="s">
        <v>59</v>
      </c>
      <c r="AR538" s="6" t="str">
        <f>HYPERLINK("http://catalog.hathitrust.org/Record/001500529","HathiTrust Record")</f>
        <v>HathiTrust Record</v>
      </c>
      <c r="AS538" s="6" t="str">
        <f>HYPERLINK("https://creighton-primo.hosted.exlibrisgroup.com/primo-explore/search?tab=default_tab&amp;search_scope=EVERYTHING&amp;vid=01CRU&amp;lang=en_US&amp;offset=0&amp;query=any,contains,991003533549702656","Catalog Record")</f>
        <v>Catalog Record</v>
      </c>
      <c r="AT538" s="6" t="str">
        <f>HYPERLINK("http://www.worldcat.org/oclc/1096328","WorldCat Record")</f>
        <v>WorldCat Record</v>
      </c>
      <c r="AU538" s="3" t="s">
        <v>6462</v>
      </c>
      <c r="AV538" s="3" t="s">
        <v>6463</v>
      </c>
      <c r="AW538" s="3" t="s">
        <v>6464</v>
      </c>
      <c r="AX538" s="3" t="s">
        <v>6464</v>
      </c>
      <c r="AY538" s="3" t="s">
        <v>6465</v>
      </c>
      <c r="AZ538" s="3" t="s">
        <v>74</v>
      </c>
      <c r="BC538" s="3" t="s">
        <v>6466</v>
      </c>
      <c r="BD538" s="3" t="s">
        <v>6467</v>
      </c>
    </row>
    <row r="539" spans="1:56" ht="57.75" customHeight="1" x14ac:dyDescent="0.25">
      <c r="A539" s="7" t="s">
        <v>59</v>
      </c>
      <c r="B539" s="2" t="s">
        <v>6468</v>
      </c>
      <c r="C539" s="2" t="s">
        <v>6469</v>
      </c>
      <c r="D539" s="2" t="s">
        <v>6470</v>
      </c>
      <c r="F539" s="3" t="s">
        <v>59</v>
      </c>
      <c r="G539" s="3" t="s">
        <v>60</v>
      </c>
      <c r="H539" s="3" t="s">
        <v>59</v>
      </c>
      <c r="I539" s="3" t="s">
        <v>59</v>
      </c>
      <c r="J539" s="3" t="s">
        <v>61</v>
      </c>
      <c r="K539" s="2" t="s">
        <v>6471</v>
      </c>
      <c r="L539" s="2" t="s">
        <v>6472</v>
      </c>
      <c r="M539" s="3" t="s">
        <v>481</v>
      </c>
      <c r="O539" s="3" t="s">
        <v>64</v>
      </c>
      <c r="P539" s="3" t="s">
        <v>467</v>
      </c>
      <c r="R539" s="3" t="s">
        <v>67</v>
      </c>
      <c r="S539" s="4">
        <v>3</v>
      </c>
      <c r="T539" s="4">
        <v>3</v>
      </c>
      <c r="U539" s="5" t="s">
        <v>2113</v>
      </c>
      <c r="V539" s="5" t="s">
        <v>2113</v>
      </c>
      <c r="W539" s="5" t="s">
        <v>6473</v>
      </c>
      <c r="X539" s="5" t="s">
        <v>6473</v>
      </c>
      <c r="Y539" s="4">
        <v>58</v>
      </c>
      <c r="Z539" s="4">
        <v>58</v>
      </c>
      <c r="AA539" s="4">
        <v>1548</v>
      </c>
      <c r="AB539" s="4">
        <v>2</v>
      </c>
      <c r="AC539" s="4">
        <v>9</v>
      </c>
      <c r="AD539" s="4">
        <v>3</v>
      </c>
      <c r="AE539" s="4">
        <v>46</v>
      </c>
      <c r="AF539" s="4">
        <v>1</v>
      </c>
      <c r="AG539" s="4">
        <v>22</v>
      </c>
      <c r="AH539" s="4">
        <v>0</v>
      </c>
      <c r="AI539" s="4">
        <v>10</v>
      </c>
      <c r="AJ539" s="4">
        <v>1</v>
      </c>
      <c r="AK539" s="4">
        <v>20</v>
      </c>
      <c r="AL539" s="4">
        <v>1</v>
      </c>
      <c r="AM539" s="4">
        <v>5</v>
      </c>
      <c r="AN539" s="4">
        <v>0</v>
      </c>
      <c r="AO539" s="4">
        <v>0</v>
      </c>
      <c r="AP539" s="3" t="s">
        <v>59</v>
      </c>
      <c r="AQ539" s="3" t="s">
        <v>59</v>
      </c>
      <c r="AS539" s="6" t="str">
        <f>HYPERLINK("https://creighton-primo.hosted.exlibrisgroup.com/primo-explore/search?tab=default_tab&amp;search_scope=EVERYTHING&amp;vid=01CRU&amp;lang=en_US&amp;offset=0&amp;query=any,contains,991004962549702656","Catalog Record")</f>
        <v>Catalog Record</v>
      </c>
      <c r="AT539" s="6" t="str">
        <f>HYPERLINK("http://www.worldcat.org/oclc/6318188","WorldCat Record")</f>
        <v>WorldCat Record</v>
      </c>
      <c r="AU539" s="3" t="s">
        <v>6474</v>
      </c>
      <c r="AV539" s="3" t="s">
        <v>6475</v>
      </c>
      <c r="AW539" s="3" t="s">
        <v>6476</v>
      </c>
      <c r="AX539" s="3" t="s">
        <v>6476</v>
      </c>
      <c r="AY539" s="3" t="s">
        <v>6477</v>
      </c>
      <c r="AZ539" s="3" t="s">
        <v>74</v>
      </c>
      <c r="BC539" s="3" t="s">
        <v>6478</v>
      </c>
      <c r="BD539" s="3" t="s">
        <v>6479</v>
      </c>
    </row>
    <row r="540" spans="1:56" ht="57.75" customHeight="1" x14ac:dyDescent="0.25">
      <c r="A540" s="7" t="s">
        <v>59</v>
      </c>
      <c r="B540" s="2" t="s">
        <v>6480</v>
      </c>
      <c r="C540" s="2" t="s">
        <v>6481</v>
      </c>
      <c r="D540" s="2" t="s">
        <v>6482</v>
      </c>
      <c r="F540" s="3" t="s">
        <v>59</v>
      </c>
      <c r="G540" s="3" t="s">
        <v>6483</v>
      </c>
      <c r="H540" s="3" t="s">
        <v>59</v>
      </c>
      <c r="I540" s="3" t="s">
        <v>59</v>
      </c>
      <c r="J540" s="3" t="s">
        <v>61</v>
      </c>
      <c r="K540" s="2" t="s">
        <v>6484</v>
      </c>
      <c r="L540" s="2" t="s">
        <v>6485</v>
      </c>
      <c r="M540" s="3" t="s">
        <v>420</v>
      </c>
      <c r="O540" s="3" t="s">
        <v>64</v>
      </c>
      <c r="P540" s="3" t="s">
        <v>630</v>
      </c>
      <c r="R540" s="3" t="s">
        <v>67</v>
      </c>
      <c r="S540" s="4">
        <v>31</v>
      </c>
      <c r="T540" s="4">
        <v>31</v>
      </c>
      <c r="U540" s="5" t="s">
        <v>6486</v>
      </c>
      <c r="V540" s="5" t="s">
        <v>6486</v>
      </c>
      <c r="W540" s="5" t="s">
        <v>6487</v>
      </c>
      <c r="X540" s="5" t="s">
        <v>6487</v>
      </c>
      <c r="Y540" s="4">
        <v>973</v>
      </c>
      <c r="Z540" s="4">
        <v>807</v>
      </c>
      <c r="AA540" s="4">
        <v>810</v>
      </c>
      <c r="AB540" s="4">
        <v>8</v>
      </c>
      <c r="AC540" s="4">
        <v>8</v>
      </c>
      <c r="AD540" s="4">
        <v>29</v>
      </c>
      <c r="AE540" s="4">
        <v>29</v>
      </c>
      <c r="AF540" s="4">
        <v>10</v>
      </c>
      <c r="AG540" s="4">
        <v>10</v>
      </c>
      <c r="AH540" s="4">
        <v>6</v>
      </c>
      <c r="AI540" s="4">
        <v>6</v>
      </c>
      <c r="AJ540" s="4">
        <v>14</v>
      </c>
      <c r="AK540" s="4">
        <v>14</v>
      </c>
      <c r="AL540" s="4">
        <v>6</v>
      </c>
      <c r="AM540" s="4">
        <v>6</v>
      </c>
      <c r="AN540" s="4">
        <v>0</v>
      </c>
      <c r="AO540" s="4">
        <v>0</v>
      </c>
      <c r="AP540" s="3" t="s">
        <v>59</v>
      </c>
      <c r="AQ540" s="3" t="s">
        <v>69</v>
      </c>
      <c r="AR540" s="6" t="str">
        <f>HYPERLINK("http://catalog.hathitrust.org/Record/000230495","HathiTrust Record")</f>
        <v>HathiTrust Record</v>
      </c>
      <c r="AS540" s="6" t="str">
        <f>HYPERLINK("https://creighton-primo.hosted.exlibrisgroup.com/primo-explore/search?tab=default_tab&amp;search_scope=EVERYTHING&amp;vid=01CRU&amp;lang=en_US&amp;offset=0&amp;query=any,contains,991003467329702656","Catalog Record")</f>
        <v>Catalog Record</v>
      </c>
      <c r="AT540" s="6" t="str">
        <f>HYPERLINK("http://www.worldcat.org/oclc/1009131","WorldCat Record")</f>
        <v>WorldCat Record</v>
      </c>
      <c r="AU540" s="3" t="s">
        <v>6488</v>
      </c>
      <c r="AV540" s="3" t="s">
        <v>6489</v>
      </c>
      <c r="AW540" s="3" t="s">
        <v>6490</v>
      </c>
      <c r="AX540" s="3" t="s">
        <v>6490</v>
      </c>
      <c r="AY540" s="3" t="s">
        <v>6491</v>
      </c>
      <c r="AZ540" s="3" t="s">
        <v>74</v>
      </c>
      <c r="BB540" s="3" t="s">
        <v>6492</v>
      </c>
      <c r="BC540" s="3" t="s">
        <v>6493</v>
      </c>
      <c r="BD540" s="3" t="s">
        <v>6494</v>
      </c>
    </row>
    <row r="541" spans="1:56" ht="57.75" customHeight="1" x14ac:dyDescent="0.25">
      <c r="A541" s="7" t="s">
        <v>59</v>
      </c>
      <c r="B541" s="2" t="s">
        <v>6495</v>
      </c>
      <c r="C541" s="2" t="s">
        <v>6496</v>
      </c>
      <c r="D541" s="2" t="s">
        <v>6497</v>
      </c>
      <c r="F541" s="3" t="s">
        <v>59</v>
      </c>
      <c r="G541" s="3" t="s">
        <v>60</v>
      </c>
      <c r="H541" s="3" t="s">
        <v>59</v>
      </c>
      <c r="I541" s="3" t="s">
        <v>59</v>
      </c>
      <c r="J541" s="3" t="s">
        <v>61</v>
      </c>
      <c r="K541" s="2" t="s">
        <v>6498</v>
      </c>
      <c r="L541" s="2" t="s">
        <v>6499</v>
      </c>
      <c r="M541" s="3" t="s">
        <v>763</v>
      </c>
      <c r="O541" s="3" t="s">
        <v>64</v>
      </c>
      <c r="P541" s="3" t="s">
        <v>405</v>
      </c>
      <c r="Q541" s="2" t="s">
        <v>6500</v>
      </c>
      <c r="R541" s="3" t="s">
        <v>67</v>
      </c>
      <c r="S541" s="4">
        <v>5</v>
      </c>
      <c r="T541" s="4">
        <v>5</v>
      </c>
      <c r="U541" s="5" t="s">
        <v>739</v>
      </c>
      <c r="V541" s="5" t="s">
        <v>739</v>
      </c>
      <c r="W541" s="5" t="s">
        <v>4507</v>
      </c>
      <c r="X541" s="5" t="s">
        <v>4507</v>
      </c>
      <c r="Y541" s="4">
        <v>201</v>
      </c>
      <c r="Z541" s="4">
        <v>116</v>
      </c>
      <c r="AA541" s="4">
        <v>124</v>
      </c>
      <c r="AB541" s="4">
        <v>1</v>
      </c>
      <c r="AC541" s="4">
        <v>1</v>
      </c>
      <c r="AD541" s="4">
        <v>2</v>
      </c>
      <c r="AE541" s="4">
        <v>2</v>
      </c>
      <c r="AF541" s="4">
        <v>1</v>
      </c>
      <c r="AG541" s="4">
        <v>1</v>
      </c>
      <c r="AH541" s="4">
        <v>1</v>
      </c>
      <c r="AI541" s="4">
        <v>1</v>
      </c>
      <c r="AJ541" s="4">
        <v>1</v>
      </c>
      <c r="AK541" s="4">
        <v>1</v>
      </c>
      <c r="AL541" s="4">
        <v>0</v>
      </c>
      <c r="AM541" s="4">
        <v>0</v>
      </c>
      <c r="AN541" s="4">
        <v>0</v>
      </c>
      <c r="AO541" s="4">
        <v>0</v>
      </c>
      <c r="AP541" s="3" t="s">
        <v>59</v>
      </c>
      <c r="AQ541" s="3" t="s">
        <v>59</v>
      </c>
      <c r="AS541" s="6" t="str">
        <f>HYPERLINK("https://creighton-primo.hosted.exlibrisgroup.com/primo-explore/search?tab=default_tab&amp;search_scope=EVERYTHING&amp;vid=01CRU&amp;lang=en_US&amp;offset=0&amp;query=any,contains,991000836829702656","Catalog Record")</f>
        <v>Catalog Record</v>
      </c>
      <c r="AT541" s="6" t="str">
        <f>HYPERLINK("http://www.worldcat.org/oclc/13498017","WorldCat Record")</f>
        <v>WorldCat Record</v>
      </c>
      <c r="AU541" s="3" t="s">
        <v>6501</v>
      </c>
      <c r="AV541" s="3" t="s">
        <v>6502</v>
      </c>
      <c r="AW541" s="3" t="s">
        <v>6503</v>
      </c>
      <c r="AX541" s="3" t="s">
        <v>6503</v>
      </c>
      <c r="AY541" s="3" t="s">
        <v>6504</v>
      </c>
      <c r="AZ541" s="3" t="s">
        <v>74</v>
      </c>
      <c r="BB541" s="3" t="s">
        <v>6505</v>
      </c>
      <c r="BC541" s="3" t="s">
        <v>6506</v>
      </c>
      <c r="BD541" s="3" t="s">
        <v>6507</v>
      </c>
    </row>
    <row r="542" spans="1:56" ht="57.75" customHeight="1" x14ac:dyDescent="0.25">
      <c r="A542" s="7" t="s">
        <v>59</v>
      </c>
      <c r="B542" s="2" t="s">
        <v>6508</v>
      </c>
      <c r="C542" s="2" t="s">
        <v>6509</v>
      </c>
      <c r="D542" s="2" t="s">
        <v>6510</v>
      </c>
      <c r="F542" s="3" t="s">
        <v>59</v>
      </c>
      <c r="G542" s="3" t="s">
        <v>60</v>
      </c>
      <c r="H542" s="3" t="s">
        <v>59</v>
      </c>
      <c r="I542" s="3" t="s">
        <v>59</v>
      </c>
      <c r="J542" s="3" t="s">
        <v>61</v>
      </c>
      <c r="K542" s="2" t="s">
        <v>6511</v>
      </c>
      <c r="L542" s="2" t="s">
        <v>6512</v>
      </c>
      <c r="M542" s="3" t="s">
        <v>1182</v>
      </c>
      <c r="O542" s="3" t="s">
        <v>64</v>
      </c>
      <c r="P542" s="3" t="s">
        <v>467</v>
      </c>
      <c r="R542" s="3" t="s">
        <v>67</v>
      </c>
      <c r="S542" s="4">
        <v>19</v>
      </c>
      <c r="T542" s="4">
        <v>19</v>
      </c>
      <c r="U542" s="5" t="s">
        <v>513</v>
      </c>
      <c r="V542" s="5" t="s">
        <v>513</v>
      </c>
      <c r="W542" s="5" t="s">
        <v>6513</v>
      </c>
      <c r="X542" s="5" t="s">
        <v>6513</v>
      </c>
      <c r="Y542" s="4">
        <v>382</v>
      </c>
      <c r="Z542" s="4">
        <v>300</v>
      </c>
      <c r="AA542" s="4">
        <v>560</v>
      </c>
      <c r="AB542" s="4">
        <v>2</v>
      </c>
      <c r="AC542" s="4">
        <v>3</v>
      </c>
      <c r="AD542" s="4">
        <v>11</v>
      </c>
      <c r="AE542" s="4">
        <v>15</v>
      </c>
      <c r="AF542" s="4">
        <v>3</v>
      </c>
      <c r="AG542" s="4">
        <v>6</v>
      </c>
      <c r="AH542" s="4">
        <v>3</v>
      </c>
      <c r="AI542" s="4">
        <v>4</v>
      </c>
      <c r="AJ542" s="4">
        <v>8</v>
      </c>
      <c r="AK542" s="4">
        <v>10</v>
      </c>
      <c r="AL542" s="4">
        <v>1</v>
      </c>
      <c r="AM542" s="4">
        <v>1</v>
      </c>
      <c r="AN542" s="4">
        <v>0</v>
      </c>
      <c r="AO542" s="4">
        <v>0</v>
      </c>
      <c r="AP542" s="3" t="s">
        <v>59</v>
      </c>
      <c r="AQ542" s="3" t="s">
        <v>59</v>
      </c>
      <c r="AS542" s="6" t="str">
        <f>HYPERLINK("https://creighton-primo.hosted.exlibrisgroup.com/primo-explore/search?tab=default_tab&amp;search_scope=EVERYTHING&amp;vid=01CRU&amp;lang=en_US&amp;offset=0&amp;query=any,contains,991001644279702656","Catalog Record")</f>
        <v>Catalog Record</v>
      </c>
      <c r="AT542" s="6" t="str">
        <f>HYPERLINK("http://www.worldcat.org/oclc/21040534","WorldCat Record")</f>
        <v>WorldCat Record</v>
      </c>
      <c r="AU542" s="3" t="s">
        <v>6514</v>
      </c>
      <c r="AV542" s="3" t="s">
        <v>6515</v>
      </c>
      <c r="AW542" s="3" t="s">
        <v>6516</v>
      </c>
      <c r="AX542" s="3" t="s">
        <v>6516</v>
      </c>
      <c r="AY542" s="3" t="s">
        <v>6517</v>
      </c>
      <c r="AZ542" s="3" t="s">
        <v>74</v>
      </c>
      <c r="BB542" s="3" t="s">
        <v>6518</v>
      </c>
      <c r="BC542" s="3" t="s">
        <v>6519</v>
      </c>
      <c r="BD542" s="3" t="s">
        <v>6520</v>
      </c>
    </row>
    <row r="543" spans="1:56" ht="57.75" customHeight="1" x14ac:dyDescent="0.25">
      <c r="A543" s="7" t="s">
        <v>59</v>
      </c>
      <c r="B543" s="2" t="s">
        <v>6521</v>
      </c>
      <c r="C543" s="2" t="s">
        <v>6522</v>
      </c>
      <c r="D543" s="2" t="s">
        <v>6523</v>
      </c>
      <c r="F543" s="3" t="s">
        <v>59</v>
      </c>
      <c r="G543" s="3" t="s">
        <v>60</v>
      </c>
      <c r="H543" s="3" t="s">
        <v>59</v>
      </c>
      <c r="I543" s="3" t="s">
        <v>59</v>
      </c>
      <c r="J543" s="3" t="s">
        <v>61</v>
      </c>
      <c r="L543" s="2" t="s">
        <v>6524</v>
      </c>
      <c r="M543" s="3" t="s">
        <v>495</v>
      </c>
      <c r="O543" s="3" t="s">
        <v>64</v>
      </c>
      <c r="P543" s="3" t="s">
        <v>4538</v>
      </c>
      <c r="Q543" s="2" t="s">
        <v>4539</v>
      </c>
      <c r="R543" s="3" t="s">
        <v>67</v>
      </c>
      <c r="S543" s="4">
        <v>29</v>
      </c>
      <c r="T543" s="4">
        <v>29</v>
      </c>
      <c r="U543" s="5" t="s">
        <v>6525</v>
      </c>
      <c r="V543" s="5" t="s">
        <v>6525</v>
      </c>
      <c r="W543" s="5" t="s">
        <v>6526</v>
      </c>
      <c r="X543" s="5" t="s">
        <v>6526</v>
      </c>
      <c r="Y543" s="4">
        <v>217</v>
      </c>
      <c r="Z543" s="4">
        <v>183</v>
      </c>
      <c r="AA543" s="4">
        <v>196</v>
      </c>
      <c r="AB543" s="4">
        <v>1</v>
      </c>
      <c r="AC543" s="4">
        <v>1</v>
      </c>
      <c r="AD543" s="4">
        <v>3</v>
      </c>
      <c r="AE543" s="4">
        <v>3</v>
      </c>
      <c r="AF543" s="4">
        <v>1</v>
      </c>
      <c r="AG543" s="4">
        <v>1</v>
      </c>
      <c r="AH543" s="4">
        <v>1</v>
      </c>
      <c r="AI543" s="4">
        <v>1</v>
      </c>
      <c r="AJ543" s="4">
        <v>3</v>
      </c>
      <c r="AK543" s="4">
        <v>3</v>
      </c>
      <c r="AL543" s="4">
        <v>0</v>
      </c>
      <c r="AM543" s="4">
        <v>0</v>
      </c>
      <c r="AN543" s="4">
        <v>0</v>
      </c>
      <c r="AO543" s="4">
        <v>0</v>
      </c>
      <c r="AP543" s="3" t="s">
        <v>59</v>
      </c>
      <c r="AQ543" s="3" t="s">
        <v>69</v>
      </c>
      <c r="AR543" s="6" t="str">
        <f>HYPERLINK("http://catalog.hathitrust.org/Record/000434585","HathiTrust Record")</f>
        <v>HathiTrust Record</v>
      </c>
      <c r="AS543" s="6" t="str">
        <f>HYPERLINK("https://creighton-primo.hosted.exlibrisgroup.com/primo-explore/search?tab=default_tab&amp;search_scope=EVERYTHING&amp;vid=01CRU&amp;lang=en_US&amp;offset=0&amp;query=any,contains,991000663729702656","Catalog Record")</f>
        <v>Catalog Record</v>
      </c>
      <c r="AT543" s="6" t="str">
        <f>HYPERLINK("http://www.worldcat.org/oclc/12262585","WorldCat Record")</f>
        <v>WorldCat Record</v>
      </c>
      <c r="AU543" s="3" t="s">
        <v>6527</v>
      </c>
      <c r="AV543" s="3" t="s">
        <v>6528</v>
      </c>
      <c r="AW543" s="3" t="s">
        <v>6529</v>
      </c>
      <c r="AX543" s="3" t="s">
        <v>6529</v>
      </c>
      <c r="AY543" s="3" t="s">
        <v>6530</v>
      </c>
      <c r="AZ543" s="3" t="s">
        <v>74</v>
      </c>
      <c r="BB543" s="3" t="s">
        <v>6531</v>
      </c>
      <c r="BC543" s="3" t="s">
        <v>6532</v>
      </c>
      <c r="BD543" s="3" t="s">
        <v>6533</v>
      </c>
    </row>
    <row r="544" spans="1:56" ht="57.75" customHeight="1" x14ac:dyDescent="0.25">
      <c r="A544" s="7" t="s">
        <v>59</v>
      </c>
      <c r="B544" s="2" t="s">
        <v>6534</v>
      </c>
      <c r="C544" s="2" t="s">
        <v>6535</v>
      </c>
      <c r="D544" s="2" t="s">
        <v>6536</v>
      </c>
      <c r="F544" s="3" t="s">
        <v>59</v>
      </c>
      <c r="G544" s="3" t="s">
        <v>60</v>
      </c>
      <c r="H544" s="3" t="s">
        <v>59</v>
      </c>
      <c r="I544" s="3" t="s">
        <v>59</v>
      </c>
      <c r="J544" s="3" t="s">
        <v>61</v>
      </c>
      <c r="K544" s="2" t="s">
        <v>6537</v>
      </c>
      <c r="L544" s="2" t="s">
        <v>6538</v>
      </c>
      <c r="M544" s="3" t="s">
        <v>6157</v>
      </c>
      <c r="O544" s="3" t="s">
        <v>64</v>
      </c>
      <c r="P544" s="3" t="s">
        <v>6539</v>
      </c>
      <c r="Q544" s="2" t="s">
        <v>6540</v>
      </c>
      <c r="R544" s="3" t="s">
        <v>67</v>
      </c>
      <c r="S544" s="4">
        <v>22</v>
      </c>
      <c r="T544" s="4">
        <v>22</v>
      </c>
      <c r="U544" s="5" t="s">
        <v>6541</v>
      </c>
      <c r="V544" s="5" t="s">
        <v>6541</v>
      </c>
      <c r="W544" s="5" t="s">
        <v>6542</v>
      </c>
      <c r="X544" s="5" t="s">
        <v>6542</v>
      </c>
      <c r="Y544" s="4">
        <v>870</v>
      </c>
      <c r="Z544" s="4">
        <v>793</v>
      </c>
      <c r="AA544" s="4">
        <v>867</v>
      </c>
      <c r="AB544" s="4">
        <v>3</v>
      </c>
      <c r="AC544" s="4">
        <v>4</v>
      </c>
      <c r="AD544" s="4">
        <v>19</v>
      </c>
      <c r="AE544" s="4">
        <v>22</v>
      </c>
      <c r="AF544" s="4">
        <v>10</v>
      </c>
      <c r="AG544" s="4">
        <v>10</v>
      </c>
      <c r="AH544" s="4">
        <v>2</v>
      </c>
      <c r="AI544" s="4">
        <v>3</v>
      </c>
      <c r="AJ544" s="4">
        <v>10</v>
      </c>
      <c r="AK544" s="4">
        <v>12</v>
      </c>
      <c r="AL544" s="4">
        <v>1</v>
      </c>
      <c r="AM544" s="4">
        <v>2</v>
      </c>
      <c r="AN544" s="4">
        <v>0</v>
      </c>
      <c r="AO544" s="4">
        <v>0</v>
      </c>
      <c r="AP544" s="3" t="s">
        <v>59</v>
      </c>
      <c r="AQ544" s="3" t="s">
        <v>69</v>
      </c>
      <c r="AR544" s="6" t="str">
        <f>HYPERLINK("http://catalog.hathitrust.org/Record/001500576","HathiTrust Record")</f>
        <v>HathiTrust Record</v>
      </c>
      <c r="AS544" s="6" t="str">
        <f>HYPERLINK("https://creighton-primo.hosted.exlibrisgroup.com/primo-explore/search?tab=default_tab&amp;search_scope=EVERYTHING&amp;vid=01CRU&amp;lang=en_US&amp;offset=0&amp;query=any,contains,991001408399702656","Catalog Record")</f>
        <v>Catalog Record</v>
      </c>
      <c r="AT544" s="6" t="str">
        <f>HYPERLINK("http://www.worldcat.org/oclc/230525","WorldCat Record")</f>
        <v>WorldCat Record</v>
      </c>
      <c r="AU544" s="3" t="s">
        <v>6543</v>
      </c>
      <c r="AV544" s="3" t="s">
        <v>6544</v>
      </c>
      <c r="AW544" s="3" t="s">
        <v>6545</v>
      </c>
      <c r="AX544" s="3" t="s">
        <v>6545</v>
      </c>
      <c r="AY544" s="3" t="s">
        <v>6546</v>
      </c>
      <c r="AZ544" s="3" t="s">
        <v>74</v>
      </c>
      <c r="BC544" s="3" t="s">
        <v>6547</v>
      </c>
      <c r="BD544" s="3" t="s">
        <v>6548</v>
      </c>
    </row>
    <row r="545" spans="1:56" ht="57.75" customHeight="1" x14ac:dyDescent="0.25">
      <c r="A545" s="7" t="s">
        <v>59</v>
      </c>
      <c r="B545" s="2" t="s">
        <v>6549</v>
      </c>
      <c r="C545" s="2" t="s">
        <v>6550</v>
      </c>
      <c r="D545" s="2" t="s">
        <v>6551</v>
      </c>
      <c r="F545" s="3" t="s">
        <v>59</v>
      </c>
      <c r="G545" s="3" t="s">
        <v>60</v>
      </c>
      <c r="H545" s="3" t="s">
        <v>59</v>
      </c>
      <c r="I545" s="3" t="s">
        <v>59</v>
      </c>
      <c r="J545" s="3" t="s">
        <v>61</v>
      </c>
      <c r="K545" s="2" t="s">
        <v>6552</v>
      </c>
      <c r="L545" s="2" t="s">
        <v>6553</v>
      </c>
      <c r="M545" s="3" t="s">
        <v>297</v>
      </c>
      <c r="O545" s="3" t="s">
        <v>64</v>
      </c>
      <c r="P545" s="3" t="s">
        <v>467</v>
      </c>
      <c r="R545" s="3" t="s">
        <v>67</v>
      </c>
      <c r="S545" s="4">
        <v>16</v>
      </c>
      <c r="T545" s="4">
        <v>16</v>
      </c>
      <c r="U545" s="5" t="s">
        <v>6554</v>
      </c>
      <c r="V545" s="5" t="s">
        <v>6554</v>
      </c>
      <c r="W545" s="5" t="s">
        <v>6555</v>
      </c>
      <c r="X545" s="5" t="s">
        <v>6555</v>
      </c>
      <c r="Y545" s="4">
        <v>1236</v>
      </c>
      <c r="Z545" s="4">
        <v>1129</v>
      </c>
      <c r="AA545" s="4">
        <v>1222</v>
      </c>
      <c r="AB545" s="4">
        <v>6</v>
      </c>
      <c r="AC545" s="4">
        <v>8</v>
      </c>
      <c r="AD545" s="4">
        <v>30</v>
      </c>
      <c r="AE545" s="4">
        <v>32</v>
      </c>
      <c r="AF545" s="4">
        <v>14</v>
      </c>
      <c r="AG545" s="4">
        <v>15</v>
      </c>
      <c r="AH545" s="4">
        <v>7</v>
      </c>
      <c r="AI545" s="4">
        <v>7</v>
      </c>
      <c r="AJ545" s="4">
        <v>13</v>
      </c>
      <c r="AK545" s="4">
        <v>13</v>
      </c>
      <c r="AL545" s="4">
        <v>3</v>
      </c>
      <c r="AM545" s="4">
        <v>4</v>
      </c>
      <c r="AN545" s="4">
        <v>0</v>
      </c>
      <c r="AO545" s="4">
        <v>0</v>
      </c>
      <c r="AP545" s="3" t="s">
        <v>59</v>
      </c>
      <c r="AQ545" s="3" t="s">
        <v>69</v>
      </c>
      <c r="AR545" s="6" t="str">
        <f>HYPERLINK("http://catalog.hathitrust.org/Record/004050798","HathiTrust Record")</f>
        <v>HathiTrust Record</v>
      </c>
      <c r="AS545" s="6" t="str">
        <f>HYPERLINK("https://creighton-primo.hosted.exlibrisgroup.com/primo-explore/search?tab=default_tab&amp;search_scope=EVERYTHING&amp;vid=01CRU&amp;lang=en_US&amp;offset=0&amp;query=any,contains,991003031589702656","Catalog Record")</f>
        <v>Catalog Record</v>
      </c>
      <c r="AT545" s="6" t="str">
        <f>HYPERLINK("http://www.worldcat.org/oclc/41531917","WorldCat Record")</f>
        <v>WorldCat Record</v>
      </c>
      <c r="AU545" s="3" t="s">
        <v>6556</v>
      </c>
      <c r="AV545" s="3" t="s">
        <v>6557</v>
      </c>
      <c r="AW545" s="3" t="s">
        <v>6558</v>
      </c>
      <c r="AX545" s="3" t="s">
        <v>6558</v>
      </c>
      <c r="AY545" s="3" t="s">
        <v>6559</v>
      </c>
      <c r="AZ545" s="3" t="s">
        <v>74</v>
      </c>
      <c r="BB545" s="3" t="s">
        <v>6560</v>
      </c>
      <c r="BC545" s="3" t="s">
        <v>6561</v>
      </c>
      <c r="BD545" s="3" t="s">
        <v>6562</v>
      </c>
    </row>
    <row r="546" spans="1:56" ht="57.75" customHeight="1" x14ac:dyDescent="0.25">
      <c r="A546" s="7" t="s">
        <v>59</v>
      </c>
      <c r="B546" s="2" t="s">
        <v>6563</v>
      </c>
      <c r="C546" s="2" t="s">
        <v>6564</v>
      </c>
      <c r="D546" s="2" t="s">
        <v>6565</v>
      </c>
      <c r="F546" s="3" t="s">
        <v>59</v>
      </c>
      <c r="G546" s="3" t="s">
        <v>60</v>
      </c>
      <c r="H546" s="3" t="s">
        <v>59</v>
      </c>
      <c r="I546" s="3" t="s">
        <v>59</v>
      </c>
      <c r="J546" s="3" t="s">
        <v>61</v>
      </c>
      <c r="K546" s="2" t="s">
        <v>6566</v>
      </c>
      <c r="L546" s="2" t="s">
        <v>6567</v>
      </c>
      <c r="M546" s="3" t="s">
        <v>239</v>
      </c>
      <c r="O546" s="3" t="s">
        <v>64</v>
      </c>
      <c r="P546" s="3" t="s">
        <v>467</v>
      </c>
      <c r="R546" s="3" t="s">
        <v>67</v>
      </c>
      <c r="S546" s="4">
        <v>17</v>
      </c>
      <c r="T546" s="4">
        <v>17</v>
      </c>
      <c r="U546" s="5" t="s">
        <v>3748</v>
      </c>
      <c r="V546" s="5" t="s">
        <v>3748</v>
      </c>
      <c r="W546" s="5" t="s">
        <v>6568</v>
      </c>
      <c r="X546" s="5" t="s">
        <v>6568</v>
      </c>
      <c r="Y546" s="4">
        <v>745</v>
      </c>
      <c r="Z546" s="4">
        <v>684</v>
      </c>
      <c r="AA546" s="4">
        <v>729</v>
      </c>
      <c r="AB546" s="4">
        <v>4</v>
      </c>
      <c r="AC546" s="4">
        <v>4</v>
      </c>
      <c r="AD546" s="4">
        <v>16</v>
      </c>
      <c r="AE546" s="4">
        <v>16</v>
      </c>
      <c r="AF546" s="4">
        <v>5</v>
      </c>
      <c r="AG546" s="4">
        <v>5</v>
      </c>
      <c r="AH546" s="4">
        <v>2</v>
      </c>
      <c r="AI546" s="4">
        <v>2</v>
      </c>
      <c r="AJ546" s="4">
        <v>10</v>
      </c>
      <c r="AK546" s="4">
        <v>10</v>
      </c>
      <c r="AL546" s="4">
        <v>2</v>
      </c>
      <c r="AM546" s="4">
        <v>2</v>
      </c>
      <c r="AN546" s="4">
        <v>0</v>
      </c>
      <c r="AO546" s="4">
        <v>0</v>
      </c>
      <c r="AP546" s="3" t="s">
        <v>59</v>
      </c>
      <c r="AQ546" s="3" t="s">
        <v>59</v>
      </c>
      <c r="AS546" s="6" t="str">
        <f>HYPERLINK("https://creighton-primo.hosted.exlibrisgroup.com/primo-explore/search?tab=default_tab&amp;search_scope=EVERYTHING&amp;vid=01CRU&amp;lang=en_US&amp;offset=0&amp;query=any,contains,991002570879702656","Catalog Record")</f>
        <v>Catalog Record</v>
      </c>
      <c r="AT546" s="6" t="str">
        <f>HYPERLINK("http://www.worldcat.org/oclc/33406995","WorldCat Record")</f>
        <v>WorldCat Record</v>
      </c>
      <c r="AU546" s="3" t="s">
        <v>6569</v>
      </c>
      <c r="AV546" s="3" t="s">
        <v>6570</v>
      </c>
      <c r="AW546" s="3" t="s">
        <v>6571</v>
      </c>
      <c r="AX546" s="3" t="s">
        <v>6571</v>
      </c>
      <c r="AY546" s="3" t="s">
        <v>6572</v>
      </c>
      <c r="AZ546" s="3" t="s">
        <v>74</v>
      </c>
      <c r="BB546" s="3" t="s">
        <v>6573</v>
      </c>
      <c r="BC546" s="3" t="s">
        <v>6574</v>
      </c>
      <c r="BD546" s="3" t="s">
        <v>6575</v>
      </c>
    </row>
    <row r="547" spans="1:56" ht="57.75" customHeight="1" x14ac:dyDescent="0.25">
      <c r="A547" s="7" t="s">
        <v>59</v>
      </c>
      <c r="B547" s="2" t="s">
        <v>6576</v>
      </c>
      <c r="C547" s="2" t="s">
        <v>6577</v>
      </c>
      <c r="D547" s="2" t="s">
        <v>6578</v>
      </c>
      <c r="F547" s="3" t="s">
        <v>59</v>
      </c>
      <c r="G547" s="3" t="s">
        <v>60</v>
      </c>
      <c r="H547" s="3" t="s">
        <v>59</v>
      </c>
      <c r="I547" s="3" t="s">
        <v>59</v>
      </c>
      <c r="J547" s="3" t="s">
        <v>61</v>
      </c>
      <c r="L547" s="2" t="s">
        <v>6579</v>
      </c>
      <c r="M547" s="3" t="s">
        <v>1267</v>
      </c>
      <c r="O547" s="3" t="s">
        <v>64</v>
      </c>
      <c r="P547" s="3" t="s">
        <v>467</v>
      </c>
      <c r="Q547" s="2" t="s">
        <v>6580</v>
      </c>
      <c r="R547" s="3" t="s">
        <v>67</v>
      </c>
      <c r="S547" s="4">
        <v>1</v>
      </c>
      <c r="T547" s="4">
        <v>1</v>
      </c>
      <c r="U547" s="5" t="s">
        <v>5039</v>
      </c>
      <c r="V547" s="5" t="s">
        <v>5039</v>
      </c>
      <c r="W547" s="5" t="s">
        <v>5039</v>
      </c>
      <c r="X547" s="5" t="s">
        <v>5039</v>
      </c>
      <c r="Y547" s="4">
        <v>260</v>
      </c>
      <c r="Z547" s="4">
        <v>225</v>
      </c>
      <c r="AA547" s="4">
        <v>225</v>
      </c>
      <c r="AB547" s="4">
        <v>2</v>
      </c>
      <c r="AC547" s="4">
        <v>2</v>
      </c>
      <c r="AD547" s="4">
        <v>9</v>
      </c>
      <c r="AE547" s="4">
        <v>9</v>
      </c>
      <c r="AF547" s="4">
        <v>3</v>
      </c>
      <c r="AG547" s="4">
        <v>3</v>
      </c>
      <c r="AH547" s="4">
        <v>2</v>
      </c>
      <c r="AI547" s="4">
        <v>2</v>
      </c>
      <c r="AJ547" s="4">
        <v>6</v>
      </c>
      <c r="AK547" s="4">
        <v>6</v>
      </c>
      <c r="AL547" s="4">
        <v>1</v>
      </c>
      <c r="AM547" s="4">
        <v>1</v>
      </c>
      <c r="AN547" s="4">
        <v>0</v>
      </c>
      <c r="AO547" s="4">
        <v>0</v>
      </c>
      <c r="AP547" s="3" t="s">
        <v>59</v>
      </c>
      <c r="AQ547" s="3" t="s">
        <v>59</v>
      </c>
      <c r="AS547" s="6" t="str">
        <f>HYPERLINK("https://creighton-primo.hosted.exlibrisgroup.com/primo-explore/search?tab=default_tab&amp;search_scope=EVERYTHING&amp;vid=01CRU&amp;lang=en_US&amp;offset=0&amp;query=any,contains,991005337399702656","Catalog Record")</f>
        <v>Catalog Record</v>
      </c>
      <c r="AT547" s="6" t="str">
        <f>HYPERLINK("http://www.worldcat.org/oclc/226304732","WorldCat Record")</f>
        <v>WorldCat Record</v>
      </c>
      <c r="AU547" s="3" t="s">
        <v>6581</v>
      </c>
      <c r="AV547" s="3" t="s">
        <v>6582</v>
      </c>
      <c r="AW547" s="3" t="s">
        <v>6583</v>
      </c>
      <c r="AX547" s="3" t="s">
        <v>6583</v>
      </c>
      <c r="AY547" s="3" t="s">
        <v>6584</v>
      </c>
      <c r="AZ547" s="3" t="s">
        <v>74</v>
      </c>
      <c r="BB547" s="3" t="s">
        <v>6585</v>
      </c>
      <c r="BC547" s="3" t="s">
        <v>6586</v>
      </c>
      <c r="BD547" s="3" t="s">
        <v>6587</v>
      </c>
    </row>
    <row r="548" spans="1:56" ht="57.75" customHeight="1" x14ac:dyDescent="0.25">
      <c r="A548" s="7" t="s">
        <v>59</v>
      </c>
      <c r="B548" s="2" t="s">
        <v>6588</v>
      </c>
      <c r="C548" s="2" t="s">
        <v>6589</v>
      </c>
      <c r="D548" s="2" t="s">
        <v>6590</v>
      </c>
      <c r="F548" s="3" t="s">
        <v>59</v>
      </c>
      <c r="G548" s="3" t="s">
        <v>60</v>
      </c>
      <c r="H548" s="3" t="s">
        <v>59</v>
      </c>
      <c r="I548" s="3" t="s">
        <v>59</v>
      </c>
      <c r="J548" s="3" t="s">
        <v>61</v>
      </c>
      <c r="K548" s="2" t="s">
        <v>6591</v>
      </c>
      <c r="L548" s="2" t="s">
        <v>6592</v>
      </c>
      <c r="M548" s="3" t="s">
        <v>6593</v>
      </c>
      <c r="O548" s="3" t="s">
        <v>64</v>
      </c>
      <c r="P548" s="3" t="s">
        <v>467</v>
      </c>
      <c r="Q548" s="2" t="s">
        <v>6594</v>
      </c>
      <c r="R548" s="3" t="s">
        <v>67</v>
      </c>
      <c r="S548" s="4">
        <v>18</v>
      </c>
      <c r="T548" s="4">
        <v>18</v>
      </c>
      <c r="U548" s="5" t="s">
        <v>6595</v>
      </c>
      <c r="V548" s="5" t="s">
        <v>6595</v>
      </c>
      <c r="W548" s="5" t="s">
        <v>6596</v>
      </c>
      <c r="X548" s="5" t="s">
        <v>6596</v>
      </c>
      <c r="Y548" s="4">
        <v>821</v>
      </c>
      <c r="Z548" s="4">
        <v>728</v>
      </c>
      <c r="AA548" s="4">
        <v>946</v>
      </c>
      <c r="AB548" s="4">
        <v>4</v>
      </c>
      <c r="AC548" s="4">
        <v>6</v>
      </c>
      <c r="AD548" s="4">
        <v>28</v>
      </c>
      <c r="AE548" s="4">
        <v>37</v>
      </c>
      <c r="AF548" s="4">
        <v>13</v>
      </c>
      <c r="AG548" s="4">
        <v>17</v>
      </c>
      <c r="AH548" s="4">
        <v>5</v>
      </c>
      <c r="AI548" s="4">
        <v>7</v>
      </c>
      <c r="AJ548" s="4">
        <v>15</v>
      </c>
      <c r="AK548" s="4">
        <v>20</v>
      </c>
      <c r="AL548" s="4">
        <v>3</v>
      </c>
      <c r="AM548" s="4">
        <v>4</v>
      </c>
      <c r="AN548" s="4">
        <v>0</v>
      </c>
      <c r="AO548" s="4">
        <v>0</v>
      </c>
      <c r="AP548" s="3" t="s">
        <v>69</v>
      </c>
      <c r="AQ548" s="3" t="s">
        <v>59</v>
      </c>
      <c r="AR548" s="6" t="str">
        <f>HYPERLINK("http://catalog.hathitrust.org/Record/001500590","HathiTrust Record")</f>
        <v>HathiTrust Record</v>
      </c>
      <c r="AS548" s="6" t="str">
        <f>HYPERLINK("https://creighton-primo.hosted.exlibrisgroup.com/primo-explore/search?tab=default_tab&amp;search_scope=EVERYTHING&amp;vid=01CRU&amp;lang=en_US&amp;offset=0&amp;query=any,contains,991002990219702656","Catalog Record")</f>
        <v>Catalog Record</v>
      </c>
      <c r="AT548" s="6" t="str">
        <f>HYPERLINK("http://www.worldcat.org/oclc/560205","WorldCat Record")</f>
        <v>WorldCat Record</v>
      </c>
      <c r="AU548" s="3" t="s">
        <v>6597</v>
      </c>
      <c r="AV548" s="3" t="s">
        <v>6598</v>
      </c>
      <c r="AW548" s="3" t="s">
        <v>6599</v>
      </c>
      <c r="AX548" s="3" t="s">
        <v>6599</v>
      </c>
      <c r="AY548" s="3" t="s">
        <v>6600</v>
      </c>
      <c r="AZ548" s="3" t="s">
        <v>74</v>
      </c>
      <c r="BC548" s="3" t="s">
        <v>6601</v>
      </c>
      <c r="BD548" s="3" t="s">
        <v>6602</v>
      </c>
    </row>
    <row r="549" spans="1:56" ht="57.75" customHeight="1" x14ac:dyDescent="0.25">
      <c r="A549" s="7" t="s">
        <v>59</v>
      </c>
      <c r="B549" s="2" t="s">
        <v>6603</v>
      </c>
      <c r="C549" s="2" t="s">
        <v>6604</v>
      </c>
      <c r="D549" s="2" t="s">
        <v>6605</v>
      </c>
      <c r="F549" s="3" t="s">
        <v>59</v>
      </c>
      <c r="G549" s="3" t="s">
        <v>60</v>
      </c>
      <c r="H549" s="3" t="s">
        <v>59</v>
      </c>
      <c r="I549" s="3" t="s">
        <v>59</v>
      </c>
      <c r="J549" s="3" t="s">
        <v>61</v>
      </c>
      <c r="K549" s="2" t="s">
        <v>5157</v>
      </c>
      <c r="L549" s="2" t="s">
        <v>6606</v>
      </c>
      <c r="M549" s="3" t="s">
        <v>172</v>
      </c>
      <c r="O549" s="3" t="s">
        <v>64</v>
      </c>
      <c r="P549" s="3" t="s">
        <v>65</v>
      </c>
      <c r="R549" s="3" t="s">
        <v>67</v>
      </c>
      <c r="S549" s="4">
        <v>2</v>
      </c>
      <c r="T549" s="4">
        <v>2</v>
      </c>
      <c r="U549" s="5" t="s">
        <v>6607</v>
      </c>
      <c r="V549" s="5" t="s">
        <v>6607</v>
      </c>
      <c r="W549" s="5" t="s">
        <v>6608</v>
      </c>
      <c r="X549" s="5" t="s">
        <v>6608</v>
      </c>
      <c r="Y549" s="4">
        <v>703</v>
      </c>
      <c r="Z549" s="4">
        <v>626</v>
      </c>
      <c r="AA549" s="4">
        <v>626</v>
      </c>
      <c r="AB549" s="4">
        <v>7</v>
      </c>
      <c r="AC549" s="4">
        <v>7</v>
      </c>
      <c r="AD549" s="4">
        <v>30</v>
      </c>
      <c r="AE549" s="4">
        <v>30</v>
      </c>
      <c r="AF549" s="4">
        <v>12</v>
      </c>
      <c r="AG549" s="4">
        <v>12</v>
      </c>
      <c r="AH549" s="4">
        <v>4</v>
      </c>
      <c r="AI549" s="4">
        <v>4</v>
      </c>
      <c r="AJ549" s="4">
        <v>13</v>
      </c>
      <c r="AK549" s="4">
        <v>13</v>
      </c>
      <c r="AL549" s="4">
        <v>6</v>
      </c>
      <c r="AM549" s="4">
        <v>6</v>
      </c>
      <c r="AN549" s="4">
        <v>0</v>
      </c>
      <c r="AO549" s="4">
        <v>0</v>
      </c>
      <c r="AP549" s="3" t="s">
        <v>59</v>
      </c>
      <c r="AQ549" s="3" t="s">
        <v>59</v>
      </c>
      <c r="AS549" s="6" t="str">
        <f>HYPERLINK("https://creighton-primo.hosted.exlibrisgroup.com/primo-explore/search?tab=default_tab&amp;search_scope=EVERYTHING&amp;vid=01CRU&amp;lang=en_US&amp;offset=0&amp;query=any,contains,991005004079702656","Catalog Record")</f>
        <v>Catalog Record</v>
      </c>
      <c r="AT549" s="6" t="str">
        <f>HYPERLINK("http://www.worldcat.org/oclc/61278530","WorldCat Record")</f>
        <v>WorldCat Record</v>
      </c>
      <c r="AU549" s="3" t="s">
        <v>6609</v>
      </c>
      <c r="AV549" s="3" t="s">
        <v>6610</v>
      </c>
      <c r="AW549" s="3" t="s">
        <v>6611</v>
      </c>
      <c r="AX549" s="3" t="s">
        <v>6611</v>
      </c>
      <c r="AY549" s="3" t="s">
        <v>6612</v>
      </c>
      <c r="AZ549" s="3" t="s">
        <v>74</v>
      </c>
      <c r="BB549" s="3" t="s">
        <v>6613</v>
      </c>
      <c r="BC549" s="3" t="s">
        <v>6614</v>
      </c>
      <c r="BD549" s="3" t="s">
        <v>6615</v>
      </c>
    </row>
    <row r="550" spans="1:56" ht="57.75" customHeight="1" x14ac:dyDescent="0.25">
      <c r="A550" s="7" t="s">
        <v>59</v>
      </c>
      <c r="B550" s="2" t="s">
        <v>6616</v>
      </c>
      <c r="C550" s="2" t="s">
        <v>6617</v>
      </c>
      <c r="D550" s="2" t="s">
        <v>6618</v>
      </c>
      <c r="F550" s="3" t="s">
        <v>59</v>
      </c>
      <c r="G550" s="3" t="s">
        <v>60</v>
      </c>
      <c r="H550" s="3" t="s">
        <v>59</v>
      </c>
      <c r="I550" s="3" t="s">
        <v>59</v>
      </c>
      <c r="J550" s="3" t="s">
        <v>61</v>
      </c>
      <c r="K550" s="2" t="s">
        <v>5157</v>
      </c>
      <c r="L550" s="2" t="s">
        <v>6619</v>
      </c>
      <c r="M550" s="3" t="s">
        <v>93</v>
      </c>
      <c r="O550" s="3" t="s">
        <v>64</v>
      </c>
      <c r="P550" s="3" t="s">
        <v>630</v>
      </c>
      <c r="R550" s="3" t="s">
        <v>67</v>
      </c>
      <c r="S550" s="4">
        <v>1</v>
      </c>
      <c r="T550" s="4">
        <v>1</v>
      </c>
      <c r="U550" s="5" t="s">
        <v>764</v>
      </c>
      <c r="V550" s="5" t="s">
        <v>764</v>
      </c>
      <c r="W550" s="5" t="s">
        <v>764</v>
      </c>
      <c r="X550" s="5" t="s">
        <v>764</v>
      </c>
      <c r="Y550" s="4">
        <v>229</v>
      </c>
      <c r="Z550" s="4">
        <v>180</v>
      </c>
      <c r="AA550" s="4">
        <v>180</v>
      </c>
      <c r="AB550" s="4">
        <v>2</v>
      </c>
      <c r="AC550" s="4">
        <v>2</v>
      </c>
      <c r="AD550" s="4">
        <v>6</v>
      </c>
      <c r="AE550" s="4">
        <v>6</v>
      </c>
      <c r="AF550" s="4">
        <v>1</v>
      </c>
      <c r="AG550" s="4">
        <v>1</v>
      </c>
      <c r="AH550" s="4">
        <v>2</v>
      </c>
      <c r="AI550" s="4">
        <v>2</v>
      </c>
      <c r="AJ550" s="4">
        <v>3</v>
      </c>
      <c r="AK550" s="4">
        <v>3</v>
      </c>
      <c r="AL550" s="4">
        <v>1</v>
      </c>
      <c r="AM550" s="4">
        <v>1</v>
      </c>
      <c r="AN550" s="4">
        <v>0</v>
      </c>
      <c r="AO550" s="4">
        <v>0</v>
      </c>
      <c r="AP550" s="3" t="s">
        <v>59</v>
      </c>
      <c r="AQ550" s="3" t="s">
        <v>59</v>
      </c>
      <c r="AS550" s="6" t="str">
        <f>HYPERLINK("https://creighton-primo.hosted.exlibrisgroup.com/primo-explore/search?tab=default_tab&amp;search_scope=EVERYTHING&amp;vid=01CRU&amp;lang=en_US&amp;offset=0&amp;query=any,contains,991005039089702656","Catalog Record")</f>
        <v>Catalog Record</v>
      </c>
      <c r="AT550" s="6" t="str">
        <f>HYPERLINK("http://www.worldcat.org/oclc/45320381","WorldCat Record")</f>
        <v>WorldCat Record</v>
      </c>
      <c r="AU550" s="3" t="s">
        <v>6620</v>
      </c>
      <c r="AV550" s="3" t="s">
        <v>6621</v>
      </c>
      <c r="AW550" s="3" t="s">
        <v>6622</v>
      </c>
      <c r="AX550" s="3" t="s">
        <v>6622</v>
      </c>
      <c r="AY550" s="3" t="s">
        <v>6623</v>
      </c>
      <c r="AZ550" s="3" t="s">
        <v>74</v>
      </c>
      <c r="BB550" s="3" t="s">
        <v>6624</v>
      </c>
      <c r="BC550" s="3" t="s">
        <v>6625</v>
      </c>
      <c r="BD550" s="3" t="s">
        <v>6626</v>
      </c>
    </row>
    <row r="551" spans="1:56" ht="57.75" customHeight="1" x14ac:dyDescent="0.25">
      <c r="A551" s="7" t="s">
        <v>59</v>
      </c>
      <c r="B551" s="2" t="s">
        <v>6627</v>
      </c>
      <c r="C551" s="2" t="s">
        <v>6628</v>
      </c>
      <c r="D551" s="2" t="s">
        <v>6629</v>
      </c>
      <c r="F551" s="3" t="s">
        <v>59</v>
      </c>
      <c r="G551" s="3" t="s">
        <v>60</v>
      </c>
      <c r="H551" s="3" t="s">
        <v>59</v>
      </c>
      <c r="I551" s="3" t="s">
        <v>59</v>
      </c>
      <c r="J551" s="3" t="s">
        <v>61</v>
      </c>
      <c r="K551" s="2" t="s">
        <v>6413</v>
      </c>
      <c r="L551" s="2" t="s">
        <v>6630</v>
      </c>
      <c r="M551" s="3" t="s">
        <v>452</v>
      </c>
      <c r="O551" s="3" t="s">
        <v>64</v>
      </c>
      <c r="P551" s="3" t="s">
        <v>630</v>
      </c>
      <c r="R551" s="3" t="s">
        <v>67</v>
      </c>
      <c r="S551" s="4">
        <v>2</v>
      </c>
      <c r="T551" s="4">
        <v>2</v>
      </c>
      <c r="U551" s="5" t="s">
        <v>4901</v>
      </c>
      <c r="V551" s="5" t="s">
        <v>4901</v>
      </c>
      <c r="W551" s="5" t="s">
        <v>6631</v>
      </c>
      <c r="X551" s="5" t="s">
        <v>6631</v>
      </c>
      <c r="Y551" s="4">
        <v>435</v>
      </c>
      <c r="Z551" s="4">
        <v>359</v>
      </c>
      <c r="AA551" s="4">
        <v>371</v>
      </c>
      <c r="AB551" s="4">
        <v>2</v>
      </c>
      <c r="AC551" s="4">
        <v>2</v>
      </c>
      <c r="AD551" s="4">
        <v>12</v>
      </c>
      <c r="AE551" s="4">
        <v>12</v>
      </c>
      <c r="AF551" s="4">
        <v>2</v>
      </c>
      <c r="AG551" s="4">
        <v>2</v>
      </c>
      <c r="AH551" s="4">
        <v>3</v>
      </c>
      <c r="AI551" s="4">
        <v>3</v>
      </c>
      <c r="AJ551" s="4">
        <v>8</v>
      </c>
      <c r="AK551" s="4">
        <v>8</v>
      </c>
      <c r="AL551" s="4">
        <v>1</v>
      </c>
      <c r="AM551" s="4">
        <v>1</v>
      </c>
      <c r="AN551" s="4">
        <v>0</v>
      </c>
      <c r="AO551" s="4">
        <v>0</v>
      </c>
      <c r="AP551" s="3" t="s">
        <v>59</v>
      </c>
      <c r="AQ551" s="3" t="s">
        <v>69</v>
      </c>
      <c r="AR551" s="6" t="str">
        <f>HYPERLINK("http://catalog.hathitrust.org/Record/000009686","HathiTrust Record")</f>
        <v>HathiTrust Record</v>
      </c>
      <c r="AS551" s="6" t="str">
        <f>HYPERLINK("https://creighton-primo.hosted.exlibrisgroup.com/primo-explore/search?tab=default_tab&amp;search_scope=EVERYTHING&amp;vid=01CRU&amp;lang=en_US&amp;offset=0&amp;query=any,contains,991003147109702656","Catalog Record")</f>
        <v>Catalog Record</v>
      </c>
      <c r="AT551" s="6" t="str">
        <f>HYPERLINK("http://www.worldcat.org/oclc/687393","WorldCat Record")</f>
        <v>WorldCat Record</v>
      </c>
      <c r="AU551" s="3" t="s">
        <v>6632</v>
      </c>
      <c r="AV551" s="3" t="s">
        <v>6633</v>
      </c>
      <c r="AW551" s="3" t="s">
        <v>6634</v>
      </c>
      <c r="AX551" s="3" t="s">
        <v>6634</v>
      </c>
      <c r="AY551" s="3" t="s">
        <v>6635</v>
      </c>
      <c r="AZ551" s="3" t="s">
        <v>74</v>
      </c>
      <c r="BC551" s="3" t="s">
        <v>6636</v>
      </c>
      <c r="BD551" s="3" t="s">
        <v>6637</v>
      </c>
    </row>
    <row r="552" spans="1:56" ht="57.75" customHeight="1" x14ac:dyDescent="0.25">
      <c r="A552" s="7" t="s">
        <v>59</v>
      </c>
      <c r="B552" s="2" t="s">
        <v>6638</v>
      </c>
      <c r="C552" s="2" t="s">
        <v>6639</v>
      </c>
      <c r="D552" s="2" t="s">
        <v>6640</v>
      </c>
      <c r="F552" s="3" t="s">
        <v>59</v>
      </c>
      <c r="G552" s="3" t="s">
        <v>60</v>
      </c>
      <c r="H552" s="3" t="s">
        <v>59</v>
      </c>
      <c r="I552" s="3" t="s">
        <v>59</v>
      </c>
      <c r="J552" s="3" t="s">
        <v>61</v>
      </c>
      <c r="K552" s="2" t="s">
        <v>4912</v>
      </c>
      <c r="L552" s="2" t="s">
        <v>6641</v>
      </c>
      <c r="M552" s="3" t="s">
        <v>6642</v>
      </c>
      <c r="O552" s="3" t="s">
        <v>64</v>
      </c>
      <c r="P552" s="3" t="s">
        <v>467</v>
      </c>
      <c r="R552" s="3" t="s">
        <v>67</v>
      </c>
      <c r="S552" s="4">
        <v>2</v>
      </c>
      <c r="T552" s="4">
        <v>2</v>
      </c>
      <c r="U552" s="5" t="s">
        <v>6643</v>
      </c>
      <c r="V552" s="5" t="s">
        <v>6643</v>
      </c>
      <c r="W552" s="5" t="s">
        <v>6631</v>
      </c>
      <c r="X552" s="5" t="s">
        <v>6631</v>
      </c>
      <c r="Y552" s="4">
        <v>298</v>
      </c>
      <c r="Z552" s="4">
        <v>281</v>
      </c>
      <c r="AA552" s="4">
        <v>365</v>
      </c>
      <c r="AB552" s="4">
        <v>3</v>
      </c>
      <c r="AC552" s="4">
        <v>3</v>
      </c>
      <c r="AD552" s="4">
        <v>12</v>
      </c>
      <c r="AE552" s="4">
        <v>16</v>
      </c>
      <c r="AF552" s="4">
        <v>4</v>
      </c>
      <c r="AG552" s="4">
        <v>6</v>
      </c>
      <c r="AH552" s="4">
        <v>4</v>
      </c>
      <c r="AI552" s="4">
        <v>6</v>
      </c>
      <c r="AJ552" s="4">
        <v>8</v>
      </c>
      <c r="AK552" s="4">
        <v>10</v>
      </c>
      <c r="AL552" s="4">
        <v>2</v>
      </c>
      <c r="AM552" s="4">
        <v>2</v>
      </c>
      <c r="AN552" s="4">
        <v>0</v>
      </c>
      <c r="AO552" s="4">
        <v>0</v>
      </c>
      <c r="AP552" s="3" t="s">
        <v>69</v>
      </c>
      <c r="AQ552" s="3" t="s">
        <v>59</v>
      </c>
      <c r="AR552" s="6" t="str">
        <f>HYPERLINK("http://catalog.hathitrust.org/Record/002007699","HathiTrust Record")</f>
        <v>HathiTrust Record</v>
      </c>
      <c r="AS552" s="6" t="str">
        <f>HYPERLINK("https://creighton-primo.hosted.exlibrisgroup.com/primo-explore/search?tab=default_tab&amp;search_scope=EVERYTHING&amp;vid=01CRU&amp;lang=en_US&amp;offset=0&amp;query=any,contains,991003604829702656","Catalog Record")</f>
        <v>Catalog Record</v>
      </c>
      <c r="AT552" s="6" t="str">
        <f>HYPERLINK("http://www.worldcat.org/oclc/1184274","WorldCat Record")</f>
        <v>WorldCat Record</v>
      </c>
      <c r="AU552" s="3" t="s">
        <v>6644</v>
      </c>
      <c r="AV552" s="3" t="s">
        <v>6645</v>
      </c>
      <c r="AW552" s="3" t="s">
        <v>6646</v>
      </c>
      <c r="AX552" s="3" t="s">
        <v>6646</v>
      </c>
      <c r="AY552" s="3" t="s">
        <v>6647</v>
      </c>
      <c r="AZ552" s="3" t="s">
        <v>74</v>
      </c>
      <c r="BC552" s="3" t="s">
        <v>6648</v>
      </c>
      <c r="BD552" s="3" t="s">
        <v>6649</v>
      </c>
    </row>
    <row r="553" spans="1:56" ht="57.75" customHeight="1" x14ac:dyDescent="0.25">
      <c r="A553" s="7" t="s">
        <v>59</v>
      </c>
      <c r="B553" s="2" t="s">
        <v>6650</v>
      </c>
      <c r="C553" s="2" t="s">
        <v>6651</v>
      </c>
      <c r="D553" s="2" t="s">
        <v>6652</v>
      </c>
      <c r="F553" s="3" t="s">
        <v>59</v>
      </c>
      <c r="G553" s="3" t="s">
        <v>60</v>
      </c>
      <c r="H553" s="3" t="s">
        <v>59</v>
      </c>
      <c r="I553" s="3" t="s">
        <v>59</v>
      </c>
      <c r="J553" s="3" t="s">
        <v>61</v>
      </c>
      <c r="K553" s="2" t="s">
        <v>6653</v>
      </c>
      <c r="L553" s="2" t="s">
        <v>5124</v>
      </c>
      <c r="M553" s="3" t="s">
        <v>239</v>
      </c>
      <c r="O553" s="3" t="s">
        <v>64</v>
      </c>
      <c r="P553" s="3" t="s">
        <v>630</v>
      </c>
      <c r="R553" s="3" t="s">
        <v>67</v>
      </c>
      <c r="S553" s="4">
        <v>1</v>
      </c>
      <c r="T553" s="4">
        <v>1</v>
      </c>
      <c r="U553" s="5" t="s">
        <v>469</v>
      </c>
      <c r="V553" s="5" t="s">
        <v>469</v>
      </c>
      <c r="W553" s="5" t="s">
        <v>6654</v>
      </c>
      <c r="X553" s="5" t="s">
        <v>6654</v>
      </c>
      <c r="Y553" s="4">
        <v>216</v>
      </c>
      <c r="Z553" s="4">
        <v>168</v>
      </c>
      <c r="AA553" s="4">
        <v>173</v>
      </c>
      <c r="AB553" s="4">
        <v>3</v>
      </c>
      <c r="AC553" s="4">
        <v>3</v>
      </c>
      <c r="AD553" s="4">
        <v>7</v>
      </c>
      <c r="AE553" s="4">
        <v>7</v>
      </c>
      <c r="AF553" s="4">
        <v>0</v>
      </c>
      <c r="AG553" s="4">
        <v>0</v>
      </c>
      <c r="AH553" s="4">
        <v>2</v>
      </c>
      <c r="AI553" s="4">
        <v>2</v>
      </c>
      <c r="AJ553" s="4">
        <v>4</v>
      </c>
      <c r="AK553" s="4">
        <v>4</v>
      </c>
      <c r="AL553" s="4">
        <v>2</v>
      </c>
      <c r="AM553" s="4">
        <v>2</v>
      </c>
      <c r="AN553" s="4">
        <v>0</v>
      </c>
      <c r="AO553" s="4">
        <v>0</v>
      </c>
      <c r="AP553" s="3" t="s">
        <v>59</v>
      </c>
      <c r="AQ553" s="3" t="s">
        <v>59</v>
      </c>
      <c r="AS553" s="6" t="str">
        <f>HYPERLINK("https://creighton-primo.hosted.exlibrisgroup.com/primo-explore/search?tab=default_tab&amp;search_scope=EVERYTHING&amp;vid=01CRU&amp;lang=en_US&amp;offset=0&amp;query=any,contains,991002545209702656","Catalog Record")</f>
        <v>Catalog Record</v>
      </c>
      <c r="AT553" s="6" t="str">
        <f>HYPERLINK("http://www.worldcat.org/oclc/33078359","WorldCat Record")</f>
        <v>WorldCat Record</v>
      </c>
      <c r="AU553" s="3" t="s">
        <v>6655</v>
      </c>
      <c r="AV553" s="3" t="s">
        <v>6656</v>
      </c>
      <c r="AW553" s="3" t="s">
        <v>6657</v>
      </c>
      <c r="AX553" s="3" t="s">
        <v>6657</v>
      </c>
      <c r="AY553" s="3" t="s">
        <v>6658</v>
      </c>
      <c r="AZ553" s="3" t="s">
        <v>74</v>
      </c>
      <c r="BB553" s="3" t="s">
        <v>6659</v>
      </c>
      <c r="BC553" s="3" t="s">
        <v>6660</v>
      </c>
      <c r="BD553" s="3" t="s">
        <v>6661</v>
      </c>
    </row>
    <row r="554" spans="1:56" ht="57.75" customHeight="1" x14ac:dyDescent="0.25">
      <c r="A554" s="7" t="s">
        <v>59</v>
      </c>
      <c r="B554" s="2" t="s">
        <v>6662</v>
      </c>
      <c r="C554" s="2" t="s">
        <v>6663</v>
      </c>
      <c r="D554" s="2" t="s">
        <v>6664</v>
      </c>
      <c r="F554" s="3" t="s">
        <v>59</v>
      </c>
      <c r="G554" s="3" t="s">
        <v>60</v>
      </c>
      <c r="H554" s="3" t="s">
        <v>59</v>
      </c>
      <c r="I554" s="3" t="s">
        <v>59</v>
      </c>
      <c r="J554" s="3" t="s">
        <v>61</v>
      </c>
      <c r="L554" s="2" t="s">
        <v>6665</v>
      </c>
      <c r="M554" s="3" t="s">
        <v>2244</v>
      </c>
      <c r="O554" s="3" t="s">
        <v>64</v>
      </c>
      <c r="P554" s="3" t="s">
        <v>467</v>
      </c>
      <c r="R554" s="3" t="s">
        <v>67</v>
      </c>
      <c r="S554" s="4">
        <v>2</v>
      </c>
      <c r="T554" s="4">
        <v>2</v>
      </c>
      <c r="U554" s="5" t="s">
        <v>6666</v>
      </c>
      <c r="V554" s="5" t="s">
        <v>6666</v>
      </c>
      <c r="W554" s="5" t="s">
        <v>6667</v>
      </c>
      <c r="X554" s="5" t="s">
        <v>6667</v>
      </c>
      <c r="Y554" s="4">
        <v>404</v>
      </c>
      <c r="Z554" s="4">
        <v>320</v>
      </c>
      <c r="AA554" s="4">
        <v>506</v>
      </c>
      <c r="AB554" s="4">
        <v>4</v>
      </c>
      <c r="AC554" s="4">
        <v>4</v>
      </c>
      <c r="AD554" s="4">
        <v>14</v>
      </c>
      <c r="AE554" s="4">
        <v>24</v>
      </c>
      <c r="AF554" s="4">
        <v>2</v>
      </c>
      <c r="AG554" s="4">
        <v>9</v>
      </c>
      <c r="AH554" s="4">
        <v>5</v>
      </c>
      <c r="AI554" s="4">
        <v>8</v>
      </c>
      <c r="AJ554" s="4">
        <v>7</v>
      </c>
      <c r="AK554" s="4">
        <v>11</v>
      </c>
      <c r="AL554" s="4">
        <v>3</v>
      </c>
      <c r="AM554" s="4">
        <v>3</v>
      </c>
      <c r="AN554" s="4">
        <v>0</v>
      </c>
      <c r="AO554" s="4">
        <v>0</v>
      </c>
      <c r="AP554" s="3" t="s">
        <v>59</v>
      </c>
      <c r="AQ554" s="3" t="s">
        <v>69</v>
      </c>
      <c r="AR554" s="6" t="str">
        <f>HYPERLINK("http://catalog.hathitrust.org/Record/002518262","HathiTrust Record")</f>
        <v>HathiTrust Record</v>
      </c>
      <c r="AS554" s="6" t="str">
        <f>HYPERLINK("https://creighton-primo.hosted.exlibrisgroup.com/primo-explore/search?tab=default_tab&amp;search_scope=EVERYTHING&amp;vid=01CRU&amp;lang=en_US&amp;offset=0&amp;query=any,contains,991001752879702656","Catalog Record")</f>
        <v>Catalog Record</v>
      </c>
      <c r="AT554" s="6" t="str">
        <f>HYPERLINK("http://www.worldcat.org/oclc/22184337","WorldCat Record")</f>
        <v>WorldCat Record</v>
      </c>
      <c r="AU554" s="3" t="s">
        <v>6668</v>
      </c>
      <c r="AV554" s="3" t="s">
        <v>6669</v>
      </c>
      <c r="AW554" s="3" t="s">
        <v>6670</v>
      </c>
      <c r="AX554" s="3" t="s">
        <v>6670</v>
      </c>
      <c r="AY554" s="3" t="s">
        <v>6671</v>
      </c>
      <c r="AZ554" s="3" t="s">
        <v>74</v>
      </c>
      <c r="BB554" s="3" t="s">
        <v>6672</v>
      </c>
      <c r="BC554" s="3" t="s">
        <v>6673</v>
      </c>
      <c r="BD554" s="3" t="s">
        <v>6674</v>
      </c>
    </row>
    <row r="555" spans="1:56" ht="57.75" customHeight="1" x14ac:dyDescent="0.25">
      <c r="A555" s="7" t="s">
        <v>59</v>
      </c>
      <c r="B555" s="2" t="s">
        <v>6675</v>
      </c>
      <c r="C555" s="2" t="s">
        <v>6676</v>
      </c>
      <c r="D555" s="2" t="s">
        <v>6677</v>
      </c>
      <c r="F555" s="3" t="s">
        <v>59</v>
      </c>
      <c r="G555" s="3" t="s">
        <v>60</v>
      </c>
      <c r="H555" s="3" t="s">
        <v>59</v>
      </c>
      <c r="I555" s="3" t="s">
        <v>59</v>
      </c>
      <c r="J555" s="3" t="s">
        <v>61</v>
      </c>
      <c r="K555" s="2" t="s">
        <v>6678</v>
      </c>
      <c r="L555" s="2" t="s">
        <v>6679</v>
      </c>
      <c r="M555" s="3" t="s">
        <v>931</v>
      </c>
      <c r="O555" s="3" t="s">
        <v>64</v>
      </c>
      <c r="P555" s="3" t="s">
        <v>2178</v>
      </c>
      <c r="Q555" s="2" t="s">
        <v>2179</v>
      </c>
      <c r="R555" s="3" t="s">
        <v>67</v>
      </c>
      <c r="S555" s="4">
        <v>5</v>
      </c>
      <c r="T555" s="4">
        <v>5</v>
      </c>
      <c r="U555" s="5" t="s">
        <v>6525</v>
      </c>
      <c r="V555" s="5" t="s">
        <v>6525</v>
      </c>
      <c r="W555" s="5" t="s">
        <v>6631</v>
      </c>
      <c r="X555" s="5" t="s">
        <v>6631</v>
      </c>
      <c r="Y555" s="4">
        <v>549</v>
      </c>
      <c r="Z555" s="4">
        <v>500</v>
      </c>
      <c r="AA555" s="4">
        <v>500</v>
      </c>
      <c r="AB555" s="4">
        <v>3</v>
      </c>
      <c r="AC555" s="4">
        <v>3</v>
      </c>
      <c r="AD555" s="4">
        <v>15</v>
      </c>
      <c r="AE555" s="4">
        <v>15</v>
      </c>
      <c r="AF555" s="4">
        <v>9</v>
      </c>
      <c r="AG555" s="4">
        <v>9</v>
      </c>
      <c r="AH555" s="4">
        <v>4</v>
      </c>
      <c r="AI555" s="4">
        <v>4</v>
      </c>
      <c r="AJ555" s="4">
        <v>5</v>
      </c>
      <c r="AK555" s="4">
        <v>5</v>
      </c>
      <c r="AL555" s="4">
        <v>1</v>
      </c>
      <c r="AM555" s="4">
        <v>1</v>
      </c>
      <c r="AN555" s="4">
        <v>0</v>
      </c>
      <c r="AO555" s="4">
        <v>0</v>
      </c>
      <c r="AP555" s="3" t="s">
        <v>59</v>
      </c>
      <c r="AQ555" s="3" t="s">
        <v>59</v>
      </c>
      <c r="AS555" s="6" t="str">
        <f>HYPERLINK("https://creighton-primo.hosted.exlibrisgroup.com/primo-explore/search?tab=default_tab&amp;search_scope=EVERYTHING&amp;vid=01CRU&amp;lang=en_US&amp;offset=0&amp;query=any,contains,991003075639702656","Catalog Record")</f>
        <v>Catalog Record</v>
      </c>
      <c r="AT555" s="6" t="str">
        <f>HYPERLINK("http://www.worldcat.org/oclc/628415","WorldCat Record")</f>
        <v>WorldCat Record</v>
      </c>
      <c r="AU555" s="3" t="s">
        <v>6680</v>
      </c>
      <c r="AV555" s="3" t="s">
        <v>6681</v>
      </c>
      <c r="AW555" s="3" t="s">
        <v>6682</v>
      </c>
      <c r="AX555" s="3" t="s">
        <v>6682</v>
      </c>
      <c r="AY555" s="3" t="s">
        <v>6683</v>
      </c>
      <c r="AZ555" s="3" t="s">
        <v>74</v>
      </c>
      <c r="BB555" s="3" t="s">
        <v>6684</v>
      </c>
      <c r="BC555" s="3" t="s">
        <v>6685</v>
      </c>
      <c r="BD555" s="3" t="s">
        <v>6686</v>
      </c>
    </row>
    <row r="556" spans="1:56" ht="57.75" customHeight="1" x14ac:dyDescent="0.25">
      <c r="A556" s="7" t="s">
        <v>59</v>
      </c>
      <c r="B556" s="2" t="s">
        <v>6687</v>
      </c>
      <c r="C556" s="2" t="s">
        <v>6688</v>
      </c>
      <c r="D556" s="2" t="s">
        <v>6689</v>
      </c>
      <c r="F556" s="3" t="s">
        <v>59</v>
      </c>
      <c r="G556" s="3" t="s">
        <v>60</v>
      </c>
      <c r="H556" s="3" t="s">
        <v>59</v>
      </c>
      <c r="I556" s="3" t="s">
        <v>59</v>
      </c>
      <c r="J556" s="3" t="s">
        <v>61</v>
      </c>
      <c r="K556" s="2" t="s">
        <v>6690</v>
      </c>
      <c r="L556" s="2" t="s">
        <v>6691</v>
      </c>
      <c r="M556" s="3" t="s">
        <v>404</v>
      </c>
      <c r="O556" s="3" t="s">
        <v>64</v>
      </c>
      <c r="P556" s="3" t="s">
        <v>405</v>
      </c>
      <c r="R556" s="3" t="s">
        <v>67</v>
      </c>
      <c r="S556" s="4">
        <v>2</v>
      </c>
      <c r="T556" s="4">
        <v>2</v>
      </c>
      <c r="U556" s="5" t="s">
        <v>1787</v>
      </c>
      <c r="V556" s="5" t="s">
        <v>1787</v>
      </c>
      <c r="W556" s="5" t="s">
        <v>6631</v>
      </c>
      <c r="X556" s="5" t="s">
        <v>6631</v>
      </c>
      <c r="Y556" s="4">
        <v>317</v>
      </c>
      <c r="Z556" s="4">
        <v>213</v>
      </c>
      <c r="AA556" s="4">
        <v>223</v>
      </c>
      <c r="AB556" s="4">
        <v>3</v>
      </c>
      <c r="AC556" s="4">
        <v>3</v>
      </c>
      <c r="AD556" s="4">
        <v>6</v>
      </c>
      <c r="AE556" s="4">
        <v>7</v>
      </c>
      <c r="AF556" s="4">
        <v>1</v>
      </c>
      <c r="AG556" s="4">
        <v>2</v>
      </c>
      <c r="AH556" s="4">
        <v>1</v>
      </c>
      <c r="AI556" s="4">
        <v>1</v>
      </c>
      <c r="AJ556" s="4">
        <v>2</v>
      </c>
      <c r="AK556" s="4">
        <v>3</v>
      </c>
      <c r="AL556" s="4">
        <v>2</v>
      </c>
      <c r="AM556" s="4">
        <v>2</v>
      </c>
      <c r="AN556" s="4">
        <v>0</v>
      </c>
      <c r="AO556" s="4">
        <v>0</v>
      </c>
      <c r="AP556" s="3" t="s">
        <v>59</v>
      </c>
      <c r="AQ556" s="3" t="s">
        <v>69</v>
      </c>
      <c r="AR556" s="6" t="str">
        <f>HYPERLINK("http://catalog.hathitrust.org/Record/001500616","HathiTrust Record")</f>
        <v>HathiTrust Record</v>
      </c>
      <c r="AS556" s="6" t="str">
        <f>HYPERLINK("https://creighton-primo.hosted.exlibrisgroup.com/primo-explore/search?tab=default_tab&amp;search_scope=EVERYTHING&amp;vid=01CRU&amp;lang=en_US&amp;offset=0&amp;query=any,contains,991000018059702656","Catalog Record")</f>
        <v>Catalog Record</v>
      </c>
      <c r="AT556" s="6" t="str">
        <f>HYPERLINK("http://www.worldcat.org/oclc/17012","WorldCat Record")</f>
        <v>WorldCat Record</v>
      </c>
      <c r="AU556" s="3" t="s">
        <v>6692</v>
      </c>
      <c r="AV556" s="3" t="s">
        <v>6693</v>
      </c>
      <c r="AW556" s="3" t="s">
        <v>6694</v>
      </c>
      <c r="AX556" s="3" t="s">
        <v>6694</v>
      </c>
      <c r="AY556" s="3" t="s">
        <v>6695</v>
      </c>
      <c r="AZ556" s="3" t="s">
        <v>74</v>
      </c>
      <c r="BB556" s="3" t="s">
        <v>6696</v>
      </c>
      <c r="BC556" s="3" t="s">
        <v>6697</v>
      </c>
      <c r="BD556" s="3" t="s">
        <v>6698</v>
      </c>
    </row>
    <row r="557" spans="1:56" ht="57.75" customHeight="1" x14ac:dyDescent="0.25">
      <c r="A557" s="7" t="s">
        <v>59</v>
      </c>
      <c r="B557" s="2" t="s">
        <v>6699</v>
      </c>
      <c r="C557" s="2" t="s">
        <v>6700</v>
      </c>
      <c r="D557" s="2" t="s">
        <v>6701</v>
      </c>
      <c r="F557" s="3" t="s">
        <v>59</v>
      </c>
      <c r="G557" s="3" t="s">
        <v>60</v>
      </c>
      <c r="H557" s="3" t="s">
        <v>59</v>
      </c>
      <c r="I557" s="3" t="s">
        <v>59</v>
      </c>
      <c r="J557" s="3" t="s">
        <v>61</v>
      </c>
      <c r="K557" s="2" t="s">
        <v>6702</v>
      </c>
      <c r="L557" s="2" t="s">
        <v>6703</v>
      </c>
      <c r="M557" s="3" t="s">
        <v>540</v>
      </c>
      <c r="O557" s="3" t="s">
        <v>64</v>
      </c>
      <c r="P557" s="3" t="s">
        <v>405</v>
      </c>
      <c r="R557" s="3" t="s">
        <v>67</v>
      </c>
      <c r="S557" s="4">
        <v>31</v>
      </c>
      <c r="T557" s="4">
        <v>31</v>
      </c>
      <c r="U557" s="5" t="s">
        <v>5298</v>
      </c>
      <c r="V557" s="5" t="s">
        <v>5298</v>
      </c>
      <c r="W557" s="5" t="s">
        <v>2687</v>
      </c>
      <c r="X557" s="5" t="s">
        <v>2687</v>
      </c>
      <c r="Y557" s="4">
        <v>409</v>
      </c>
      <c r="Z557" s="4">
        <v>254</v>
      </c>
      <c r="AA557" s="4">
        <v>293</v>
      </c>
      <c r="AB557" s="4">
        <v>4</v>
      </c>
      <c r="AC557" s="4">
        <v>4</v>
      </c>
      <c r="AD557" s="4">
        <v>8</v>
      </c>
      <c r="AE557" s="4">
        <v>10</v>
      </c>
      <c r="AF557" s="4">
        <v>1</v>
      </c>
      <c r="AG557" s="4">
        <v>2</v>
      </c>
      <c r="AH557" s="4">
        <v>2</v>
      </c>
      <c r="AI557" s="4">
        <v>3</v>
      </c>
      <c r="AJ557" s="4">
        <v>4</v>
      </c>
      <c r="AK557" s="4">
        <v>4</v>
      </c>
      <c r="AL557" s="4">
        <v>3</v>
      </c>
      <c r="AM557" s="4">
        <v>3</v>
      </c>
      <c r="AN557" s="4">
        <v>0</v>
      </c>
      <c r="AO557" s="4">
        <v>0</v>
      </c>
      <c r="AP557" s="3" t="s">
        <v>59</v>
      </c>
      <c r="AQ557" s="3" t="s">
        <v>69</v>
      </c>
      <c r="AR557" s="6" t="str">
        <f>HYPERLINK("http://catalog.hathitrust.org/Record/000307352","HathiTrust Record")</f>
        <v>HathiTrust Record</v>
      </c>
      <c r="AS557" s="6" t="str">
        <f>HYPERLINK("https://creighton-primo.hosted.exlibrisgroup.com/primo-explore/search?tab=default_tab&amp;search_scope=EVERYTHING&amp;vid=01CRU&amp;lang=en_US&amp;offset=0&amp;query=any,contains,991005192489702656","Catalog Record")</f>
        <v>Catalog Record</v>
      </c>
      <c r="AT557" s="6" t="str">
        <f>HYPERLINK("http://www.worldcat.org/oclc/8022003","WorldCat Record")</f>
        <v>WorldCat Record</v>
      </c>
      <c r="AU557" s="3" t="s">
        <v>6704</v>
      </c>
      <c r="AV557" s="3" t="s">
        <v>6705</v>
      </c>
      <c r="AW557" s="3" t="s">
        <v>6706</v>
      </c>
      <c r="AX557" s="3" t="s">
        <v>6706</v>
      </c>
      <c r="AY557" s="3" t="s">
        <v>6707</v>
      </c>
      <c r="AZ557" s="3" t="s">
        <v>74</v>
      </c>
      <c r="BB557" s="3" t="s">
        <v>6708</v>
      </c>
      <c r="BC557" s="3" t="s">
        <v>6709</v>
      </c>
      <c r="BD557" s="3" t="s">
        <v>6710</v>
      </c>
    </row>
    <row r="558" spans="1:56" ht="57.75" customHeight="1" x14ac:dyDescent="0.25">
      <c r="A558" s="7" t="s">
        <v>59</v>
      </c>
      <c r="B558" s="2" t="s">
        <v>6711</v>
      </c>
      <c r="C558" s="2" t="s">
        <v>6712</v>
      </c>
      <c r="D558" s="2" t="s">
        <v>6713</v>
      </c>
      <c r="F558" s="3" t="s">
        <v>59</v>
      </c>
      <c r="G558" s="3" t="s">
        <v>60</v>
      </c>
      <c r="H558" s="3" t="s">
        <v>59</v>
      </c>
      <c r="I558" s="3" t="s">
        <v>59</v>
      </c>
      <c r="J558" s="3" t="s">
        <v>61</v>
      </c>
      <c r="K558" s="2" t="s">
        <v>6714</v>
      </c>
      <c r="L558" s="2" t="s">
        <v>6715</v>
      </c>
      <c r="M558" s="3" t="s">
        <v>239</v>
      </c>
      <c r="N558" s="2" t="s">
        <v>556</v>
      </c>
      <c r="O558" s="3" t="s">
        <v>64</v>
      </c>
      <c r="P558" s="3" t="s">
        <v>467</v>
      </c>
      <c r="Q558" s="2" t="s">
        <v>6716</v>
      </c>
      <c r="R558" s="3" t="s">
        <v>67</v>
      </c>
      <c r="S558" s="4">
        <v>17</v>
      </c>
      <c r="T558" s="4">
        <v>17</v>
      </c>
      <c r="U558" s="5" t="s">
        <v>5298</v>
      </c>
      <c r="V558" s="5" t="s">
        <v>5298</v>
      </c>
      <c r="W558" s="5" t="s">
        <v>6717</v>
      </c>
      <c r="X558" s="5" t="s">
        <v>6717</v>
      </c>
      <c r="Y558" s="4">
        <v>1021</v>
      </c>
      <c r="Z558" s="4">
        <v>953</v>
      </c>
      <c r="AA558" s="4">
        <v>1115</v>
      </c>
      <c r="AB558" s="4">
        <v>8</v>
      </c>
      <c r="AC558" s="4">
        <v>8</v>
      </c>
      <c r="AD558" s="4">
        <v>23</v>
      </c>
      <c r="AE558" s="4">
        <v>25</v>
      </c>
      <c r="AF558" s="4">
        <v>9</v>
      </c>
      <c r="AG558" s="4">
        <v>10</v>
      </c>
      <c r="AH558" s="4">
        <v>2</v>
      </c>
      <c r="AI558" s="4">
        <v>3</v>
      </c>
      <c r="AJ558" s="4">
        <v>9</v>
      </c>
      <c r="AK558" s="4">
        <v>9</v>
      </c>
      <c r="AL558" s="4">
        <v>6</v>
      </c>
      <c r="AM558" s="4">
        <v>6</v>
      </c>
      <c r="AN558" s="4">
        <v>0</v>
      </c>
      <c r="AO558" s="4">
        <v>0</v>
      </c>
      <c r="AP558" s="3" t="s">
        <v>59</v>
      </c>
      <c r="AQ558" s="3" t="s">
        <v>59</v>
      </c>
      <c r="AS558" s="6" t="str">
        <f>HYPERLINK("https://creighton-primo.hosted.exlibrisgroup.com/primo-explore/search?tab=default_tab&amp;search_scope=EVERYTHING&amp;vid=01CRU&amp;lang=en_US&amp;offset=0&amp;query=any,contains,991002615979702656","Catalog Record")</f>
        <v>Catalog Record</v>
      </c>
      <c r="AT558" s="6" t="str">
        <f>HYPERLINK("http://www.worldcat.org/oclc/34284013","WorldCat Record")</f>
        <v>WorldCat Record</v>
      </c>
      <c r="AU558" s="3" t="s">
        <v>6718</v>
      </c>
      <c r="AV558" s="3" t="s">
        <v>6719</v>
      </c>
      <c r="AW558" s="3" t="s">
        <v>6720</v>
      </c>
      <c r="AX558" s="3" t="s">
        <v>6720</v>
      </c>
      <c r="AY558" s="3" t="s">
        <v>6721</v>
      </c>
      <c r="AZ558" s="3" t="s">
        <v>74</v>
      </c>
      <c r="BB558" s="3" t="s">
        <v>6722</v>
      </c>
      <c r="BC558" s="3" t="s">
        <v>6723</v>
      </c>
      <c r="BD558" s="3" t="s">
        <v>6724</v>
      </c>
    </row>
    <row r="559" spans="1:56" ht="57.75" customHeight="1" x14ac:dyDescent="0.25">
      <c r="A559" s="7" t="s">
        <v>59</v>
      </c>
      <c r="B559" s="2" t="s">
        <v>6725</v>
      </c>
      <c r="C559" s="2" t="s">
        <v>6726</v>
      </c>
      <c r="D559" s="2" t="s">
        <v>6727</v>
      </c>
      <c r="F559" s="3" t="s">
        <v>59</v>
      </c>
      <c r="G559" s="3" t="s">
        <v>60</v>
      </c>
      <c r="H559" s="3" t="s">
        <v>59</v>
      </c>
      <c r="I559" s="3" t="s">
        <v>59</v>
      </c>
      <c r="J559" s="3" t="s">
        <v>61</v>
      </c>
      <c r="K559" s="2" t="s">
        <v>4912</v>
      </c>
      <c r="L559" s="2" t="s">
        <v>6728</v>
      </c>
      <c r="M559" s="3" t="s">
        <v>6729</v>
      </c>
      <c r="O559" s="3" t="s">
        <v>64</v>
      </c>
      <c r="P559" s="3" t="s">
        <v>932</v>
      </c>
      <c r="R559" s="3" t="s">
        <v>67</v>
      </c>
      <c r="S559" s="4">
        <v>1</v>
      </c>
      <c r="T559" s="4">
        <v>1</v>
      </c>
      <c r="U559" s="5" t="s">
        <v>6130</v>
      </c>
      <c r="V559" s="5" t="s">
        <v>6130</v>
      </c>
      <c r="W559" s="5" t="s">
        <v>6631</v>
      </c>
      <c r="X559" s="5" t="s">
        <v>6631</v>
      </c>
      <c r="Y559" s="4">
        <v>202</v>
      </c>
      <c r="Z559" s="4">
        <v>188</v>
      </c>
      <c r="AA559" s="4">
        <v>261</v>
      </c>
      <c r="AB559" s="4">
        <v>4</v>
      </c>
      <c r="AC559" s="4">
        <v>4</v>
      </c>
      <c r="AD559" s="4">
        <v>10</v>
      </c>
      <c r="AE559" s="4">
        <v>12</v>
      </c>
      <c r="AF559" s="4">
        <v>2</v>
      </c>
      <c r="AG559" s="4">
        <v>3</v>
      </c>
      <c r="AH559" s="4">
        <v>2</v>
      </c>
      <c r="AI559" s="4">
        <v>2</v>
      </c>
      <c r="AJ559" s="4">
        <v>6</v>
      </c>
      <c r="AK559" s="4">
        <v>8</v>
      </c>
      <c r="AL559" s="4">
        <v>3</v>
      </c>
      <c r="AM559" s="4">
        <v>3</v>
      </c>
      <c r="AN559" s="4">
        <v>0</v>
      </c>
      <c r="AO559" s="4">
        <v>0</v>
      </c>
      <c r="AP559" s="3" t="s">
        <v>69</v>
      </c>
      <c r="AQ559" s="3" t="s">
        <v>59</v>
      </c>
      <c r="AR559" s="6" t="str">
        <f>HYPERLINK("http://catalog.hathitrust.org/Record/004414034","HathiTrust Record")</f>
        <v>HathiTrust Record</v>
      </c>
      <c r="AS559" s="6" t="str">
        <f>HYPERLINK("https://creighton-primo.hosted.exlibrisgroup.com/primo-explore/search?tab=default_tab&amp;search_scope=EVERYTHING&amp;vid=01CRU&amp;lang=en_US&amp;offset=0&amp;query=any,contains,991003465169702656","Catalog Record")</f>
        <v>Catalog Record</v>
      </c>
      <c r="AT559" s="6" t="str">
        <f>HYPERLINK("http://www.worldcat.org/oclc/1006811","WorldCat Record")</f>
        <v>WorldCat Record</v>
      </c>
      <c r="AU559" s="3" t="s">
        <v>6730</v>
      </c>
      <c r="AV559" s="3" t="s">
        <v>6731</v>
      </c>
      <c r="AW559" s="3" t="s">
        <v>6732</v>
      </c>
      <c r="AX559" s="3" t="s">
        <v>6732</v>
      </c>
      <c r="AY559" s="3" t="s">
        <v>6733</v>
      </c>
      <c r="AZ559" s="3" t="s">
        <v>74</v>
      </c>
      <c r="BC559" s="3" t="s">
        <v>6734</v>
      </c>
      <c r="BD559" s="3" t="s">
        <v>6735</v>
      </c>
    </row>
    <row r="560" spans="1:56" ht="57.75" customHeight="1" x14ac:dyDescent="0.25">
      <c r="A560" s="7" t="s">
        <v>59</v>
      </c>
      <c r="B560" s="2" t="s">
        <v>6736</v>
      </c>
      <c r="C560" s="2" t="s">
        <v>6737</v>
      </c>
      <c r="D560" s="2" t="s">
        <v>6738</v>
      </c>
      <c r="F560" s="3" t="s">
        <v>59</v>
      </c>
      <c r="G560" s="3" t="s">
        <v>60</v>
      </c>
      <c r="H560" s="3" t="s">
        <v>59</v>
      </c>
      <c r="I560" s="3" t="s">
        <v>59</v>
      </c>
      <c r="J560" s="3" t="s">
        <v>61</v>
      </c>
      <c r="K560" s="2" t="s">
        <v>4912</v>
      </c>
      <c r="L560" s="2" t="s">
        <v>6739</v>
      </c>
      <c r="M560" s="3" t="s">
        <v>6740</v>
      </c>
      <c r="O560" s="3" t="s">
        <v>64</v>
      </c>
      <c r="P560" s="3" t="s">
        <v>932</v>
      </c>
      <c r="R560" s="3" t="s">
        <v>67</v>
      </c>
      <c r="S560" s="4">
        <v>3</v>
      </c>
      <c r="T560" s="4">
        <v>3</v>
      </c>
      <c r="U560" s="5" t="s">
        <v>6741</v>
      </c>
      <c r="V560" s="5" t="s">
        <v>6741</v>
      </c>
      <c r="W560" s="5" t="s">
        <v>6631</v>
      </c>
      <c r="X560" s="5" t="s">
        <v>6631</v>
      </c>
      <c r="Y560" s="4">
        <v>179</v>
      </c>
      <c r="Z560" s="4">
        <v>171</v>
      </c>
      <c r="AA560" s="4">
        <v>252</v>
      </c>
      <c r="AB560" s="4">
        <v>3</v>
      </c>
      <c r="AC560" s="4">
        <v>3</v>
      </c>
      <c r="AD560" s="4">
        <v>9</v>
      </c>
      <c r="AE560" s="4">
        <v>14</v>
      </c>
      <c r="AF560" s="4">
        <v>2</v>
      </c>
      <c r="AG560" s="4">
        <v>3</v>
      </c>
      <c r="AH560" s="4">
        <v>1</v>
      </c>
      <c r="AI560" s="4">
        <v>3</v>
      </c>
      <c r="AJ560" s="4">
        <v>6</v>
      </c>
      <c r="AK560" s="4">
        <v>10</v>
      </c>
      <c r="AL560" s="4">
        <v>2</v>
      </c>
      <c r="AM560" s="4">
        <v>2</v>
      </c>
      <c r="AN560" s="4">
        <v>0</v>
      </c>
      <c r="AO560" s="4">
        <v>0</v>
      </c>
      <c r="AP560" s="3" t="s">
        <v>69</v>
      </c>
      <c r="AQ560" s="3" t="s">
        <v>59</v>
      </c>
      <c r="AR560" s="6" t="str">
        <f>HYPERLINK("http://catalog.hathitrust.org/Record/001500626","HathiTrust Record")</f>
        <v>HathiTrust Record</v>
      </c>
      <c r="AS560" s="6" t="str">
        <f>HYPERLINK("https://creighton-primo.hosted.exlibrisgroup.com/primo-explore/search?tab=default_tab&amp;search_scope=EVERYTHING&amp;vid=01CRU&amp;lang=en_US&amp;offset=0&amp;query=any,contains,991003465139702656","Catalog Record")</f>
        <v>Catalog Record</v>
      </c>
      <c r="AT560" s="6" t="str">
        <f>HYPERLINK("http://www.worldcat.org/oclc/1006779","WorldCat Record")</f>
        <v>WorldCat Record</v>
      </c>
      <c r="AU560" s="3" t="s">
        <v>6742</v>
      </c>
      <c r="AV560" s="3" t="s">
        <v>6743</v>
      </c>
      <c r="AW560" s="3" t="s">
        <v>6744</v>
      </c>
      <c r="AX560" s="3" t="s">
        <v>6744</v>
      </c>
      <c r="AY560" s="3" t="s">
        <v>6745</v>
      </c>
      <c r="AZ560" s="3" t="s">
        <v>74</v>
      </c>
      <c r="BC560" s="3" t="s">
        <v>6746</v>
      </c>
      <c r="BD560" s="3" t="s">
        <v>6747</v>
      </c>
    </row>
    <row r="561" spans="1:56" ht="57.75" customHeight="1" x14ac:dyDescent="0.25">
      <c r="A561" s="7" t="s">
        <v>59</v>
      </c>
      <c r="B561" s="2" t="s">
        <v>6748</v>
      </c>
      <c r="C561" s="2" t="s">
        <v>6749</v>
      </c>
      <c r="D561" s="2" t="s">
        <v>6750</v>
      </c>
      <c r="F561" s="3" t="s">
        <v>59</v>
      </c>
      <c r="G561" s="3" t="s">
        <v>60</v>
      </c>
      <c r="H561" s="3" t="s">
        <v>59</v>
      </c>
      <c r="I561" s="3" t="s">
        <v>59</v>
      </c>
      <c r="J561" s="3" t="s">
        <v>61</v>
      </c>
      <c r="L561" s="2" t="s">
        <v>6751</v>
      </c>
      <c r="M561" s="3" t="s">
        <v>1430</v>
      </c>
      <c r="O561" s="3" t="s">
        <v>64</v>
      </c>
      <c r="P561" s="3" t="s">
        <v>467</v>
      </c>
      <c r="Q561" s="2" t="s">
        <v>6752</v>
      </c>
      <c r="R561" s="3" t="s">
        <v>67</v>
      </c>
      <c r="S561" s="4">
        <v>113</v>
      </c>
      <c r="T561" s="4">
        <v>113</v>
      </c>
      <c r="U561" s="5" t="s">
        <v>6753</v>
      </c>
      <c r="V561" s="5" t="s">
        <v>6753</v>
      </c>
      <c r="W561" s="5" t="s">
        <v>543</v>
      </c>
      <c r="X561" s="5" t="s">
        <v>543</v>
      </c>
      <c r="Y561" s="4">
        <v>594</v>
      </c>
      <c r="Z561" s="4">
        <v>451</v>
      </c>
      <c r="AA561" s="4">
        <v>474</v>
      </c>
      <c r="AB561" s="4">
        <v>4</v>
      </c>
      <c r="AC561" s="4">
        <v>4</v>
      </c>
      <c r="AD561" s="4">
        <v>15</v>
      </c>
      <c r="AE561" s="4">
        <v>15</v>
      </c>
      <c r="AF561" s="4">
        <v>6</v>
      </c>
      <c r="AG561" s="4">
        <v>6</v>
      </c>
      <c r="AH561" s="4">
        <v>3</v>
      </c>
      <c r="AI561" s="4">
        <v>3</v>
      </c>
      <c r="AJ561" s="4">
        <v>8</v>
      </c>
      <c r="AK561" s="4">
        <v>8</v>
      </c>
      <c r="AL561" s="4">
        <v>3</v>
      </c>
      <c r="AM561" s="4">
        <v>3</v>
      </c>
      <c r="AN561" s="4">
        <v>0</v>
      </c>
      <c r="AO561" s="4">
        <v>0</v>
      </c>
      <c r="AP561" s="3" t="s">
        <v>59</v>
      </c>
      <c r="AQ561" s="3" t="s">
        <v>69</v>
      </c>
      <c r="AR561" s="6" t="str">
        <f>HYPERLINK("http://catalog.hathitrust.org/Record/000609142","HathiTrust Record")</f>
        <v>HathiTrust Record</v>
      </c>
      <c r="AS561" s="6" t="str">
        <f>HYPERLINK("https://creighton-primo.hosted.exlibrisgroup.com/primo-explore/search?tab=default_tab&amp;search_scope=EVERYTHING&amp;vid=01CRU&amp;lang=en_US&amp;offset=0&amp;query=any,contains,991000366459702656","Catalog Record")</f>
        <v>Catalog Record</v>
      </c>
      <c r="AT561" s="6" t="str">
        <f>HYPERLINK("http://www.worldcat.org/oclc/10403493","WorldCat Record")</f>
        <v>WorldCat Record</v>
      </c>
      <c r="AU561" s="3" t="s">
        <v>6754</v>
      </c>
      <c r="AV561" s="3" t="s">
        <v>6755</v>
      </c>
      <c r="AW561" s="3" t="s">
        <v>6756</v>
      </c>
      <c r="AX561" s="3" t="s">
        <v>6756</v>
      </c>
      <c r="AY561" s="3" t="s">
        <v>6757</v>
      </c>
      <c r="AZ561" s="3" t="s">
        <v>74</v>
      </c>
      <c r="BB561" s="3" t="s">
        <v>6758</v>
      </c>
      <c r="BC561" s="3" t="s">
        <v>6759</v>
      </c>
      <c r="BD561" s="3" t="s">
        <v>6760</v>
      </c>
    </row>
    <row r="562" spans="1:56" ht="57.75" customHeight="1" x14ac:dyDescent="0.25">
      <c r="A562" s="7" t="s">
        <v>59</v>
      </c>
      <c r="B562" s="2" t="s">
        <v>6761</v>
      </c>
      <c r="C562" s="2" t="s">
        <v>6762</v>
      </c>
      <c r="D562" s="2" t="s">
        <v>6763</v>
      </c>
      <c r="F562" s="3" t="s">
        <v>59</v>
      </c>
      <c r="G562" s="3" t="s">
        <v>60</v>
      </c>
      <c r="H562" s="3" t="s">
        <v>59</v>
      </c>
      <c r="I562" s="3" t="s">
        <v>59</v>
      </c>
      <c r="J562" s="3" t="s">
        <v>61</v>
      </c>
      <c r="K562" s="2" t="s">
        <v>6764</v>
      </c>
      <c r="L562" s="2" t="s">
        <v>6765</v>
      </c>
      <c r="M562" s="3" t="s">
        <v>2073</v>
      </c>
      <c r="O562" s="3" t="s">
        <v>64</v>
      </c>
      <c r="P562" s="3" t="s">
        <v>630</v>
      </c>
      <c r="Q562" s="2" t="s">
        <v>6766</v>
      </c>
      <c r="R562" s="3" t="s">
        <v>67</v>
      </c>
      <c r="S562" s="4">
        <v>26</v>
      </c>
      <c r="T562" s="4">
        <v>26</v>
      </c>
      <c r="U562" s="5" t="s">
        <v>6767</v>
      </c>
      <c r="V562" s="5" t="s">
        <v>6767</v>
      </c>
      <c r="W562" s="5" t="s">
        <v>2687</v>
      </c>
      <c r="X562" s="5" t="s">
        <v>2687</v>
      </c>
      <c r="Y562" s="4">
        <v>1186</v>
      </c>
      <c r="Z562" s="4">
        <v>1109</v>
      </c>
      <c r="AA562" s="4">
        <v>1118</v>
      </c>
      <c r="AB562" s="4">
        <v>9</v>
      </c>
      <c r="AC562" s="4">
        <v>9</v>
      </c>
      <c r="AD562" s="4">
        <v>18</v>
      </c>
      <c r="AE562" s="4">
        <v>18</v>
      </c>
      <c r="AF562" s="4">
        <v>8</v>
      </c>
      <c r="AG562" s="4">
        <v>8</v>
      </c>
      <c r="AH562" s="4">
        <v>1</v>
      </c>
      <c r="AI562" s="4">
        <v>1</v>
      </c>
      <c r="AJ562" s="4">
        <v>8</v>
      </c>
      <c r="AK562" s="4">
        <v>8</v>
      </c>
      <c r="AL562" s="4">
        <v>4</v>
      </c>
      <c r="AM562" s="4">
        <v>4</v>
      </c>
      <c r="AN562" s="4">
        <v>0</v>
      </c>
      <c r="AO562" s="4">
        <v>0</v>
      </c>
      <c r="AP562" s="3" t="s">
        <v>59</v>
      </c>
      <c r="AQ562" s="3" t="s">
        <v>69</v>
      </c>
      <c r="AR562" s="6" t="str">
        <f>HYPERLINK("http://catalog.hathitrust.org/Record/000780227","HathiTrust Record")</f>
        <v>HathiTrust Record</v>
      </c>
      <c r="AS562" s="6" t="str">
        <f>HYPERLINK("https://creighton-primo.hosted.exlibrisgroup.com/primo-explore/search?tab=default_tab&amp;search_scope=EVERYTHING&amp;vid=01CRU&amp;lang=en_US&amp;offset=0&amp;query=any,contains,991000146289702656","Catalog Record")</f>
        <v>Catalog Record</v>
      </c>
      <c r="AT562" s="6" t="str">
        <f>HYPERLINK("http://www.worldcat.org/oclc/9195548","WorldCat Record")</f>
        <v>WorldCat Record</v>
      </c>
      <c r="AU562" s="3" t="s">
        <v>6768</v>
      </c>
      <c r="AV562" s="3" t="s">
        <v>6769</v>
      </c>
      <c r="AW562" s="3" t="s">
        <v>6770</v>
      </c>
      <c r="AX562" s="3" t="s">
        <v>6770</v>
      </c>
      <c r="AY562" s="3" t="s">
        <v>6771</v>
      </c>
      <c r="AZ562" s="3" t="s">
        <v>74</v>
      </c>
      <c r="BB562" s="3" t="s">
        <v>6772</v>
      </c>
      <c r="BC562" s="3" t="s">
        <v>6773</v>
      </c>
      <c r="BD562" s="3" t="s">
        <v>6774</v>
      </c>
    </row>
    <row r="563" spans="1:56" ht="57.75" customHeight="1" x14ac:dyDescent="0.25">
      <c r="A563" s="7" t="s">
        <v>59</v>
      </c>
      <c r="B563" s="2" t="s">
        <v>6775</v>
      </c>
      <c r="C563" s="2" t="s">
        <v>6776</v>
      </c>
      <c r="D563" s="2" t="s">
        <v>6777</v>
      </c>
      <c r="F563" s="3" t="s">
        <v>59</v>
      </c>
      <c r="G563" s="3" t="s">
        <v>60</v>
      </c>
      <c r="H563" s="3" t="s">
        <v>59</v>
      </c>
      <c r="I563" s="3" t="s">
        <v>59</v>
      </c>
      <c r="J563" s="3" t="s">
        <v>61</v>
      </c>
      <c r="K563" s="2" t="s">
        <v>6778</v>
      </c>
      <c r="L563" s="2" t="s">
        <v>6779</v>
      </c>
      <c r="M563" s="3" t="s">
        <v>1701</v>
      </c>
      <c r="O563" s="3" t="s">
        <v>64</v>
      </c>
      <c r="P563" s="3" t="s">
        <v>1268</v>
      </c>
      <c r="R563" s="3" t="s">
        <v>67</v>
      </c>
      <c r="S563" s="4">
        <v>11</v>
      </c>
      <c r="T563" s="4">
        <v>11</v>
      </c>
      <c r="U563" s="5" t="s">
        <v>6780</v>
      </c>
      <c r="V563" s="5" t="s">
        <v>6780</v>
      </c>
      <c r="W563" s="5" t="s">
        <v>6631</v>
      </c>
      <c r="X563" s="5" t="s">
        <v>6631</v>
      </c>
      <c r="Y563" s="4">
        <v>517</v>
      </c>
      <c r="Z563" s="4">
        <v>486</v>
      </c>
      <c r="AA563" s="4">
        <v>494</v>
      </c>
      <c r="AB563" s="4">
        <v>5</v>
      </c>
      <c r="AC563" s="4">
        <v>5</v>
      </c>
      <c r="AD563" s="4">
        <v>10</v>
      </c>
      <c r="AE563" s="4">
        <v>10</v>
      </c>
      <c r="AF563" s="4">
        <v>5</v>
      </c>
      <c r="AG563" s="4">
        <v>5</v>
      </c>
      <c r="AH563" s="4">
        <v>2</v>
      </c>
      <c r="AI563" s="4">
        <v>2</v>
      </c>
      <c r="AJ563" s="4">
        <v>2</v>
      </c>
      <c r="AK563" s="4">
        <v>2</v>
      </c>
      <c r="AL563" s="4">
        <v>3</v>
      </c>
      <c r="AM563" s="4">
        <v>3</v>
      </c>
      <c r="AN563" s="4">
        <v>0</v>
      </c>
      <c r="AO563" s="4">
        <v>0</v>
      </c>
      <c r="AP563" s="3" t="s">
        <v>59</v>
      </c>
      <c r="AQ563" s="3" t="s">
        <v>69</v>
      </c>
      <c r="AR563" s="6" t="str">
        <f>HYPERLINK("http://catalog.hathitrust.org/Record/000019974","HathiTrust Record")</f>
        <v>HathiTrust Record</v>
      </c>
      <c r="AS563" s="6" t="str">
        <f>HYPERLINK("https://creighton-primo.hosted.exlibrisgroup.com/primo-explore/search?tab=default_tab&amp;search_scope=EVERYTHING&amp;vid=01CRU&amp;lang=en_US&amp;offset=0&amp;query=any,contains,991003626249702656","Catalog Record")</f>
        <v>Catalog Record</v>
      </c>
      <c r="AT563" s="6" t="str">
        <f>HYPERLINK("http://www.worldcat.org/oclc/1217314","WorldCat Record")</f>
        <v>WorldCat Record</v>
      </c>
      <c r="AU563" s="3" t="s">
        <v>6781</v>
      </c>
      <c r="AV563" s="3" t="s">
        <v>6782</v>
      </c>
      <c r="AW563" s="3" t="s">
        <v>6783</v>
      </c>
      <c r="AX563" s="3" t="s">
        <v>6783</v>
      </c>
      <c r="AY563" s="3" t="s">
        <v>6784</v>
      </c>
      <c r="AZ563" s="3" t="s">
        <v>74</v>
      </c>
      <c r="BB563" s="3" t="s">
        <v>6785</v>
      </c>
      <c r="BC563" s="3" t="s">
        <v>6786</v>
      </c>
      <c r="BD563" s="3" t="s">
        <v>6787</v>
      </c>
    </row>
    <row r="564" spans="1:56" ht="57.75" customHeight="1" x14ac:dyDescent="0.25">
      <c r="A564" s="7" t="s">
        <v>59</v>
      </c>
      <c r="B564" s="2" t="s">
        <v>6788</v>
      </c>
      <c r="C564" s="2" t="s">
        <v>6789</v>
      </c>
      <c r="D564" s="2" t="s">
        <v>6790</v>
      </c>
      <c r="F564" s="3" t="s">
        <v>59</v>
      </c>
      <c r="G564" s="3" t="s">
        <v>60</v>
      </c>
      <c r="H564" s="3" t="s">
        <v>59</v>
      </c>
      <c r="I564" s="3" t="s">
        <v>59</v>
      </c>
      <c r="J564" s="3" t="s">
        <v>61</v>
      </c>
      <c r="K564" s="2" t="s">
        <v>4120</v>
      </c>
      <c r="L564" s="2" t="s">
        <v>6791</v>
      </c>
      <c r="M564" s="3" t="s">
        <v>6792</v>
      </c>
      <c r="N564" s="2" t="s">
        <v>556</v>
      </c>
      <c r="O564" s="3" t="s">
        <v>64</v>
      </c>
      <c r="P564" s="3" t="s">
        <v>2480</v>
      </c>
      <c r="Q564" s="2" t="s">
        <v>2937</v>
      </c>
      <c r="R564" s="3" t="s">
        <v>67</v>
      </c>
      <c r="S564" s="4">
        <v>10</v>
      </c>
      <c r="T564" s="4">
        <v>10</v>
      </c>
      <c r="U564" s="5" t="s">
        <v>6793</v>
      </c>
      <c r="V564" s="5" t="s">
        <v>6793</v>
      </c>
      <c r="W564" s="5" t="s">
        <v>6631</v>
      </c>
      <c r="X564" s="5" t="s">
        <v>6631</v>
      </c>
      <c r="Y564" s="4">
        <v>912</v>
      </c>
      <c r="Z564" s="4">
        <v>857</v>
      </c>
      <c r="AA564" s="4">
        <v>873</v>
      </c>
      <c r="AB564" s="4">
        <v>11</v>
      </c>
      <c r="AC564" s="4">
        <v>11</v>
      </c>
      <c r="AD564" s="4">
        <v>27</v>
      </c>
      <c r="AE564" s="4">
        <v>27</v>
      </c>
      <c r="AF564" s="4">
        <v>6</v>
      </c>
      <c r="AG564" s="4">
        <v>6</v>
      </c>
      <c r="AH564" s="4">
        <v>5</v>
      </c>
      <c r="AI564" s="4">
        <v>5</v>
      </c>
      <c r="AJ564" s="4">
        <v>11</v>
      </c>
      <c r="AK564" s="4">
        <v>11</v>
      </c>
      <c r="AL564" s="4">
        <v>9</v>
      </c>
      <c r="AM564" s="4">
        <v>9</v>
      </c>
      <c r="AN564" s="4">
        <v>0</v>
      </c>
      <c r="AO564" s="4">
        <v>0</v>
      </c>
      <c r="AP564" s="3" t="s">
        <v>59</v>
      </c>
      <c r="AQ564" s="3" t="s">
        <v>69</v>
      </c>
      <c r="AR564" s="6" t="str">
        <f>HYPERLINK("http://catalog.hathitrust.org/Record/001500622","HathiTrust Record")</f>
        <v>HathiTrust Record</v>
      </c>
      <c r="AS564" s="6" t="str">
        <f>HYPERLINK("https://creighton-primo.hosted.exlibrisgroup.com/primo-explore/search?tab=default_tab&amp;search_scope=EVERYTHING&amp;vid=01CRU&amp;lang=en_US&amp;offset=0&amp;query=any,contains,991001214639702656","Catalog Record")</f>
        <v>Catalog Record</v>
      </c>
      <c r="AT564" s="6" t="str">
        <f>HYPERLINK("http://www.worldcat.org/oclc/193604","WorldCat Record")</f>
        <v>WorldCat Record</v>
      </c>
      <c r="AU564" s="3" t="s">
        <v>6794</v>
      </c>
      <c r="AV564" s="3" t="s">
        <v>6795</v>
      </c>
      <c r="AW564" s="3" t="s">
        <v>6796</v>
      </c>
      <c r="AX564" s="3" t="s">
        <v>6796</v>
      </c>
      <c r="AY564" s="3" t="s">
        <v>6797</v>
      </c>
      <c r="AZ564" s="3" t="s">
        <v>74</v>
      </c>
      <c r="BC564" s="3" t="s">
        <v>6798</v>
      </c>
      <c r="BD564" s="3" t="s">
        <v>6799</v>
      </c>
    </row>
    <row r="565" spans="1:56" ht="57.75" customHeight="1" x14ac:dyDescent="0.25">
      <c r="A565" s="7" t="s">
        <v>59</v>
      </c>
      <c r="B565" s="2" t="s">
        <v>6800</v>
      </c>
      <c r="C565" s="2" t="s">
        <v>6801</v>
      </c>
      <c r="D565" s="2" t="s">
        <v>6802</v>
      </c>
      <c r="F565" s="3" t="s">
        <v>59</v>
      </c>
      <c r="G565" s="3" t="s">
        <v>60</v>
      </c>
      <c r="H565" s="3" t="s">
        <v>59</v>
      </c>
      <c r="I565" s="3" t="s">
        <v>59</v>
      </c>
      <c r="J565" s="3" t="s">
        <v>61</v>
      </c>
      <c r="K565" s="2" t="s">
        <v>6803</v>
      </c>
      <c r="L565" s="2" t="s">
        <v>6804</v>
      </c>
      <c r="M565" s="3" t="s">
        <v>313</v>
      </c>
      <c r="O565" s="3" t="s">
        <v>64</v>
      </c>
      <c r="P565" s="3" t="s">
        <v>186</v>
      </c>
      <c r="Q565" s="2" t="s">
        <v>6805</v>
      </c>
      <c r="R565" s="3" t="s">
        <v>67</v>
      </c>
      <c r="S565" s="4">
        <v>3</v>
      </c>
      <c r="T565" s="4">
        <v>3</v>
      </c>
      <c r="U565" s="5" t="s">
        <v>6806</v>
      </c>
      <c r="V565" s="5" t="s">
        <v>6806</v>
      </c>
      <c r="W565" s="5" t="s">
        <v>4252</v>
      </c>
      <c r="X565" s="5" t="s">
        <v>4252</v>
      </c>
      <c r="Y565" s="4">
        <v>147</v>
      </c>
      <c r="Z565" s="4">
        <v>93</v>
      </c>
      <c r="AA565" s="4">
        <v>99</v>
      </c>
      <c r="AB565" s="4">
        <v>2</v>
      </c>
      <c r="AC565" s="4">
        <v>2</v>
      </c>
      <c r="AD565" s="4">
        <v>4</v>
      </c>
      <c r="AE565" s="4">
        <v>4</v>
      </c>
      <c r="AF565" s="4">
        <v>0</v>
      </c>
      <c r="AG565" s="4">
        <v>0</v>
      </c>
      <c r="AH565" s="4">
        <v>1</v>
      </c>
      <c r="AI565" s="4">
        <v>1</v>
      </c>
      <c r="AJ565" s="4">
        <v>3</v>
      </c>
      <c r="AK565" s="4">
        <v>3</v>
      </c>
      <c r="AL565" s="4">
        <v>1</v>
      </c>
      <c r="AM565" s="4">
        <v>1</v>
      </c>
      <c r="AN565" s="4">
        <v>0</v>
      </c>
      <c r="AO565" s="4">
        <v>0</v>
      </c>
      <c r="AP565" s="3" t="s">
        <v>59</v>
      </c>
      <c r="AQ565" s="3" t="s">
        <v>59</v>
      </c>
      <c r="AS565" s="6" t="str">
        <f>HYPERLINK("https://creighton-primo.hosted.exlibrisgroup.com/primo-explore/search?tab=default_tab&amp;search_scope=EVERYTHING&amp;vid=01CRU&amp;lang=en_US&amp;offset=0&amp;query=any,contains,991003664339702656","Catalog Record")</f>
        <v>Catalog Record</v>
      </c>
      <c r="AT565" s="6" t="str">
        <f>HYPERLINK("http://www.worldcat.org/oclc/43633663","WorldCat Record")</f>
        <v>WorldCat Record</v>
      </c>
      <c r="AU565" s="3" t="s">
        <v>6807</v>
      </c>
      <c r="AV565" s="3" t="s">
        <v>6808</v>
      </c>
      <c r="AW565" s="3" t="s">
        <v>6809</v>
      </c>
      <c r="AX565" s="3" t="s">
        <v>6809</v>
      </c>
      <c r="AY565" s="3" t="s">
        <v>6810</v>
      </c>
      <c r="AZ565" s="3" t="s">
        <v>74</v>
      </c>
      <c r="BB565" s="3" t="s">
        <v>6811</v>
      </c>
      <c r="BC565" s="3" t="s">
        <v>6812</v>
      </c>
      <c r="BD565" s="3" t="s">
        <v>6813</v>
      </c>
    </row>
    <row r="566" spans="1:56" ht="57.75" customHeight="1" x14ac:dyDescent="0.25">
      <c r="A566" s="7" t="s">
        <v>59</v>
      </c>
      <c r="B566" s="2" t="s">
        <v>6814</v>
      </c>
      <c r="C566" s="2" t="s">
        <v>6815</v>
      </c>
      <c r="D566" s="2" t="s">
        <v>6816</v>
      </c>
      <c r="F566" s="3" t="s">
        <v>59</v>
      </c>
      <c r="G566" s="3" t="s">
        <v>60</v>
      </c>
      <c r="H566" s="3" t="s">
        <v>59</v>
      </c>
      <c r="I566" s="3" t="s">
        <v>59</v>
      </c>
      <c r="J566" s="3" t="s">
        <v>61</v>
      </c>
      <c r="K566" s="2" t="s">
        <v>6817</v>
      </c>
      <c r="L566" s="2" t="s">
        <v>6818</v>
      </c>
      <c r="M566" s="3" t="s">
        <v>297</v>
      </c>
      <c r="O566" s="3" t="s">
        <v>64</v>
      </c>
      <c r="P566" s="3" t="s">
        <v>2362</v>
      </c>
      <c r="R566" s="3" t="s">
        <v>67</v>
      </c>
      <c r="S566" s="4">
        <v>2</v>
      </c>
      <c r="T566" s="4">
        <v>2</v>
      </c>
      <c r="U566" s="5" t="s">
        <v>6806</v>
      </c>
      <c r="V566" s="5" t="s">
        <v>6806</v>
      </c>
      <c r="W566" s="5" t="s">
        <v>4252</v>
      </c>
      <c r="X566" s="5" t="s">
        <v>4252</v>
      </c>
      <c r="Y566" s="4">
        <v>163</v>
      </c>
      <c r="Z566" s="4">
        <v>142</v>
      </c>
      <c r="AA566" s="4">
        <v>142</v>
      </c>
      <c r="AB566" s="4">
        <v>2</v>
      </c>
      <c r="AC566" s="4">
        <v>2</v>
      </c>
      <c r="AD566" s="4">
        <v>6</v>
      </c>
      <c r="AE566" s="4">
        <v>6</v>
      </c>
      <c r="AF566" s="4">
        <v>3</v>
      </c>
      <c r="AG566" s="4">
        <v>3</v>
      </c>
      <c r="AH566" s="4">
        <v>0</v>
      </c>
      <c r="AI566" s="4">
        <v>0</v>
      </c>
      <c r="AJ566" s="4">
        <v>3</v>
      </c>
      <c r="AK566" s="4">
        <v>3</v>
      </c>
      <c r="AL566" s="4">
        <v>1</v>
      </c>
      <c r="AM566" s="4">
        <v>1</v>
      </c>
      <c r="AN566" s="4">
        <v>0</v>
      </c>
      <c r="AO566" s="4">
        <v>0</v>
      </c>
      <c r="AP566" s="3" t="s">
        <v>59</v>
      </c>
      <c r="AQ566" s="3" t="s">
        <v>59</v>
      </c>
      <c r="AS566" s="6" t="str">
        <f>HYPERLINK("https://creighton-primo.hosted.exlibrisgroup.com/primo-explore/search?tab=default_tab&amp;search_scope=EVERYTHING&amp;vid=01CRU&amp;lang=en_US&amp;offset=0&amp;query=any,contains,991003668179702656","Catalog Record")</f>
        <v>Catalog Record</v>
      </c>
      <c r="AT566" s="6" t="str">
        <f>HYPERLINK("http://www.worldcat.org/oclc/39887073","WorldCat Record")</f>
        <v>WorldCat Record</v>
      </c>
      <c r="AU566" s="3" t="s">
        <v>6819</v>
      </c>
      <c r="AV566" s="3" t="s">
        <v>6820</v>
      </c>
      <c r="AW566" s="3" t="s">
        <v>6821</v>
      </c>
      <c r="AX566" s="3" t="s">
        <v>6821</v>
      </c>
      <c r="AY566" s="3" t="s">
        <v>6822</v>
      </c>
      <c r="AZ566" s="3" t="s">
        <v>74</v>
      </c>
      <c r="BB566" s="3" t="s">
        <v>6823</v>
      </c>
      <c r="BC566" s="3" t="s">
        <v>6824</v>
      </c>
      <c r="BD566" s="3" t="s">
        <v>6825</v>
      </c>
    </row>
    <row r="567" spans="1:56" ht="57.75" customHeight="1" x14ac:dyDescent="0.25">
      <c r="A567" s="7" t="s">
        <v>59</v>
      </c>
      <c r="B567" s="2" t="s">
        <v>6826</v>
      </c>
      <c r="C567" s="2" t="s">
        <v>6827</v>
      </c>
      <c r="D567" s="2" t="s">
        <v>6828</v>
      </c>
      <c r="F567" s="3" t="s">
        <v>59</v>
      </c>
      <c r="G567" s="3" t="s">
        <v>60</v>
      </c>
      <c r="H567" s="3" t="s">
        <v>59</v>
      </c>
      <c r="I567" s="3" t="s">
        <v>59</v>
      </c>
      <c r="J567" s="3" t="s">
        <v>61</v>
      </c>
      <c r="K567" s="2" t="s">
        <v>6829</v>
      </c>
      <c r="L567" s="2" t="s">
        <v>6830</v>
      </c>
      <c r="M567" s="3" t="s">
        <v>172</v>
      </c>
      <c r="O567" s="3" t="s">
        <v>64</v>
      </c>
      <c r="P567" s="3" t="s">
        <v>405</v>
      </c>
      <c r="R567" s="3" t="s">
        <v>67</v>
      </c>
      <c r="S567" s="4">
        <v>1</v>
      </c>
      <c r="T567" s="4">
        <v>1</v>
      </c>
      <c r="U567" s="5" t="s">
        <v>6831</v>
      </c>
      <c r="V567" s="5" t="s">
        <v>6831</v>
      </c>
      <c r="W567" s="5" t="s">
        <v>6832</v>
      </c>
      <c r="X567" s="5" t="s">
        <v>6832</v>
      </c>
      <c r="Y567" s="4">
        <v>204</v>
      </c>
      <c r="Z567" s="4">
        <v>171</v>
      </c>
      <c r="AA567" s="4">
        <v>970</v>
      </c>
      <c r="AB567" s="4">
        <v>2</v>
      </c>
      <c r="AC567" s="4">
        <v>19</v>
      </c>
      <c r="AD567" s="4">
        <v>3</v>
      </c>
      <c r="AE567" s="4">
        <v>35</v>
      </c>
      <c r="AF567" s="4">
        <v>1</v>
      </c>
      <c r="AG567" s="4">
        <v>13</v>
      </c>
      <c r="AH567" s="4">
        <v>0</v>
      </c>
      <c r="AI567" s="4">
        <v>6</v>
      </c>
      <c r="AJ567" s="4">
        <v>1</v>
      </c>
      <c r="AK567" s="4">
        <v>9</v>
      </c>
      <c r="AL567" s="4">
        <v>1</v>
      </c>
      <c r="AM567" s="4">
        <v>11</v>
      </c>
      <c r="AN567" s="4">
        <v>0</v>
      </c>
      <c r="AO567" s="4">
        <v>1</v>
      </c>
      <c r="AP567" s="3" t="s">
        <v>59</v>
      </c>
      <c r="AQ567" s="3" t="s">
        <v>59</v>
      </c>
      <c r="AS567" s="6" t="str">
        <f>HYPERLINK("https://creighton-primo.hosted.exlibrisgroup.com/primo-explore/search?tab=default_tab&amp;search_scope=EVERYTHING&amp;vid=01CRU&amp;lang=en_US&amp;offset=0&amp;query=any,contains,991004630389702656","Catalog Record")</f>
        <v>Catalog Record</v>
      </c>
      <c r="AT567" s="6" t="str">
        <f>HYPERLINK("http://www.worldcat.org/oclc/56371459","WorldCat Record")</f>
        <v>WorldCat Record</v>
      </c>
      <c r="AU567" s="3" t="s">
        <v>6833</v>
      </c>
      <c r="AV567" s="3" t="s">
        <v>6834</v>
      </c>
      <c r="AW567" s="3" t="s">
        <v>6835</v>
      </c>
      <c r="AX567" s="3" t="s">
        <v>6835</v>
      </c>
      <c r="AY567" s="3" t="s">
        <v>6836</v>
      </c>
      <c r="AZ567" s="3" t="s">
        <v>74</v>
      </c>
      <c r="BB567" s="3" t="s">
        <v>6837</v>
      </c>
      <c r="BC567" s="3" t="s">
        <v>6838</v>
      </c>
      <c r="BD567" s="3" t="s">
        <v>6839</v>
      </c>
    </row>
    <row r="568" spans="1:56" ht="57.75" customHeight="1" x14ac:dyDescent="0.25">
      <c r="A568" s="7" t="s">
        <v>59</v>
      </c>
      <c r="B568" s="2" t="s">
        <v>6840</v>
      </c>
      <c r="C568" s="2" t="s">
        <v>6841</v>
      </c>
      <c r="D568" s="2" t="s">
        <v>6842</v>
      </c>
      <c r="F568" s="3" t="s">
        <v>59</v>
      </c>
      <c r="G568" s="3" t="s">
        <v>60</v>
      </c>
      <c r="H568" s="3" t="s">
        <v>59</v>
      </c>
      <c r="I568" s="3" t="s">
        <v>59</v>
      </c>
      <c r="J568" s="3" t="s">
        <v>61</v>
      </c>
      <c r="K568" s="2" t="s">
        <v>6829</v>
      </c>
      <c r="L568" s="2" t="s">
        <v>5472</v>
      </c>
      <c r="M568" s="3" t="s">
        <v>313</v>
      </c>
      <c r="O568" s="3" t="s">
        <v>64</v>
      </c>
      <c r="P568" s="3" t="s">
        <v>467</v>
      </c>
      <c r="Q568" s="2" t="s">
        <v>5473</v>
      </c>
      <c r="R568" s="3" t="s">
        <v>67</v>
      </c>
      <c r="S568" s="4">
        <v>5</v>
      </c>
      <c r="T568" s="4">
        <v>5</v>
      </c>
      <c r="U568" s="5" t="s">
        <v>6843</v>
      </c>
      <c r="V568" s="5" t="s">
        <v>6843</v>
      </c>
      <c r="W568" s="5" t="s">
        <v>6844</v>
      </c>
      <c r="X568" s="5" t="s">
        <v>6844</v>
      </c>
      <c r="Y568" s="4">
        <v>246</v>
      </c>
      <c r="Z568" s="4">
        <v>206</v>
      </c>
      <c r="AA568" s="4">
        <v>208</v>
      </c>
      <c r="AB568" s="4">
        <v>3</v>
      </c>
      <c r="AC568" s="4">
        <v>3</v>
      </c>
      <c r="AD568" s="4">
        <v>7</v>
      </c>
      <c r="AE568" s="4">
        <v>7</v>
      </c>
      <c r="AF568" s="4">
        <v>1</v>
      </c>
      <c r="AG568" s="4">
        <v>1</v>
      </c>
      <c r="AH568" s="4">
        <v>2</v>
      </c>
      <c r="AI568" s="4">
        <v>2</v>
      </c>
      <c r="AJ568" s="4">
        <v>4</v>
      </c>
      <c r="AK568" s="4">
        <v>4</v>
      </c>
      <c r="AL568" s="4">
        <v>2</v>
      </c>
      <c r="AM568" s="4">
        <v>2</v>
      </c>
      <c r="AN568" s="4">
        <v>0</v>
      </c>
      <c r="AO568" s="4">
        <v>0</v>
      </c>
      <c r="AP568" s="3" t="s">
        <v>59</v>
      </c>
      <c r="AQ568" s="3" t="s">
        <v>59</v>
      </c>
      <c r="AS568" s="6" t="str">
        <f>HYPERLINK("https://creighton-primo.hosted.exlibrisgroup.com/primo-explore/search?tab=default_tab&amp;search_scope=EVERYTHING&amp;vid=01CRU&amp;lang=en_US&amp;offset=0&amp;query=any,contains,991004488529702656","Catalog Record")</f>
        <v>Catalog Record</v>
      </c>
      <c r="AT568" s="6" t="str">
        <f>HYPERLINK("http://www.worldcat.org/oclc/46462645","WorldCat Record")</f>
        <v>WorldCat Record</v>
      </c>
      <c r="AU568" s="3" t="s">
        <v>6845</v>
      </c>
      <c r="AV568" s="3" t="s">
        <v>6846</v>
      </c>
      <c r="AW568" s="3" t="s">
        <v>6847</v>
      </c>
      <c r="AX568" s="3" t="s">
        <v>6847</v>
      </c>
      <c r="AY568" s="3" t="s">
        <v>6848</v>
      </c>
      <c r="AZ568" s="3" t="s">
        <v>74</v>
      </c>
      <c r="BB568" s="3" t="s">
        <v>6849</v>
      </c>
      <c r="BC568" s="3" t="s">
        <v>6850</v>
      </c>
      <c r="BD568" s="3" t="s">
        <v>6851</v>
      </c>
    </row>
    <row r="569" spans="1:56" ht="57.75" customHeight="1" x14ac:dyDescent="0.25">
      <c r="A569" s="7" t="s">
        <v>59</v>
      </c>
      <c r="B569" s="2" t="s">
        <v>6852</v>
      </c>
      <c r="C569" s="2" t="s">
        <v>6853</v>
      </c>
      <c r="D569" s="2" t="s">
        <v>6854</v>
      </c>
      <c r="F569" s="3" t="s">
        <v>59</v>
      </c>
      <c r="G569" s="3" t="s">
        <v>60</v>
      </c>
      <c r="H569" s="3" t="s">
        <v>59</v>
      </c>
      <c r="I569" s="3" t="s">
        <v>59</v>
      </c>
      <c r="J569" s="3" t="s">
        <v>61</v>
      </c>
      <c r="K569" s="2" t="s">
        <v>6855</v>
      </c>
      <c r="L569" s="2" t="s">
        <v>6856</v>
      </c>
      <c r="M569" s="3" t="s">
        <v>617</v>
      </c>
      <c r="O569" s="3" t="s">
        <v>64</v>
      </c>
      <c r="P569" s="3" t="s">
        <v>1078</v>
      </c>
      <c r="Q569" s="2" t="s">
        <v>6857</v>
      </c>
      <c r="R569" s="3" t="s">
        <v>67</v>
      </c>
      <c r="S569" s="4">
        <v>3</v>
      </c>
      <c r="T569" s="4">
        <v>3</v>
      </c>
      <c r="U569" s="5" t="s">
        <v>6858</v>
      </c>
      <c r="V569" s="5" t="s">
        <v>6858</v>
      </c>
      <c r="W569" s="5" t="s">
        <v>6526</v>
      </c>
      <c r="X569" s="5" t="s">
        <v>6526</v>
      </c>
      <c r="Y569" s="4">
        <v>147</v>
      </c>
      <c r="Z569" s="4">
        <v>114</v>
      </c>
      <c r="AA569" s="4">
        <v>114</v>
      </c>
      <c r="AB569" s="4">
        <v>2</v>
      </c>
      <c r="AC569" s="4">
        <v>2</v>
      </c>
      <c r="AD569" s="4">
        <v>1</v>
      </c>
      <c r="AE569" s="4">
        <v>1</v>
      </c>
      <c r="AF569" s="4">
        <v>0</v>
      </c>
      <c r="AG569" s="4">
        <v>0</v>
      </c>
      <c r="AH569" s="4">
        <v>0</v>
      </c>
      <c r="AI569" s="4">
        <v>0</v>
      </c>
      <c r="AJ569" s="4">
        <v>0</v>
      </c>
      <c r="AK569" s="4">
        <v>0</v>
      </c>
      <c r="AL569" s="4">
        <v>1</v>
      </c>
      <c r="AM569" s="4">
        <v>1</v>
      </c>
      <c r="AN569" s="4">
        <v>0</v>
      </c>
      <c r="AO569" s="4">
        <v>0</v>
      </c>
      <c r="AP569" s="3" t="s">
        <v>59</v>
      </c>
      <c r="AQ569" s="3" t="s">
        <v>59</v>
      </c>
      <c r="AS569" s="6" t="str">
        <f>HYPERLINK("https://creighton-primo.hosted.exlibrisgroup.com/primo-explore/search?tab=default_tab&amp;search_scope=EVERYTHING&amp;vid=01CRU&amp;lang=en_US&amp;offset=0&amp;query=any,contains,991004895789702656","Catalog Record")</f>
        <v>Catalog Record</v>
      </c>
      <c r="AT569" s="6" t="str">
        <f>HYPERLINK("http://www.worldcat.org/oclc/5893739","WorldCat Record")</f>
        <v>WorldCat Record</v>
      </c>
      <c r="AU569" s="3" t="s">
        <v>6859</v>
      </c>
      <c r="AV569" s="3" t="s">
        <v>6860</v>
      </c>
      <c r="AW569" s="3" t="s">
        <v>6861</v>
      </c>
      <c r="AX569" s="3" t="s">
        <v>6861</v>
      </c>
      <c r="AY569" s="3" t="s">
        <v>6862</v>
      </c>
      <c r="AZ569" s="3" t="s">
        <v>74</v>
      </c>
      <c r="BB569" s="3" t="s">
        <v>6863</v>
      </c>
      <c r="BC569" s="3" t="s">
        <v>6864</v>
      </c>
      <c r="BD569" s="3" t="s">
        <v>6865</v>
      </c>
    </row>
    <row r="570" spans="1:56" ht="57.75" customHeight="1" x14ac:dyDescent="0.25">
      <c r="A570" s="7" t="s">
        <v>59</v>
      </c>
      <c r="B570" s="2" t="s">
        <v>6866</v>
      </c>
      <c r="C570" s="2" t="s">
        <v>6867</v>
      </c>
      <c r="D570" s="2" t="s">
        <v>6868</v>
      </c>
      <c r="F570" s="3" t="s">
        <v>59</v>
      </c>
      <c r="G570" s="3" t="s">
        <v>60</v>
      </c>
      <c r="H570" s="3" t="s">
        <v>59</v>
      </c>
      <c r="I570" s="3" t="s">
        <v>59</v>
      </c>
      <c r="J570" s="3" t="s">
        <v>61</v>
      </c>
      <c r="K570" s="2" t="s">
        <v>6869</v>
      </c>
      <c r="L570" s="2" t="s">
        <v>6870</v>
      </c>
      <c r="M570" s="3" t="s">
        <v>6871</v>
      </c>
      <c r="O570" s="3" t="s">
        <v>64</v>
      </c>
      <c r="P570" s="3" t="s">
        <v>467</v>
      </c>
      <c r="R570" s="3" t="s">
        <v>67</v>
      </c>
      <c r="S570" s="4">
        <v>3</v>
      </c>
      <c r="T570" s="4">
        <v>3</v>
      </c>
      <c r="U570" s="5" t="s">
        <v>6793</v>
      </c>
      <c r="V570" s="5" t="s">
        <v>6793</v>
      </c>
      <c r="W570" s="5" t="s">
        <v>6631</v>
      </c>
      <c r="X570" s="5" t="s">
        <v>6631</v>
      </c>
      <c r="Y570" s="4">
        <v>141</v>
      </c>
      <c r="Z570" s="4">
        <v>107</v>
      </c>
      <c r="AA570" s="4">
        <v>189</v>
      </c>
      <c r="AB570" s="4">
        <v>1</v>
      </c>
      <c r="AC570" s="4">
        <v>2</v>
      </c>
      <c r="AD570" s="4">
        <v>3</v>
      </c>
      <c r="AE570" s="4">
        <v>5</v>
      </c>
      <c r="AF570" s="4">
        <v>2</v>
      </c>
      <c r="AG570" s="4">
        <v>3</v>
      </c>
      <c r="AH570" s="4">
        <v>1</v>
      </c>
      <c r="AI570" s="4">
        <v>1</v>
      </c>
      <c r="AJ570" s="4">
        <v>0</v>
      </c>
      <c r="AK570" s="4">
        <v>0</v>
      </c>
      <c r="AL570" s="4">
        <v>0</v>
      </c>
      <c r="AM570" s="4">
        <v>1</v>
      </c>
      <c r="AN570" s="4">
        <v>0</v>
      </c>
      <c r="AO570" s="4">
        <v>0</v>
      </c>
      <c r="AP570" s="3" t="s">
        <v>69</v>
      </c>
      <c r="AQ570" s="3" t="s">
        <v>59</v>
      </c>
      <c r="AR570" s="6" t="str">
        <f>HYPERLINK("http://catalog.hathitrust.org/Record/001507892","HathiTrust Record")</f>
        <v>HathiTrust Record</v>
      </c>
      <c r="AS570" s="6" t="str">
        <f>HYPERLINK("https://creighton-primo.hosted.exlibrisgroup.com/primo-explore/search?tab=default_tab&amp;search_scope=EVERYTHING&amp;vid=01CRU&amp;lang=en_US&amp;offset=0&amp;query=any,contains,991003561919702656","Catalog Record")</f>
        <v>Catalog Record</v>
      </c>
      <c r="AT570" s="6" t="str">
        <f>HYPERLINK("http://www.worldcat.org/oclc/1132952","WorldCat Record")</f>
        <v>WorldCat Record</v>
      </c>
      <c r="AU570" s="3" t="s">
        <v>6872</v>
      </c>
      <c r="AV570" s="3" t="s">
        <v>6873</v>
      </c>
      <c r="AW570" s="3" t="s">
        <v>6874</v>
      </c>
      <c r="AX570" s="3" t="s">
        <v>6874</v>
      </c>
      <c r="AY570" s="3" t="s">
        <v>6875</v>
      </c>
      <c r="AZ570" s="3" t="s">
        <v>74</v>
      </c>
      <c r="BC570" s="3" t="s">
        <v>6876</v>
      </c>
      <c r="BD570" s="3" t="s">
        <v>6877</v>
      </c>
    </row>
    <row r="571" spans="1:56" ht="57.75" customHeight="1" x14ac:dyDescent="0.25">
      <c r="A571" s="7" t="s">
        <v>59</v>
      </c>
      <c r="B571" s="2" t="s">
        <v>6878</v>
      </c>
      <c r="C571" s="2" t="s">
        <v>6879</v>
      </c>
      <c r="D571" s="2" t="s">
        <v>6880</v>
      </c>
      <c r="F571" s="3" t="s">
        <v>59</v>
      </c>
      <c r="G571" s="3" t="s">
        <v>60</v>
      </c>
      <c r="H571" s="3" t="s">
        <v>59</v>
      </c>
      <c r="I571" s="3" t="s">
        <v>59</v>
      </c>
      <c r="J571" s="3" t="s">
        <v>61</v>
      </c>
      <c r="K571" s="2" t="s">
        <v>6881</v>
      </c>
      <c r="L571" s="2" t="s">
        <v>6882</v>
      </c>
      <c r="M571" s="3" t="s">
        <v>1182</v>
      </c>
      <c r="O571" s="3" t="s">
        <v>64</v>
      </c>
      <c r="P571" s="3" t="s">
        <v>1078</v>
      </c>
      <c r="R571" s="3" t="s">
        <v>67</v>
      </c>
      <c r="S571" s="4">
        <v>3</v>
      </c>
      <c r="T571" s="4">
        <v>3</v>
      </c>
      <c r="U571" s="5" t="s">
        <v>6338</v>
      </c>
      <c r="V571" s="5" t="s">
        <v>6338</v>
      </c>
      <c r="W571" s="5" t="s">
        <v>6883</v>
      </c>
      <c r="X571" s="5" t="s">
        <v>6883</v>
      </c>
      <c r="Y571" s="4">
        <v>363</v>
      </c>
      <c r="Z571" s="4">
        <v>233</v>
      </c>
      <c r="AA571" s="4">
        <v>274</v>
      </c>
      <c r="AB571" s="4">
        <v>3</v>
      </c>
      <c r="AC571" s="4">
        <v>4</v>
      </c>
      <c r="AD571" s="4">
        <v>4</v>
      </c>
      <c r="AE571" s="4">
        <v>8</v>
      </c>
      <c r="AF571" s="4">
        <v>0</v>
      </c>
      <c r="AG571" s="4">
        <v>2</v>
      </c>
      <c r="AH571" s="4">
        <v>1</v>
      </c>
      <c r="AI571" s="4">
        <v>3</v>
      </c>
      <c r="AJ571" s="4">
        <v>1</v>
      </c>
      <c r="AK571" s="4">
        <v>1</v>
      </c>
      <c r="AL571" s="4">
        <v>2</v>
      </c>
      <c r="AM571" s="4">
        <v>3</v>
      </c>
      <c r="AN571" s="4">
        <v>0</v>
      </c>
      <c r="AO571" s="4">
        <v>0</v>
      </c>
      <c r="AP571" s="3" t="s">
        <v>59</v>
      </c>
      <c r="AQ571" s="3" t="s">
        <v>69</v>
      </c>
      <c r="AR571" s="6" t="str">
        <f>HYPERLINK("http://catalog.hathitrust.org/Record/001956385","HathiTrust Record")</f>
        <v>HathiTrust Record</v>
      </c>
      <c r="AS571" s="6" t="str">
        <f>HYPERLINK("https://creighton-primo.hosted.exlibrisgroup.com/primo-explore/search?tab=default_tab&amp;search_scope=EVERYTHING&amp;vid=01CRU&amp;lang=en_US&amp;offset=0&amp;query=any,contains,991001565239702656","Catalog Record")</f>
        <v>Catalog Record</v>
      </c>
      <c r="AT571" s="6" t="str">
        <f>HYPERLINK("http://www.worldcat.org/oclc/20320266","WorldCat Record")</f>
        <v>WorldCat Record</v>
      </c>
      <c r="AU571" s="3" t="s">
        <v>6884</v>
      </c>
      <c r="AV571" s="3" t="s">
        <v>6885</v>
      </c>
      <c r="AW571" s="3" t="s">
        <v>6886</v>
      </c>
      <c r="AX571" s="3" t="s">
        <v>6886</v>
      </c>
      <c r="AY571" s="3" t="s">
        <v>6887</v>
      </c>
      <c r="AZ571" s="3" t="s">
        <v>74</v>
      </c>
      <c r="BB571" s="3" t="s">
        <v>6888</v>
      </c>
      <c r="BC571" s="3" t="s">
        <v>6889</v>
      </c>
      <c r="BD571" s="3" t="s">
        <v>6890</v>
      </c>
    </row>
    <row r="572" spans="1:56" ht="57.75" customHeight="1" x14ac:dyDescent="0.25">
      <c r="A572" s="7" t="s">
        <v>59</v>
      </c>
      <c r="B572" s="2" t="s">
        <v>6891</v>
      </c>
      <c r="C572" s="2" t="s">
        <v>6892</v>
      </c>
      <c r="D572" s="2" t="s">
        <v>6893</v>
      </c>
      <c r="F572" s="3" t="s">
        <v>59</v>
      </c>
      <c r="G572" s="3" t="s">
        <v>60</v>
      </c>
      <c r="H572" s="3" t="s">
        <v>59</v>
      </c>
      <c r="I572" s="3" t="s">
        <v>59</v>
      </c>
      <c r="J572" s="3" t="s">
        <v>61</v>
      </c>
      <c r="L572" s="2" t="s">
        <v>6894</v>
      </c>
      <c r="M572" s="3" t="s">
        <v>436</v>
      </c>
      <c r="O572" s="3" t="s">
        <v>64</v>
      </c>
      <c r="P572" s="3" t="s">
        <v>65</v>
      </c>
      <c r="R572" s="3" t="s">
        <v>67</v>
      </c>
      <c r="S572" s="4">
        <v>3</v>
      </c>
      <c r="T572" s="4">
        <v>3</v>
      </c>
      <c r="U572" s="5" t="s">
        <v>6895</v>
      </c>
      <c r="V572" s="5" t="s">
        <v>6895</v>
      </c>
      <c r="W572" s="5" t="s">
        <v>543</v>
      </c>
      <c r="X572" s="5" t="s">
        <v>543</v>
      </c>
      <c r="Y572" s="4">
        <v>304</v>
      </c>
      <c r="Z572" s="4">
        <v>278</v>
      </c>
      <c r="AA572" s="4">
        <v>341</v>
      </c>
      <c r="AB572" s="4">
        <v>3</v>
      </c>
      <c r="AC572" s="4">
        <v>3</v>
      </c>
      <c r="AD572" s="4">
        <v>7</v>
      </c>
      <c r="AE572" s="4">
        <v>9</v>
      </c>
      <c r="AF572" s="4">
        <v>2</v>
      </c>
      <c r="AG572" s="4">
        <v>2</v>
      </c>
      <c r="AH572" s="4">
        <v>1</v>
      </c>
      <c r="AI572" s="4">
        <v>3</v>
      </c>
      <c r="AJ572" s="4">
        <v>2</v>
      </c>
      <c r="AK572" s="4">
        <v>3</v>
      </c>
      <c r="AL572" s="4">
        <v>2</v>
      </c>
      <c r="AM572" s="4">
        <v>2</v>
      </c>
      <c r="AN572" s="4">
        <v>0</v>
      </c>
      <c r="AO572" s="4">
        <v>0</v>
      </c>
      <c r="AP572" s="3" t="s">
        <v>59</v>
      </c>
      <c r="AQ572" s="3" t="s">
        <v>59</v>
      </c>
      <c r="AS572" s="6" t="str">
        <f>HYPERLINK("https://creighton-primo.hosted.exlibrisgroup.com/primo-explore/search?tab=default_tab&amp;search_scope=EVERYTHING&amp;vid=01CRU&amp;lang=en_US&amp;offset=0&amp;query=any,contains,991004503509702656","Catalog Record")</f>
        <v>Catalog Record</v>
      </c>
      <c r="AT572" s="6" t="str">
        <f>HYPERLINK("http://www.worldcat.org/oclc/3729957","WorldCat Record")</f>
        <v>WorldCat Record</v>
      </c>
      <c r="AU572" s="3" t="s">
        <v>6896</v>
      </c>
      <c r="AV572" s="3" t="s">
        <v>6897</v>
      </c>
      <c r="AW572" s="3" t="s">
        <v>6898</v>
      </c>
      <c r="AX572" s="3" t="s">
        <v>6898</v>
      </c>
      <c r="AY572" s="3" t="s">
        <v>6899</v>
      </c>
      <c r="AZ572" s="3" t="s">
        <v>74</v>
      </c>
      <c r="BB572" s="3" t="s">
        <v>6900</v>
      </c>
      <c r="BC572" s="3" t="s">
        <v>6901</v>
      </c>
      <c r="BD572" s="3" t="s">
        <v>6902</v>
      </c>
    </row>
    <row r="573" spans="1:56" ht="57.75" customHeight="1" x14ac:dyDescent="0.25">
      <c r="A573" s="7" t="s">
        <v>59</v>
      </c>
      <c r="B573" s="2" t="s">
        <v>6903</v>
      </c>
      <c r="C573" s="2" t="s">
        <v>6904</v>
      </c>
      <c r="D573" s="2" t="s">
        <v>6905</v>
      </c>
      <c r="F573" s="3" t="s">
        <v>59</v>
      </c>
      <c r="G573" s="3" t="s">
        <v>60</v>
      </c>
      <c r="H573" s="3" t="s">
        <v>59</v>
      </c>
      <c r="I573" s="3" t="s">
        <v>69</v>
      </c>
      <c r="J573" s="3" t="s">
        <v>61</v>
      </c>
      <c r="K573" s="2" t="s">
        <v>1822</v>
      </c>
      <c r="L573" s="2" t="s">
        <v>6906</v>
      </c>
      <c r="M573" s="3" t="s">
        <v>3095</v>
      </c>
      <c r="O573" s="3" t="s">
        <v>64</v>
      </c>
      <c r="P573" s="3" t="s">
        <v>405</v>
      </c>
      <c r="R573" s="3" t="s">
        <v>67</v>
      </c>
      <c r="S573" s="4">
        <v>1</v>
      </c>
      <c r="T573" s="4">
        <v>1</v>
      </c>
      <c r="U573" s="5" t="s">
        <v>6907</v>
      </c>
      <c r="V573" s="5" t="s">
        <v>6907</v>
      </c>
      <c r="W573" s="5" t="s">
        <v>6908</v>
      </c>
      <c r="X573" s="5" t="s">
        <v>6908</v>
      </c>
      <c r="Y573" s="4">
        <v>615</v>
      </c>
      <c r="Z573" s="4">
        <v>437</v>
      </c>
      <c r="AA573" s="4">
        <v>553</v>
      </c>
      <c r="AB573" s="4">
        <v>3</v>
      </c>
      <c r="AC573" s="4">
        <v>3</v>
      </c>
      <c r="AD573" s="4">
        <v>20</v>
      </c>
      <c r="AE573" s="4">
        <v>23</v>
      </c>
      <c r="AF573" s="4">
        <v>4</v>
      </c>
      <c r="AG573" s="4">
        <v>7</v>
      </c>
      <c r="AH573" s="4">
        <v>6</v>
      </c>
      <c r="AI573" s="4">
        <v>6</v>
      </c>
      <c r="AJ573" s="4">
        <v>14</v>
      </c>
      <c r="AK573" s="4">
        <v>15</v>
      </c>
      <c r="AL573" s="4">
        <v>2</v>
      </c>
      <c r="AM573" s="4">
        <v>2</v>
      </c>
      <c r="AN573" s="4">
        <v>0</v>
      </c>
      <c r="AO573" s="4">
        <v>0</v>
      </c>
      <c r="AP573" s="3" t="s">
        <v>59</v>
      </c>
      <c r="AQ573" s="3" t="s">
        <v>59</v>
      </c>
      <c r="AS573" s="6" t="str">
        <f>HYPERLINK("https://creighton-primo.hosted.exlibrisgroup.com/primo-explore/search?tab=default_tab&amp;search_scope=EVERYTHING&amp;vid=01CRU&amp;lang=en_US&amp;offset=0&amp;query=any,contains,991003661949702656","Catalog Record")</f>
        <v>Catalog Record</v>
      </c>
      <c r="AT573" s="6" t="str">
        <f>HYPERLINK("http://www.worldcat.org/oclc/1272601","WorldCat Record")</f>
        <v>WorldCat Record</v>
      </c>
      <c r="AU573" s="3" t="s">
        <v>6909</v>
      </c>
      <c r="AV573" s="3" t="s">
        <v>6910</v>
      </c>
      <c r="AW573" s="3" t="s">
        <v>6911</v>
      </c>
      <c r="AX573" s="3" t="s">
        <v>6911</v>
      </c>
      <c r="AY573" s="3" t="s">
        <v>6912</v>
      </c>
      <c r="AZ573" s="3" t="s">
        <v>74</v>
      </c>
      <c r="BB573" s="3" t="s">
        <v>6913</v>
      </c>
      <c r="BC573" s="3" t="s">
        <v>6914</v>
      </c>
      <c r="BD573" s="3" t="s">
        <v>6915</v>
      </c>
    </row>
    <row r="574" spans="1:56" ht="57.75" customHeight="1" x14ac:dyDescent="0.25">
      <c r="A574" s="7" t="s">
        <v>59</v>
      </c>
      <c r="B574" s="2" t="s">
        <v>6916</v>
      </c>
      <c r="C574" s="2" t="s">
        <v>6917</v>
      </c>
      <c r="D574" s="2" t="s">
        <v>6905</v>
      </c>
      <c r="F574" s="3" t="s">
        <v>59</v>
      </c>
      <c r="G574" s="3" t="s">
        <v>60</v>
      </c>
      <c r="H574" s="3" t="s">
        <v>59</v>
      </c>
      <c r="I574" s="3" t="s">
        <v>69</v>
      </c>
      <c r="J574" s="3" t="s">
        <v>61</v>
      </c>
      <c r="K574" s="2" t="s">
        <v>1822</v>
      </c>
      <c r="L574" s="2" t="s">
        <v>3579</v>
      </c>
      <c r="M574" s="3" t="s">
        <v>617</v>
      </c>
      <c r="N574" s="2" t="s">
        <v>2005</v>
      </c>
      <c r="O574" s="3" t="s">
        <v>64</v>
      </c>
      <c r="P574" s="3" t="s">
        <v>405</v>
      </c>
      <c r="R574" s="3" t="s">
        <v>67</v>
      </c>
      <c r="S574" s="4">
        <v>7</v>
      </c>
      <c r="T574" s="4">
        <v>7</v>
      </c>
      <c r="U574" s="5" t="s">
        <v>1866</v>
      </c>
      <c r="V574" s="5" t="s">
        <v>1866</v>
      </c>
      <c r="W574" s="5" t="s">
        <v>6526</v>
      </c>
      <c r="X574" s="5" t="s">
        <v>6526</v>
      </c>
      <c r="Y574" s="4">
        <v>296</v>
      </c>
      <c r="Z574" s="4">
        <v>202</v>
      </c>
      <c r="AA574" s="4">
        <v>553</v>
      </c>
      <c r="AB574" s="4">
        <v>2</v>
      </c>
      <c r="AC574" s="4">
        <v>3</v>
      </c>
      <c r="AD574" s="4">
        <v>6</v>
      </c>
      <c r="AE574" s="4">
        <v>23</v>
      </c>
      <c r="AF574" s="4">
        <v>3</v>
      </c>
      <c r="AG574" s="4">
        <v>7</v>
      </c>
      <c r="AH574" s="4">
        <v>1</v>
      </c>
      <c r="AI574" s="4">
        <v>6</v>
      </c>
      <c r="AJ574" s="4">
        <v>2</v>
      </c>
      <c r="AK574" s="4">
        <v>15</v>
      </c>
      <c r="AL574" s="4">
        <v>1</v>
      </c>
      <c r="AM574" s="4">
        <v>2</v>
      </c>
      <c r="AN574" s="4">
        <v>0</v>
      </c>
      <c r="AO574" s="4">
        <v>0</v>
      </c>
      <c r="AP574" s="3" t="s">
        <v>59</v>
      </c>
      <c r="AQ574" s="3" t="s">
        <v>59</v>
      </c>
      <c r="AS574" s="6" t="str">
        <f>HYPERLINK("https://creighton-primo.hosted.exlibrisgroup.com/primo-explore/search?tab=default_tab&amp;search_scope=EVERYTHING&amp;vid=01CRU&amp;lang=en_US&amp;offset=0&amp;query=any,contains,991005081819702656","Catalog Record")</f>
        <v>Catalog Record</v>
      </c>
      <c r="AT574" s="6" t="str">
        <f>HYPERLINK("http://www.worldcat.org/oclc/7173091","WorldCat Record")</f>
        <v>WorldCat Record</v>
      </c>
      <c r="AU574" s="3" t="s">
        <v>6909</v>
      </c>
      <c r="AV574" s="3" t="s">
        <v>6918</v>
      </c>
      <c r="AW574" s="3" t="s">
        <v>6919</v>
      </c>
      <c r="AX574" s="3" t="s">
        <v>6919</v>
      </c>
      <c r="AY574" s="3" t="s">
        <v>6920</v>
      </c>
      <c r="AZ574" s="3" t="s">
        <v>74</v>
      </c>
      <c r="BB574" s="3" t="s">
        <v>6921</v>
      </c>
      <c r="BC574" s="3" t="s">
        <v>6922</v>
      </c>
      <c r="BD574" s="3" t="s">
        <v>6923</v>
      </c>
    </row>
    <row r="575" spans="1:56" ht="57.75" customHeight="1" x14ac:dyDescent="0.25">
      <c r="A575" s="7" t="s">
        <v>59</v>
      </c>
      <c r="B575" s="2" t="s">
        <v>6924</v>
      </c>
      <c r="C575" s="2" t="s">
        <v>6925</v>
      </c>
      <c r="D575" s="2" t="s">
        <v>6926</v>
      </c>
      <c r="F575" s="3" t="s">
        <v>59</v>
      </c>
      <c r="G575" s="3" t="s">
        <v>60</v>
      </c>
      <c r="H575" s="3" t="s">
        <v>59</v>
      </c>
      <c r="I575" s="3" t="s">
        <v>59</v>
      </c>
      <c r="J575" s="3" t="s">
        <v>61</v>
      </c>
      <c r="K575" s="2" t="s">
        <v>6927</v>
      </c>
      <c r="L575" s="2" t="s">
        <v>6928</v>
      </c>
      <c r="M575" s="3" t="s">
        <v>712</v>
      </c>
      <c r="O575" s="3" t="s">
        <v>64</v>
      </c>
      <c r="P575" s="3" t="s">
        <v>405</v>
      </c>
      <c r="R575" s="3" t="s">
        <v>67</v>
      </c>
      <c r="S575" s="4">
        <v>4</v>
      </c>
      <c r="T575" s="4">
        <v>4</v>
      </c>
      <c r="U575" s="5" t="s">
        <v>933</v>
      </c>
      <c r="V575" s="5" t="s">
        <v>933</v>
      </c>
      <c r="W575" s="5" t="s">
        <v>6929</v>
      </c>
      <c r="X575" s="5" t="s">
        <v>6929</v>
      </c>
      <c r="Y575" s="4">
        <v>389</v>
      </c>
      <c r="Z575" s="4">
        <v>271</v>
      </c>
      <c r="AA575" s="4">
        <v>271</v>
      </c>
      <c r="AB575" s="4">
        <v>4</v>
      </c>
      <c r="AC575" s="4">
        <v>4</v>
      </c>
      <c r="AD575" s="4">
        <v>15</v>
      </c>
      <c r="AE575" s="4">
        <v>15</v>
      </c>
      <c r="AF575" s="4">
        <v>7</v>
      </c>
      <c r="AG575" s="4">
        <v>7</v>
      </c>
      <c r="AH575" s="4">
        <v>2</v>
      </c>
      <c r="AI575" s="4">
        <v>2</v>
      </c>
      <c r="AJ575" s="4">
        <v>5</v>
      </c>
      <c r="AK575" s="4">
        <v>5</v>
      </c>
      <c r="AL575" s="4">
        <v>3</v>
      </c>
      <c r="AM575" s="4">
        <v>3</v>
      </c>
      <c r="AN575" s="4">
        <v>0</v>
      </c>
      <c r="AO575" s="4">
        <v>0</v>
      </c>
      <c r="AP575" s="3" t="s">
        <v>59</v>
      </c>
      <c r="AQ575" s="3" t="s">
        <v>59</v>
      </c>
      <c r="AS575" s="6" t="str">
        <f>HYPERLINK("https://creighton-primo.hosted.exlibrisgroup.com/primo-explore/search?tab=default_tab&amp;search_scope=EVERYTHING&amp;vid=01CRU&amp;lang=en_US&amp;offset=0&amp;query=any,contains,991002211049702656","Catalog Record")</f>
        <v>Catalog Record</v>
      </c>
      <c r="AT575" s="6" t="str">
        <f>HYPERLINK("http://www.worldcat.org/oclc/28423789","WorldCat Record")</f>
        <v>WorldCat Record</v>
      </c>
      <c r="AU575" s="3" t="s">
        <v>6930</v>
      </c>
      <c r="AV575" s="3" t="s">
        <v>6931</v>
      </c>
      <c r="AW575" s="3" t="s">
        <v>6932</v>
      </c>
      <c r="AX575" s="3" t="s">
        <v>6932</v>
      </c>
      <c r="AY575" s="3" t="s">
        <v>6933</v>
      </c>
      <c r="AZ575" s="3" t="s">
        <v>74</v>
      </c>
      <c r="BB575" s="3" t="s">
        <v>6934</v>
      </c>
      <c r="BC575" s="3" t="s">
        <v>6935</v>
      </c>
      <c r="BD575" s="3" t="s">
        <v>6936</v>
      </c>
    </row>
    <row r="576" spans="1:56" ht="57.75" customHeight="1" x14ac:dyDescent="0.25">
      <c r="A576" s="7" t="s">
        <v>59</v>
      </c>
      <c r="B576" s="2" t="s">
        <v>6937</v>
      </c>
      <c r="C576" s="2" t="s">
        <v>6938</v>
      </c>
      <c r="D576" s="2" t="s">
        <v>6939</v>
      </c>
      <c r="F576" s="3" t="s">
        <v>59</v>
      </c>
      <c r="G576" s="3" t="s">
        <v>60</v>
      </c>
      <c r="H576" s="3" t="s">
        <v>59</v>
      </c>
      <c r="I576" s="3" t="s">
        <v>59</v>
      </c>
      <c r="J576" s="3" t="s">
        <v>61</v>
      </c>
      <c r="K576" s="2" t="s">
        <v>6940</v>
      </c>
      <c r="L576" s="2" t="s">
        <v>6941</v>
      </c>
      <c r="M576" s="3" t="s">
        <v>540</v>
      </c>
      <c r="O576" s="3" t="s">
        <v>64</v>
      </c>
      <c r="P576" s="3" t="s">
        <v>467</v>
      </c>
      <c r="R576" s="3" t="s">
        <v>67</v>
      </c>
      <c r="S576" s="4">
        <v>3</v>
      </c>
      <c r="T576" s="4">
        <v>3</v>
      </c>
      <c r="U576" s="5" t="s">
        <v>6942</v>
      </c>
      <c r="V576" s="5" t="s">
        <v>6942</v>
      </c>
      <c r="W576" s="5" t="s">
        <v>6526</v>
      </c>
      <c r="X576" s="5" t="s">
        <v>6526</v>
      </c>
      <c r="Y576" s="4">
        <v>447</v>
      </c>
      <c r="Z576" s="4">
        <v>336</v>
      </c>
      <c r="AA576" s="4">
        <v>353</v>
      </c>
      <c r="AB576" s="4">
        <v>3</v>
      </c>
      <c r="AC576" s="4">
        <v>3</v>
      </c>
      <c r="AD576" s="4">
        <v>13</v>
      </c>
      <c r="AE576" s="4">
        <v>14</v>
      </c>
      <c r="AF576" s="4">
        <v>7</v>
      </c>
      <c r="AG576" s="4">
        <v>8</v>
      </c>
      <c r="AH576" s="4">
        <v>4</v>
      </c>
      <c r="AI576" s="4">
        <v>4</v>
      </c>
      <c r="AJ576" s="4">
        <v>4</v>
      </c>
      <c r="AK576" s="4">
        <v>5</v>
      </c>
      <c r="AL576" s="4">
        <v>2</v>
      </c>
      <c r="AM576" s="4">
        <v>2</v>
      </c>
      <c r="AN576" s="4">
        <v>0</v>
      </c>
      <c r="AO576" s="4">
        <v>0</v>
      </c>
      <c r="AP576" s="3" t="s">
        <v>59</v>
      </c>
      <c r="AQ576" s="3" t="s">
        <v>69</v>
      </c>
      <c r="AR576" s="6" t="str">
        <f>HYPERLINK("http://catalog.hathitrust.org/Record/000101942","HathiTrust Record")</f>
        <v>HathiTrust Record</v>
      </c>
      <c r="AS576" s="6" t="str">
        <f>HYPERLINK("https://creighton-primo.hosted.exlibrisgroup.com/primo-explore/search?tab=default_tab&amp;search_scope=EVERYTHING&amp;vid=01CRU&amp;lang=en_US&amp;offset=0&amp;query=any,contains,991005099779702656","Catalog Record")</f>
        <v>Catalog Record</v>
      </c>
      <c r="AT576" s="6" t="str">
        <f>HYPERLINK("http://www.worldcat.org/oclc/7282051","WorldCat Record")</f>
        <v>WorldCat Record</v>
      </c>
      <c r="AU576" s="3" t="s">
        <v>6943</v>
      </c>
      <c r="AV576" s="3" t="s">
        <v>6944</v>
      </c>
      <c r="AW576" s="3" t="s">
        <v>6945</v>
      </c>
      <c r="AX576" s="3" t="s">
        <v>6945</v>
      </c>
      <c r="AY576" s="3" t="s">
        <v>6946</v>
      </c>
      <c r="AZ576" s="3" t="s">
        <v>74</v>
      </c>
      <c r="BB576" s="3" t="s">
        <v>6947</v>
      </c>
      <c r="BC576" s="3" t="s">
        <v>6948</v>
      </c>
      <c r="BD576" s="3" t="s">
        <v>6949</v>
      </c>
    </row>
    <row r="577" spans="1:56" ht="57.75" customHeight="1" x14ac:dyDescent="0.25">
      <c r="A577" s="7" t="s">
        <v>59</v>
      </c>
      <c r="B577" s="2" t="s">
        <v>6950</v>
      </c>
      <c r="C577" s="2" t="s">
        <v>6951</v>
      </c>
      <c r="D577" s="2" t="s">
        <v>6952</v>
      </c>
      <c r="F577" s="3" t="s">
        <v>59</v>
      </c>
      <c r="G577" s="3" t="s">
        <v>60</v>
      </c>
      <c r="H577" s="3" t="s">
        <v>59</v>
      </c>
      <c r="I577" s="3" t="s">
        <v>59</v>
      </c>
      <c r="J577" s="3" t="s">
        <v>61</v>
      </c>
      <c r="K577" s="2" t="s">
        <v>6953</v>
      </c>
      <c r="L577" s="2" t="s">
        <v>6954</v>
      </c>
      <c r="M577" s="3" t="s">
        <v>452</v>
      </c>
      <c r="N577" s="2" t="s">
        <v>2005</v>
      </c>
      <c r="O577" s="3" t="s">
        <v>64</v>
      </c>
      <c r="P577" s="3" t="s">
        <v>573</v>
      </c>
      <c r="R577" s="3" t="s">
        <v>67</v>
      </c>
      <c r="S577" s="4">
        <v>5</v>
      </c>
      <c r="T577" s="4">
        <v>5</v>
      </c>
      <c r="U577" s="5" t="s">
        <v>6955</v>
      </c>
      <c r="V577" s="5" t="s">
        <v>6955</v>
      </c>
      <c r="W577" s="5" t="s">
        <v>6956</v>
      </c>
      <c r="X577" s="5" t="s">
        <v>6956</v>
      </c>
      <c r="Y577" s="4">
        <v>293</v>
      </c>
      <c r="Z577" s="4">
        <v>254</v>
      </c>
      <c r="AA577" s="4">
        <v>882</v>
      </c>
      <c r="AB577" s="4">
        <v>3</v>
      </c>
      <c r="AC577" s="4">
        <v>9</v>
      </c>
      <c r="AD577" s="4">
        <v>6</v>
      </c>
      <c r="AE577" s="4">
        <v>30</v>
      </c>
      <c r="AF577" s="4">
        <v>1</v>
      </c>
      <c r="AG577" s="4">
        <v>10</v>
      </c>
      <c r="AH577" s="4">
        <v>0</v>
      </c>
      <c r="AI577" s="4">
        <v>4</v>
      </c>
      <c r="AJ577" s="4">
        <v>3</v>
      </c>
      <c r="AK577" s="4">
        <v>14</v>
      </c>
      <c r="AL577" s="4">
        <v>2</v>
      </c>
      <c r="AM577" s="4">
        <v>7</v>
      </c>
      <c r="AN577" s="4">
        <v>0</v>
      </c>
      <c r="AO577" s="4">
        <v>0</v>
      </c>
      <c r="AP577" s="3" t="s">
        <v>59</v>
      </c>
      <c r="AQ577" s="3" t="s">
        <v>69</v>
      </c>
      <c r="AR577" s="6" t="str">
        <f>HYPERLINK("http://catalog.hathitrust.org/Record/001500700","HathiTrust Record")</f>
        <v>HathiTrust Record</v>
      </c>
      <c r="AS577" s="6" t="str">
        <f>HYPERLINK("https://creighton-primo.hosted.exlibrisgroup.com/primo-explore/search?tab=default_tab&amp;search_scope=EVERYTHING&amp;vid=01CRU&amp;lang=en_US&amp;offset=0&amp;query=any,contains,991003567489702656","Catalog Record")</f>
        <v>Catalog Record</v>
      </c>
      <c r="AT577" s="6" t="str">
        <f>HYPERLINK("http://www.worldcat.org/oclc/1141157","WorldCat Record")</f>
        <v>WorldCat Record</v>
      </c>
      <c r="AU577" s="3" t="s">
        <v>6957</v>
      </c>
      <c r="AV577" s="3" t="s">
        <v>6958</v>
      </c>
      <c r="AW577" s="3" t="s">
        <v>6959</v>
      </c>
      <c r="AX577" s="3" t="s">
        <v>6959</v>
      </c>
      <c r="AY577" s="3" t="s">
        <v>6960</v>
      </c>
      <c r="AZ577" s="3" t="s">
        <v>74</v>
      </c>
      <c r="BC577" s="3" t="s">
        <v>6961</v>
      </c>
      <c r="BD577" s="3" t="s">
        <v>6962</v>
      </c>
    </row>
    <row r="578" spans="1:56" ht="57.75" customHeight="1" x14ac:dyDescent="0.25">
      <c r="A578" s="7" t="s">
        <v>59</v>
      </c>
      <c r="B578" s="2" t="s">
        <v>6963</v>
      </c>
      <c r="C578" s="2" t="s">
        <v>6964</v>
      </c>
      <c r="D578" s="2" t="s">
        <v>6965</v>
      </c>
      <c r="F578" s="3" t="s">
        <v>59</v>
      </c>
      <c r="G578" s="3" t="s">
        <v>60</v>
      </c>
      <c r="H578" s="3" t="s">
        <v>59</v>
      </c>
      <c r="I578" s="3" t="s">
        <v>59</v>
      </c>
      <c r="J578" s="3" t="s">
        <v>61</v>
      </c>
      <c r="K578" s="2" t="s">
        <v>6966</v>
      </c>
      <c r="L578" s="2" t="s">
        <v>6967</v>
      </c>
      <c r="M578" s="3" t="s">
        <v>404</v>
      </c>
      <c r="O578" s="3" t="s">
        <v>64</v>
      </c>
      <c r="P578" s="3" t="s">
        <v>467</v>
      </c>
      <c r="R578" s="3" t="s">
        <v>67</v>
      </c>
      <c r="S578" s="4">
        <v>1</v>
      </c>
      <c r="T578" s="4">
        <v>1</v>
      </c>
      <c r="U578" s="5" t="s">
        <v>6968</v>
      </c>
      <c r="V578" s="5" t="s">
        <v>6968</v>
      </c>
      <c r="W578" s="5" t="s">
        <v>6969</v>
      </c>
      <c r="X578" s="5" t="s">
        <v>6969</v>
      </c>
      <c r="Y578" s="4">
        <v>633</v>
      </c>
      <c r="Z578" s="4">
        <v>508</v>
      </c>
      <c r="AA578" s="4">
        <v>516</v>
      </c>
      <c r="AB578" s="4">
        <v>3</v>
      </c>
      <c r="AC578" s="4">
        <v>3</v>
      </c>
      <c r="AD578" s="4">
        <v>24</v>
      </c>
      <c r="AE578" s="4">
        <v>24</v>
      </c>
      <c r="AF578" s="4">
        <v>10</v>
      </c>
      <c r="AG578" s="4">
        <v>10</v>
      </c>
      <c r="AH578" s="4">
        <v>2</v>
      </c>
      <c r="AI578" s="4">
        <v>2</v>
      </c>
      <c r="AJ578" s="4">
        <v>14</v>
      </c>
      <c r="AK578" s="4">
        <v>14</v>
      </c>
      <c r="AL578" s="4">
        <v>2</v>
      </c>
      <c r="AM578" s="4">
        <v>2</v>
      </c>
      <c r="AN578" s="4">
        <v>0</v>
      </c>
      <c r="AO578" s="4">
        <v>0</v>
      </c>
      <c r="AP578" s="3" t="s">
        <v>59</v>
      </c>
      <c r="AQ578" s="3" t="s">
        <v>69</v>
      </c>
      <c r="AR578" s="6" t="str">
        <f>HYPERLINK("http://catalog.hathitrust.org/Record/000230496","HathiTrust Record")</f>
        <v>HathiTrust Record</v>
      </c>
      <c r="AS578" s="6" t="str">
        <f>HYPERLINK("https://creighton-primo.hosted.exlibrisgroup.com/primo-explore/search?tab=default_tab&amp;search_scope=EVERYTHING&amp;vid=01CRU&amp;lang=en_US&amp;offset=0&amp;query=any,contains,991003186059702656","Catalog Record")</f>
        <v>Catalog Record</v>
      </c>
      <c r="AT578" s="6" t="str">
        <f>HYPERLINK("http://www.worldcat.org/oclc/712681","WorldCat Record")</f>
        <v>WorldCat Record</v>
      </c>
      <c r="AU578" s="3" t="s">
        <v>6970</v>
      </c>
      <c r="AV578" s="3" t="s">
        <v>6971</v>
      </c>
      <c r="AW578" s="3" t="s">
        <v>6972</v>
      </c>
      <c r="AX578" s="3" t="s">
        <v>6972</v>
      </c>
      <c r="AY578" s="3" t="s">
        <v>6973</v>
      </c>
      <c r="AZ578" s="3" t="s">
        <v>74</v>
      </c>
      <c r="BC578" s="3" t="s">
        <v>6974</v>
      </c>
      <c r="BD578" s="3" t="s">
        <v>6975</v>
      </c>
    </row>
    <row r="579" spans="1:56" ht="57.75" customHeight="1" x14ac:dyDescent="0.25">
      <c r="A579" s="7" t="s">
        <v>59</v>
      </c>
      <c r="B579" s="2" t="s">
        <v>6976</v>
      </c>
      <c r="C579" s="2" t="s">
        <v>6977</v>
      </c>
      <c r="D579" s="2" t="s">
        <v>6978</v>
      </c>
      <c r="F579" s="3" t="s">
        <v>59</v>
      </c>
      <c r="G579" s="3" t="s">
        <v>60</v>
      </c>
      <c r="H579" s="3" t="s">
        <v>59</v>
      </c>
      <c r="I579" s="3" t="s">
        <v>59</v>
      </c>
      <c r="J579" s="3" t="s">
        <v>61</v>
      </c>
      <c r="K579" s="2" t="s">
        <v>6979</v>
      </c>
      <c r="L579" s="2" t="s">
        <v>6980</v>
      </c>
      <c r="M579" s="3" t="s">
        <v>2826</v>
      </c>
      <c r="N579" s="2" t="s">
        <v>2005</v>
      </c>
      <c r="O579" s="3" t="s">
        <v>64</v>
      </c>
      <c r="P579" s="3" t="s">
        <v>467</v>
      </c>
      <c r="Q579" s="2" t="s">
        <v>4354</v>
      </c>
      <c r="R579" s="3" t="s">
        <v>67</v>
      </c>
      <c r="S579" s="4">
        <v>2</v>
      </c>
      <c r="T579" s="4">
        <v>2</v>
      </c>
      <c r="U579" s="5" t="s">
        <v>1866</v>
      </c>
      <c r="V579" s="5" t="s">
        <v>1866</v>
      </c>
      <c r="W579" s="5" t="s">
        <v>6631</v>
      </c>
      <c r="X579" s="5" t="s">
        <v>6631</v>
      </c>
      <c r="Y579" s="4">
        <v>200</v>
      </c>
      <c r="Z579" s="4">
        <v>155</v>
      </c>
      <c r="AA579" s="4">
        <v>700</v>
      </c>
      <c r="AB579" s="4">
        <v>1</v>
      </c>
      <c r="AC579" s="4">
        <v>8</v>
      </c>
      <c r="AD579" s="4">
        <v>6</v>
      </c>
      <c r="AE579" s="4">
        <v>30</v>
      </c>
      <c r="AF579" s="4">
        <v>3</v>
      </c>
      <c r="AG579" s="4">
        <v>11</v>
      </c>
      <c r="AH579" s="4">
        <v>1</v>
      </c>
      <c r="AI579" s="4">
        <v>5</v>
      </c>
      <c r="AJ579" s="4">
        <v>3</v>
      </c>
      <c r="AK579" s="4">
        <v>14</v>
      </c>
      <c r="AL579" s="4">
        <v>0</v>
      </c>
      <c r="AM579" s="4">
        <v>7</v>
      </c>
      <c r="AN579" s="4">
        <v>0</v>
      </c>
      <c r="AO579" s="4">
        <v>0</v>
      </c>
      <c r="AP579" s="3" t="s">
        <v>59</v>
      </c>
      <c r="AQ579" s="3" t="s">
        <v>69</v>
      </c>
      <c r="AR579" s="6" t="str">
        <f>HYPERLINK("http://catalog.hathitrust.org/Record/001692974","HathiTrust Record")</f>
        <v>HathiTrust Record</v>
      </c>
      <c r="AS579" s="6" t="str">
        <f>HYPERLINK("https://creighton-primo.hosted.exlibrisgroup.com/primo-explore/search?tab=default_tab&amp;search_scope=EVERYTHING&amp;vid=01CRU&amp;lang=en_US&amp;offset=0&amp;query=any,contains,991004192779702656","Catalog Record")</f>
        <v>Catalog Record</v>
      </c>
      <c r="AT579" s="6" t="str">
        <f>HYPERLINK("http://www.worldcat.org/oclc/2634973","WorldCat Record")</f>
        <v>WorldCat Record</v>
      </c>
      <c r="AU579" s="3" t="s">
        <v>6981</v>
      </c>
      <c r="AV579" s="3" t="s">
        <v>6982</v>
      </c>
      <c r="AW579" s="3" t="s">
        <v>6983</v>
      </c>
      <c r="AX579" s="3" t="s">
        <v>6983</v>
      </c>
      <c r="AY579" s="3" t="s">
        <v>6984</v>
      </c>
      <c r="AZ579" s="3" t="s">
        <v>74</v>
      </c>
      <c r="BC579" s="3" t="s">
        <v>6985</v>
      </c>
      <c r="BD579" s="3" t="s">
        <v>6986</v>
      </c>
    </row>
    <row r="580" spans="1:56" ht="57.75" customHeight="1" x14ac:dyDescent="0.25">
      <c r="A580" s="7" t="s">
        <v>59</v>
      </c>
      <c r="B580" s="2" t="s">
        <v>6987</v>
      </c>
      <c r="C580" s="2" t="s">
        <v>6988</v>
      </c>
      <c r="D580" s="2" t="s">
        <v>6989</v>
      </c>
      <c r="F580" s="3" t="s">
        <v>59</v>
      </c>
      <c r="G580" s="3" t="s">
        <v>60</v>
      </c>
      <c r="H580" s="3" t="s">
        <v>59</v>
      </c>
      <c r="I580" s="3" t="s">
        <v>59</v>
      </c>
      <c r="J580" s="3" t="s">
        <v>61</v>
      </c>
      <c r="K580" s="2" t="s">
        <v>6990</v>
      </c>
      <c r="L580" s="2" t="s">
        <v>6991</v>
      </c>
      <c r="M580" s="3" t="s">
        <v>540</v>
      </c>
      <c r="N580" s="2" t="s">
        <v>6170</v>
      </c>
      <c r="O580" s="3" t="s">
        <v>64</v>
      </c>
      <c r="P580" s="3" t="s">
        <v>405</v>
      </c>
      <c r="R580" s="3" t="s">
        <v>67</v>
      </c>
      <c r="S580" s="4">
        <v>12</v>
      </c>
      <c r="T580" s="4">
        <v>12</v>
      </c>
      <c r="U580" s="5" t="s">
        <v>5501</v>
      </c>
      <c r="V580" s="5" t="s">
        <v>5501</v>
      </c>
      <c r="W580" s="5" t="s">
        <v>6992</v>
      </c>
      <c r="X580" s="5" t="s">
        <v>6992</v>
      </c>
      <c r="Y580" s="4">
        <v>690</v>
      </c>
      <c r="Z580" s="4">
        <v>464</v>
      </c>
      <c r="AA580" s="4">
        <v>1332</v>
      </c>
      <c r="AB580" s="4">
        <v>3</v>
      </c>
      <c r="AC580" s="4">
        <v>12</v>
      </c>
      <c r="AD580" s="4">
        <v>21</v>
      </c>
      <c r="AE580" s="4">
        <v>46</v>
      </c>
      <c r="AF580" s="4">
        <v>7</v>
      </c>
      <c r="AG580" s="4">
        <v>16</v>
      </c>
      <c r="AH580" s="4">
        <v>2</v>
      </c>
      <c r="AI580" s="4">
        <v>7</v>
      </c>
      <c r="AJ580" s="4">
        <v>14</v>
      </c>
      <c r="AK580" s="4">
        <v>22</v>
      </c>
      <c r="AL580" s="4">
        <v>2</v>
      </c>
      <c r="AM580" s="4">
        <v>11</v>
      </c>
      <c r="AN580" s="4">
        <v>0</v>
      </c>
      <c r="AO580" s="4">
        <v>0</v>
      </c>
      <c r="AP580" s="3" t="s">
        <v>59</v>
      </c>
      <c r="AQ580" s="3" t="s">
        <v>69</v>
      </c>
      <c r="AR580" s="6" t="str">
        <f>HYPERLINK("http://catalog.hathitrust.org/Record/000188036","HathiTrust Record")</f>
        <v>HathiTrust Record</v>
      </c>
      <c r="AS580" s="6" t="str">
        <f>HYPERLINK("https://creighton-primo.hosted.exlibrisgroup.com/primo-explore/search?tab=default_tab&amp;search_scope=EVERYTHING&amp;vid=01CRU&amp;lang=en_US&amp;offset=0&amp;query=any,contains,991005174909702656","Catalog Record")</f>
        <v>Catalog Record</v>
      </c>
      <c r="AT580" s="6" t="str">
        <f>HYPERLINK("http://www.worldcat.org/oclc/7905274","WorldCat Record")</f>
        <v>WorldCat Record</v>
      </c>
      <c r="AU580" s="3" t="s">
        <v>6993</v>
      </c>
      <c r="AV580" s="3" t="s">
        <v>6994</v>
      </c>
      <c r="AW580" s="3" t="s">
        <v>6995</v>
      </c>
      <c r="AX580" s="3" t="s">
        <v>6995</v>
      </c>
      <c r="AY580" s="3" t="s">
        <v>6996</v>
      </c>
      <c r="AZ580" s="3" t="s">
        <v>74</v>
      </c>
      <c r="BC580" s="3" t="s">
        <v>6997</v>
      </c>
      <c r="BD580" s="3" t="s">
        <v>6998</v>
      </c>
    </row>
    <row r="581" spans="1:56" ht="57.75" customHeight="1" x14ac:dyDescent="0.25">
      <c r="A581" s="7" t="s">
        <v>59</v>
      </c>
      <c r="B581" s="2" t="s">
        <v>6999</v>
      </c>
      <c r="C581" s="2" t="s">
        <v>7000</v>
      </c>
      <c r="D581" s="2" t="s">
        <v>7001</v>
      </c>
      <c r="E581" s="3" t="s">
        <v>917</v>
      </c>
      <c r="F581" s="3" t="s">
        <v>69</v>
      </c>
      <c r="G581" s="3" t="s">
        <v>60</v>
      </c>
      <c r="H581" s="3" t="s">
        <v>59</v>
      </c>
      <c r="I581" s="3" t="s">
        <v>59</v>
      </c>
      <c r="J581" s="3" t="s">
        <v>61</v>
      </c>
      <c r="L581" s="2" t="s">
        <v>7002</v>
      </c>
      <c r="M581" s="3" t="s">
        <v>297</v>
      </c>
      <c r="O581" s="3" t="s">
        <v>64</v>
      </c>
      <c r="P581" s="3" t="s">
        <v>467</v>
      </c>
      <c r="R581" s="3" t="s">
        <v>67</v>
      </c>
      <c r="S581" s="4">
        <v>9</v>
      </c>
      <c r="T581" s="4">
        <v>26</v>
      </c>
      <c r="U581" s="5" t="s">
        <v>7003</v>
      </c>
      <c r="V581" s="5" t="s">
        <v>7003</v>
      </c>
      <c r="W581" s="5" t="s">
        <v>7004</v>
      </c>
      <c r="X581" s="5" t="s">
        <v>7004</v>
      </c>
      <c r="Y581" s="4">
        <v>489</v>
      </c>
      <c r="Z581" s="4">
        <v>469</v>
      </c>
      <c r="AA581" s="4">
        <v>474</v>
      </c>
      <c r="AB581" s="4">
        <v>6</v>
      </c>
      <c r="AC581" s="4">
        <v>6</v>
      </c>
      <c r="AD581" s="4">
        <v>4</v>
      </c>
      <c r="AE581" s="4">
        <v>4</v>
      </c>
      <c r="AF581" s="4">
        <v>3</v>
      </c>
      <c r="AG581" s="4">
        <v>3</v>
      </c>
      <c r="AH581" s="4">
        <v>1</v>
      </c>
      <c r="AI581" s="4">
        <v>1</v>
      </c>
      <c r="AJ581" s="4">
        <v>0</v>
      </c>
      <c r="AK581" s="4">
        <v>0</v>
      </c>
      <c r="AL581" s="4">
        <v>1</v>
      </c>
      <c r="AM581" s="4">
        <v>1</v>
      </c>
      <c r="AN581" s="4">
        <v>0</v>
      </c>
      <c r="AO581" s="4">
        <v>0</v>
      </c>
      <c r="AP581" s="3" t="s">
        <v>59</v>
      </c>
      <c r="AQ581" s="3" t="s">
        <v>59</v>
      </c>
      <c r="AS581" s="6" t="str">
        <f>HYPERLINK("https://creighton-primo.hosted.exlibrisgroup.com/primo-explore/search?tab=default_tab&amp;search_scope=EVERYTHING&amp;vid=01CRU&amp;lang=en_US&amp;offset=0&amp;query=any,contains,991003504889702656","Catalog Record")</f>
        <v>Catalog Record</v>
      </c>
      <c r="AT581" s="6" t="str">
        <f>HYPERLINK("http://www.worldcat.org/oclc/42072117","WorldCat Record")</f>
        <v>WorldCat Record</v>
      </c>
      <c r="AU581" s="3" t="s">
        <v>7005</v>
      </c>
      <c r="AV581" s="3" t="s">
        <v>7006</v>
      </c>
      <c r="AW581" s="3" t="s">
        <v>7007</v>
      </c>
      <c r="AX581" s="3" t="s">
        <v>7007</v>
      </c>
      <c r="AY581" s="3" t="s">
        <v>7008</v>
      </c>
      <c r="AZ581" s="3" t="s">
        <v>74</v>
      </c>
      <c r="BB581" s="3" t="s">
        <v>7009</v>
      </c>
      <c r="BC581" s="3" t="s">
        <v>7010</v>
      </c>
      <c r="BD581" s="3" t="s">
        <v>7011</v>
      </c>
    </row>
    <row r="582" spans="1:56" ht="57.75" customHeight="1" x14ac:dyDescent="0.25">
      <c r="A582" s="7" t="s">
        <v>59</v>
      </c>
      <c r="B582" s="2" t="s">
        <v>6999</v>
      </c>
      <c r="C582" s="2" t="s">
        <v>7000</v>
      </c>
      <c r="D582" s="2" t="s">
        <v>7001</v>
      </c>
      <c r="E582" s="3" t="s">
        <v>904</v>
      </c>
      <c r="F582" s="3" t="s">
        <v>69</v>
      </c>
      <c r="G582" s="3" t="s">
        <v>60</v>
      </c>
      <c r="H582" s="3" t="s">
        <v>59</v>
      </c>
      <c r="I582" s="3" t="s">
        <v>59</v>
      </c>
      <c r="J582" s="3" t="s">
        <v>61</v>
      </c>
      <c r="L582" s="2" t="s">
        <v>7002</v>
      </c>
      <c r="M582" s="3" t="s">
        <v>297</v>
      </c>
      <c r="O582" s="3" t="s">
        <v>64</v>
      </c>
      <c r="P582" s="3" t="s">
        <v>467</v>
      </c>
      <c r="R582" s="3" t="s">
        <v>67</v>
      </c>
      <c r="S582" s="4">
        <v>13</v>
      </c>
      <c r="T582" s="4">
        <v>26</v>
      </c>
      <c r="U582" s="5" t="s">
        <v>7003</v>
      </c>
      <c r="V582" s="5" t="s">
        <v>7003</v>
      </c>
      <c r="W582" s="5" t="s">
        <v>7004</v>
      </c>
      <c r="X582" s="5" t="s">
        <v>7004</v>
      </c>
      <c r="Y582" s="4">
        <v>489</v>
      </c>
      <c r="Z582" s="4">
        <v>469</v>
      </c>
      <c r="AA582" s="4">
        <v>474</v>
      </c>
      <c r="AB582" s="4">
        <v>6</v>
      </c>
      <c r="AC582" s="4">
        <v>6</v>
      </c>
      <c r="AD582" s="4">
        <v>4</v>
      </c>
      <c r="AE582" s="4">
        <v>4</v>
      </c>
      <c r="AF582" s="4">
        <v>3</v>
      </c>
      <c r="AG582" s="4">
        <v>3</v>
      </c>
      <c r="AH582" s="4">
        <v>1</v>
      </c>
      <c r="AI582" s="4">
        <v>1</v>
      </c>
      <c r="AJ582" s="4">
        <v>0</v>
      </c>
      <c r="AK582" s="4">
        <v>0</v>
      </c>
      <c r="AL582" s="4">
        <v>1</v>
      </c>
      <c r="AM582" s="4">
        <v>1</v>
      </c>
      <c r="AN582" s="4">
        <v>0</v>
      </c>
      <c r="AO582" s="4">
        <v>0</v>
      </c>
      <c r="AP582" s="3" t="s">
        <v>59</v>
      </c>
      <c r="AQ582" s="3" t="s">
        <v>59</v>
      </c>
      <c r="AS582" s="6" t="str">
        <f>HYPERLINK("https://creighton-primo.hosted.exlibrisgroup.com/primo-explore/search?tab=default_tab&amp;search_scope=EVERYTHING&amp;vid=01CRU&amp;lang=en_US&amp;offset=0&amp;query=any,contains,991003504889702656","Catalog Record")</f>
        <v>Catalog Record</v>
      </c>
      <c r="AT582" s="6" t="str">
        <f>HYPERLINK("http://www.worldcat.org/oclc/42072117","WorldCat Record")</f>
        <v>WorldCat Record</v>
      </c>
      <c r="AU582" s="3" t="s">
        <v>7005</v>
      </c>
      <c r="AV582" s="3" t="s">
        <v>7006</v>
      </c>
      <c r="AW582" s="3" t="s">
        <v>7007</v>
      </c>
      <c r="AX582" s="3" t="s">
        <v>7007</v>
      </c>
      <c r="AY582" s="3" t="s">
        <v>7008</v>
      </c>
      <c r="AZ582" s="3" t="s">
        <v>74</v>
      </c>
      <c r="BB582" s="3" t="s">
        <v>7009</v>
      </c>
      <c r="BC582" s="3" t="s">
        <v>7012</v>
      </c>
      <c r="BD582" s="3" t="s">
        <v>7013</v>
      </c>
    </row>
    <row r="583" spans="1:56" ht="57.75" customHeight="1" x14ac:dyDescent="0.25">
      <c r="A583" s="7" t="s">
        <v>59</v>
      </c>
      <c r="B583" s="2" t="s">
        <v>6999</v>
      </c>
      <c r="C583" s="2" t="s">
        <v>7000</v>
      </c>
      <c r="D583" s="2" t="s">
        <v>7001</v>
      </c>
      <c r="E583" s="3" t="s">
        <v>923</v>
      </c>
      <c r="F583" s="3" t="s">
        <v>69</v>
      </c>
      <c r="G583" s="3" t="s">
        <v>60</v>
      </c>
      <c r="H583" s="3" t="s">
        <v>59</v>
      </c>
      <c r="I583" s="3" t="s">
        <v>59</v>
      </c>
      <c r="J583" s="3" t="s">
        <v>61</v>
      </c>
      <c r="L583" s="2" t="s">
        <v>7002</v>
      </c>
      <c r="M583" s="3" t="s">
        <v>297</v>
      </c>
      <c r="O583" s="3" t="s">
        <v>64</v>
      </c>
      <c r="P583" s="3" t="s">
        <v>467</v>
      </c>
      <c r="R583" s="3" t="s">
        <v>67</v>
      </c>
      <c r="S583" s="4">
        <v>4</v>
      </c>
      <c r="T583" s="4">
        <v>26</v>
      </c>
      <c r="U583" s="5" t="s">
        <v>7003</v>
      </c>
      <c r="V583" s="5" t="s">
        <v>7003</v>
      </c>
      <c r="W583" s="5" t="s">
        <v>7004</v>
      </c>
      <c r="X583" s="5" t="s">
        <v>7004</v>
      </c>
      <c r="Y583" s="4">
        <v>489</v>
      </c>
      <c r="Z583" s="4">
        <v>469</v>
      </c>
      <c r="AA583" s="4">
        <v>474</v>
      </c>
      <c r="AB583" s="4">
        <v>6</v>
      </c>
      <c r="AC583" s="4">
        <v>6</v>
      </c>
      <c r="AD583" s="4">
        <v>4</v>
      </c>
      <c r="AE583" s="4">
        <v>4</v>
      </c>
      <c r="AF583" s="4">
        <v>3</v>
      </c>
      <c r="AG583" s="4">
        <v>3</v>
      </c>
      <c r="AH583" s="4">
        <v>1</v>
      </c>
      <c r="AI583" s="4">
        <v>1</v>
      </c>
      <c r="AJ583" s="4">
        <v>0</v>
      </c>
      <c r="AK583" s="4">
        <v>0</v>
      </c>
      <c r="AL583" s="4">
        <v>1</v>
      </c>
      <c r="AM583" s="4">
        <v>1</v>
      </c>
      <c r="AN583" s="4">
        <v>0</v>
      </c>
      <c r="AO583" s="4">
        <v>0</v>
      </c>
      <c r="AP583" s="3" t="s">
        <v>59</v>
      </c>
      <c r="AQ583" s="3" t="s">
        <v>59</v>
      </c>
      <c r="AS583" s="6" t="str">
        <f>HYPERLINK("https://creighton-primo.hosted.exlibrisgroup.com/primo-explore/search?tab=default_tab&amp;search_scope=EVERYTHING&amp;vid=01CRU&amp;lang=en_US&amp;offset=0&amp;query=any,contains,991003504889702656","Catalog Record")</f>
        <v>Catalog Record</v>
      </c>
      <c r="AT583" s="6" t="str">
        <f>HYPERLINK("http://www.worldcat.org/oclc/42072117","WorldCat Record")</f>
        <v>WorldCat Record</v>
      </c>
      <c r="AU583" s="3" t="s">
        <v>7005</v>
      </c>
      <c r="AV583" s="3" t="s">
        <v>7006</v>
      </c>
      <c r="AW583" s="3" t="s">
        <v>7007</v>
      </c>
      <c r="AX583" s="3" t="s">
        <v>7007</v>
      </c>
      <c r="AY583" s="3" t="s">
        <v>7008</v>
      </c>
      <c r="AZ583" s="3" t="s">
        <v>74</v>
      </c>
      <c r="BB583" s="3" t="s">
        <v>7009</v>
      </c>
      <c r="BC583" s="3" t="s">
        <v>7014</v>
      </c>
      <c r="BD583" s="3" t="s">
        <v>7015</v>
      </c>
    </row>
    <row r="584" spans="1:56" ht="57.75" customHeight="1" x14ac:dyDescent="0.25">
      <c r="A584" s="7" t="s">
        <v>59</v>
      </c>
      <c r="B584" s="2" t="s">
        <v>7016</v>
      </c>
      <c r="C584" s="2" t="s">
        <v>7017</v>
      </c>
      <c r="D584" s="2" t="s">
        <v>7018</v>
      </c>
      <c r="F584" s="3" t="s">
        <v>59</v>
      </c>
      <c r="G584" s="3" t="s">
        <v>60</v>
      </c>
      <c r="H584" s="3" t="s">
        <v>59</v>
      </c>
      <c r="I584" s="3" t="s">
        <v>59</v>
      </c>
      <c r="J584" s="3" t="s">
        <v>61</v>
      </c>
      <c r="L584" s="2" t="s">
        <v>7019</v>
      </c>
      <c r="M584" s="3" t="s">
        <v>1757</v>
      </c>
      <c r="O584" s="3" t="s">
        <v>64</v>
      </c>
      <c r="P584" s="3" t="s">
        <v>467</v>
      </c>
      <c r="Q584" s="2" t="s">
        <v>7020</v>
      </c>
      <c r="R584" s="3" t="s">
        <v>67</v>
      </c>
      <c r="S584" s="4">
        <v>3</v>
      </c>
      <c r="T584" s="4">
        <v>3</v>
      </c>
      <c r="U584" s="5" t="s">
        <v>7021</v>
      </c>
      <c r="V584" s="5" t="s">
        <v>7021</v>
      </c>
      <c r="W584" s="5" t="s">
        <v>7022</v>
      </c>
      <c r="X584" s="5" t="s">
        <v>7022</v>
      </c>
      <c r="Y584" s="4">
        <v>263</v>
      </c>
      <c r="Z584" s="4">
        <v>192</v>
      </c>
      <c r="AA584" s="4">
        <v>194</v>
      </c>
      <c r="AB584" s="4">
        <v>5</v>
      </c>
      <c r="AC584" s="4">
        <v>6</v>
      </c>
      <c r="AD584" s="4">
        <v>9</v>
      </c>
      <c r="AE584" s="4">
        <v>10</v>
      </c>
      <c r="AF584" s="4">
        <v>3</v>
      </c>
      <c r="AG584" s="4">
        <v>3</v>
      </c>
      <c r="AH584" s="4">
        <v>1</v>
      </c>
      <c r="AI584" s="4">
        <v>1</v>
      </c>
      <c r="AJ584" s="4">
        <v>2</v>
      </c>
      <c r="AK584" s="4">
        <v>2</v>
      </c>
      <c r="AL584" s="4">
        <v>4</v>
      </c>
      <c r="AM584" s="4">
        <v>5</v>
      </c>
      <c r="AN584" s="4">
        <v>0</v>
      </c>
      <c r="AO584" s="4">
        <v>0</v>
      </c>
      <c r="AP584" s="3" t="s">
        <v>59</v>
      </c>
      <c r="AQ584" s="3" t="s">
        <v>59</v>
      </c>
      <c r="AS584" s="6" t="str">
        <f>HYPERLINK("https://creighton-primo.hosted.exlibrisgroup.com/primo-explore/search?tab=default_tab&amp;search_scope=EVERYTHING&amp;vid=01CRU&amp;lang=en_US&amp;offset=0&amp;query=any,contains,991002645019702656","Catalog Record")</f>
        <v>Catalog Record</v>
      </c>
      <c r="AT584" s="6" t="str">
        <f>HYPERLINK("http://www.worldcat.org/oclc/34617754","WorldCat Record")</f>
        <v>WorldCat Record</v>
      </c>
      <c r="AU584" s="3" t="s">
        <v>7023</v>
      </c>
      <c r="AV584" s="3" t="s">
        <v>7024</v>
      </c>
      <c r="AW584" s="3" t="s">
        <v>7025</v>
      </c>
      <c r="AX584" s="3" t="s">
        <v>7025</v>
      </c>
      <c r="AY584" s="3" t="s">
        <v>7026</v>
      </c>
      <c r="AZ584" s="3" t="s">
        <v>74</v>
      </c>
      <c r="BB584" s="3" t="s">
        <v>7027</v>
      </c>
      <c r="BC584" s="3" t="s">
        <v>7028</v>
      </c>
      <c r="BD584" s="3" t="s">
        <v>7029</v>
      </c>
    </row>
    <row r="585" spans="1:56" ht="57.75" customHeight="1" x14ac:dyDescent="0.25">
      <c r="A585" s="7" t="s">
        <v>59</v>
      </c>
      <c r="B585" s="2" t="s">
        <v>7030</v>
      </c>
      <c r="C585" s="2" t="s">
        <v>7031</v>
      </c>
      <c r="D585" s="2" t="s">
        <v>7032</v>
      </c>
      <c r="F585" s="3" t="s">
        <v>59</v>
      </c>
      <c r="G585" s="3" t="s">
        <v>60</v>
      </c>
      <c r="H585" s="3" t="s">
        <v>59</v>
      </c>
      <c r="I585" s="3" t="s">
        <v>59</v>
      </c>
      <c r="J585" s="3" t="s">
        <v>61</v>
      </c>
      <c r="K585" s="2" t="s">
        <v>7033</v>
      </c>
      <c r="L585" s="2" t="s">
        <v>7034</v>
      </c>
      <c r="M585" s="3" t="s">
        <v>738</v>
      </c>
      <c r="O585" s="3" t="s">
        <v>64</v>
      </c>
      <c r="P585" s="3" t="s">
        <v>1198</v>
      </c>
      <c r="R585" s="3" t="s">
        <v>67</v>
      </c>
      <c r="S585" s="4">
        <v>4</v>
      </c>
      <c r="T585" s="4">
        <v>4</v>
      </c>
      <c r="U585" s="5" t="s">
        <v>7035</v>
      </c>
      <c r="V585" s="5" t="s">
        <v>7035</v>
      </c>
      <c r="W585" s="5" t="s">
        <v>5286</v>
      </c>
      <c r="X585" s="5" t="s">
        <v>5286</v>
      </c>
      <c r="Y585" s="4">
        <v>129</v>
      </c>
      <c r="Z585" s="4">
        <v>120</v>
      </c>
      <c r="AA585" s="4">
        <v>138</v>
      </c>
      <c r="AB585" s="4">
        <v>2</v>
      </c>
      <c r="AC585" s="4">
        <v>2</v>
      </c>
      <c r="AD585" s="4">
        <v>1</v>
      </c>
      <c r="AE585" s="4">
        <v>1</v>
      </c>
      <c r="AF585" s="4">
        <v>0</v>
      </c>
      <c r="AG585" s="4">
        <v>0</v>
      </c>
      <c r="AH585" s="4">
        <v>0</v>
      </c>
      <c r="AI585" s="4">
        <v>0</v>
      </c>
      <c r="AJ585" s="4">
        <v>0</v>
      </c>
      <c r="AK585" s="4">
        <v>0</v>
      </c>
      <c r="AL585" s="4">
        <v>1</v>
      </c>
      <c r="AM585" s="4">
        <v>1</v>
      </c>
      <c r="AN585" s="4">
        <v>0</v>
      </c>
      <c r="AO585" s="4">
        <v>0</v>
      </c>
      <c r="AP585" s="3" t="s">
        <v>59</v>
      </c>
      <c r="AQ585" s="3" t="s">
        <v>69</v>
      </c>
      <c r="AR585" s="6" t="str">
        <f>HYPERLINK("http://catalog.hathitrust.org/Record/001507982","HathiTrust Record")</f>
        <v>HathiTrust Record</v>
      </c>
      <c r="AS585" s="6" t="str">
        <f>HYPERLINK("https://creighton-primo.hosted.exlibrisgroup.com/primo-explore/search?tab=default_tab&amp;search_scope=EVERYTHING&amp;vid=01CRU&amp;lang=en_US&amp;offset=0&amp;query=any,contains,991003517939702656","Catalog Record")</f>
        <v>Catalog Record</v>
      </c>
      <c r="AT585" s="6" t="str">
        <f>HYPERLINK("http://www.worldcat.org/oclc/1076306","WorldCat Record")</f>
        <v>WorldCat Record</v>
      </c>
      <c r="AU585" s="3" t="s">
        <v>7036</v>
      </c>
      <c r="AV585" s="3" t="s">
        <v>7037</v>
      </c>
      <c r="AW585" s="3" t="s">
        <v>7038</v>
      </c>
      <c r="AX585" s="3" t="s">
        <v>7038</v>
      </c>
      <c r="AY585" s="3" t="s">
        <v>7039</v>
      </c>
      <c r="AZ585" s="3" t="s">
        <v>74</v>
      </c>
      <c r="BC585" s="3" t="s">
        <v>7040</v>
      </c>
      <c r="BD585" s="3" t="s">
        <v>7041</v>
      </c>
    </row>
    <row r="586" spans="1:56" ht="57.75" customHeight="1" x14ac:dyDescent="0.25">
      <c r="A586" s="7" t="s">
        <v>59</v>
      </c>
      <c r="B586" s="2" t="s">
        <v>7042</v>
      </c>
      <c r="C586" s="2" t="s">
        <v>7043</v>
      </c>
      <c r="D586" s="2" t="s">
        <v>7044</v>
      </c>
      <c r="F586" s="3" t="s">
        <v>59</v>
      </c>
      <c r="G586" s="3" t="s">
        <v>60</v>
      </c>
      <c r="H586" s="3" t="s">
        <v>59</v>
      </c>
      <c r="I586" s="3" t="s">
        <v>59</v>
      </c>
      <c r="J586" s="3" t="s">
        <v>61</v>
      </c>
      <c r="K586" s="2" t="s">
        <v>7045</v>
      </c>
      <c r="L586" s="2" t="s">
        <v>7046</v>
      </c>
      <c r="M586" s="3" t="s">
        <v>239</v>
      </c>
      <c r="N586" s="2" t="s">
        <v>556</v>
      </c>
      <c r="O586" s="3" t="s">
        <v>64</v>
      </c>
      <c r="P586" s="3" t="s">
        <v>405</v>
      </c>
      <c r="R586" s="3" t="s">
        <v>67</v>
      </c>
      <c r="S586" s="4">
        <v>4</v>
      </c>
      <c r="T586" s="4">
        <v>4</v>
      </c>
      <c r="U586" s="5" t="s">
        <v>7047</v>
      </c>
      <c r="V586" s="5" t="s">
        <v>7047</v>
      </c>
      <c r="W586" s="5" t="s">
        <v>7048</v>
      </c>
      <c r="X586" s="5" t="s">
        <v>7048</v>
      </c>
      <c r="Y586" s="4">
        <v>531</v>
      </c>
      <c r="Z586" s="4">
        <v>432</v>
      </c>
      <c r="AA586" s="4">
        <v>931</v>
      </c>
      <c r="AB586" s="4">
        <v>3</v>
      </c>
      <c r="AC586" s="4">
        <v>5</v>
      </c>
      <c r="AD586" s="4">
        <v>19</v>
      </c>
      <c r="AE586" s="4">
        <v>29</v>
      </c>
      <c r="AF586" s="4">
        <v>6</v>
      </c>
      <c r="AG586" s="4">
        <v>14</v>
      </c>
      <c r="AH586" s="4">
        <v>4</v>
      </c>
      <c r="AI586" s="4">
        <v>5</v>
      </c>
      <c r="AJ586" s="4">
        <v>12</v>
      </c>
      <c r="AK586" s="4">
        <v>16</v>
      </c>
      <c r="AL586" s="4">
        <v>2</v>
      </c>
      <c r="AM586" s="4">
        <v>3</v>
      </c>
      <c r="AN586" s="4">
        <v>0</v>
      </c>
      <c r="AO586" s="4">
        <v>0</v>
      </c>
      <c r="AP586" s="3" t="s">
        <v>59</v>
      </c>
      <c r="AQ586" s="3" t="s">
        <v>59</v>
      </c>
      <c r="AS586" s="6" t="str">
        <f>HYPERLINK("https://creighton-primo.hosted.exlibrisgroup.com/primo-explore/search?tab=default_tab&amp;search_scope=EVERYTHING&amp;vid=01CRU&amp;lang=en_US&amp;offset=0&amp;query=any,contains,991002720559702656","Catalog Record")</f>
        <v>Catalog Record</v>
      </c>
      <c r="AT586" s="6" t="str">
        <f>HYPERLINK("http://www.worldcat.org/oclc/35669474","WorldCat Record")</f>
        <v>WorldCat Record</v>
      </c>
      <c r="AU586" s="3" t="s">
        <v>7049</v>
      </c>
      <c r="AV586" s="3" t="s">
        <v>7050</v>
      </c>
      <c r="AW586" s="3" t="s">
        <v>7051</v>
      </c>
      <c r="AX586" s="3" t="s">
        <v>7051</v>
      </c>
      <c r="AY586" s="3" t="s">
        <v>7052</v>
      </c>
      <c r="AZ586" s="3" t="s">
        <v>74</v>
      </c>
      <c r="BB586" s="3" t="s">
        <v>7053</v>
      </c>
      <c r="BC586" s="3" t="s">
        <v>7054</v>
      </c>
      <c r="BD586" s="3" t="s">
        <v>7055</v>
      </c>
    </row>
    <row r="587" spans="1:56" ht="57.75" customHeight="1" x14ac:dyDescent="0.25">
      <c r="A587" s="7" t="s">
        <v>59</v>
      </c>
      <c r="B587" s="2" t="s">
        <v>7056</v>
      </c>
      <c r="C587" s="2" t="s">
        <v>7057</v>
      </c>
      <c r="D587" s="2" t="s">
        <v>7058</v>
      </c>
      <c r="F587" s="3" t="s">
        <v>59</v>
      </c>
      <c r="G587" s="3" t="s">
        <v>60</v>
      </c>
      <c r="H587" s="3" t="s">
        <v>59</v>
      </c>
      <c r="I587" s="3" t="s">
        <v>59</v>
      </c>
      <c r="J587" s="3" t="s">
        <v>61</v>
      </c>
      <c r="K587" s="2" t="s">
        <v>7059</v>
      </c>
      <c r="L587" s="2" t="s">
        <v>7060</v>
      </c>
      <c r="M587" s="3" t="s">
        <v>495</v>
      </c>
      <c r="O587" s="3" t="s">
        <v>64</v>
      </c>
      <c r="P587" s="3" t="s">
        <v>405</v>
      </c>
      <c r="R587" s="3" t="s">
        <v>67</v>
      </c>
      <c r="S587" s="4">
        <v>6</v>
      </c>
      <c r="T587" s="4">
        <v>6</v>
      </c>
      <c r="U587" s="5" t="s">
        <v>7061</v>
      </c>
      <c r="V587" s="5" t="s">
        <v>7061</v>
      </c>
      <c r="W587" s="5" t="s">
        <v>7062</v>
      </c>
      <c r="X587" s="5" t="s">
        <v>7062</v>
      </c>
      <c r="Y587" s="4">
        <v>221</v>
      </c>
      <c r="Z587" s="4">
        <v>186</v>
      </c>
      <c r="AA587" s="4">
        <v>265</v>
      </c>
      <c r="AB587" s="4">
        <v>2</v>
      </c>
      <c r="AC587" s="4">
        <v>3</v>
      </c>
      <c r="AD587" s="4">
        <v>7</v>
      </c>
      <c r="AE587" s="4">
        <v>8</v>
      </c>
      <c r="AF587" s="4">
        <v>2</v>
      </c>
      <c r="AG587" s="4">
        <v>2</v>
      </c>
      <c r="AH587" s="4">
        <v>2</v>
      </c>
      <c r="AI587" s="4">
        <v>2</v>
      </c>
      <c r="AJ587" s="4">
        <v>4</v>
      </c>
      <c r="AK587" s="4">
        <v>4</v>
      </c>
      <c r="AL587" s="4">
        <v>1</v>
      </c>
      <c r="AM587" s="4">
        <v>2</v>
      </c>
      <c r="AN587" s="4">
        <v>0</v>
      </c>
      <c r="AO587" s="4">
        <v>0</v>
      </c>
      <c r="AP587" s="3" t="s">
        <v>59</v>
      </c>
      <c r="AQ587" s="3" t="s">
        <v>59</v>
      </c>
      <c r="AS587" s="6" t="str">
        <f>HYPERLINK("https://creighton-primo.hosted.exlibrisgroup.com/primo-explore/search?tab=default_tab&amp;search_scope=EVERYTHING&amp;vid=01CRU&amp;lang=en_US&amp;offset=0&amp;query=any,contains,991001090819702656","Catalog Record")</f>
        <v>Catalog Record</v>
      </c>
      <c r="AT587" s="6" t="str">
        <f>HYPERLINK("http://www.worldcat.org/oclc/17550530","WorldCat Record")</f>
        <v>WorldCat Record</v>
      </c>
      <c r="AU587" s="3" t="s">
        <v>7063</v>
      </c>
      <c r="AV587" s="3" t="s">
        <v>7064</v>
      </c>
      <c r="AW587" s="3" t="s">
        <v>7065</v>
      </c>
      <c r="AX587" s="3" t="s">
        <v>7065</v>
      </c>
      <c r="AY587" s="3" t="s">
        <v>7066</v>
      </c>
      <c r="AZ587" s="3" t="s">
        <v>74</v>
      </c>
      <c r="BB587" s="3" t="s">
        <v>7067</v>
      </c>
      <c r="BC587" s="3" t="s">
        <v>7068</v>
      </c>
      <c r="BD587" s="3" t="s">
        <v>7069</v>
      </c>
    </row>
    <row r="588" spans="1:56" ht="57.75" customHeight="1" x14ac:dyDescent="0.25">
      <c r="A588" s="7" t="s">
        <v>59</v>
      </c>
      <c r="B588" s="2" t="s">
        <v>7070</v>
      </c>
      <c r="C588" s="2" t="s">
        <v>7071</v>
      </c>
      <c r="D588" s="2" t="s">
        <v>7072</v>
      </c>
      <c r="F588" s="3" t="s">
        <v>59</v>
      </c>
      <c r="G588" s="3" t="s">
        <v>60</v>
      </c>
      <c r="H588" s="3" t="s">
        <v>59</v>
      </c>
      <c r="I588" s="3" t="s">
        <v>59</v>
      </c>
      <c r="J588" s="3" t="s">
        <v>61</v>
      </c>
      <c r="K588" s="2" t="s">
        <v>7073</v>
      </c>
      <c r="L588" s="2" t="s">
        <v>7074</v>
      </c>
      <c r="M588" s="3" t="s">
        <v>1701</v>
      </c>
      <c r="O588" s="3" t="s">
        <v>64</v>
      </c>
      <c r="P588" s="3" t="s">
        <v>405</v>
      </c>
      <c r="R588" s="3" t="s">
        <v>67</v>
      </c>
      <c r="S588" s="4">
        <v>9</v>
      </c>
      <c r="T588" s="4">
        <v>9</v>
      </c>
      <c r="U588" s="5" t="s">
        <v>7075</v>
      </c>
      <c r="V588" s="5" t="s">
        <v>7075</v>
      </c>
      <c r="W588" s="5" t="s">
        <v>7076</v>
      </c>
      <c r="X588" s="5" t="s">
        <v>7076</v>
      </c>
      <c r="Y588" s="4">
        <v>361</v>
      </c>
      <c r="Z588" s="4">
        <v>231</v>
      </c>
      <c r="AA588" s="4">
        <v>232</v>
      </c>
      <c r="AB588" s="4">
        <v>1</v>
      </c>
      <c r="AC588" s="4">
        <v>1</v>
      </c>
      <c r="AD588" s="4">
        <v>7</v>
      </c>
      <c r="AE588" s="4">
        <v>7</v>
      </c>
      <c r="AF588" s="4">
        <v>2</v>
      </c>
      <c r="AG588" s="4">
        <v>2</v>
      </c>
      <c r="AH588" s="4">
        <v>3</v>
      </c>
      <c r="AI588" s="4">
        <v>3</v>
      </c>
      <c r="AJ588" s="4">
        <v>4</v>
      </c>
      <c r="AK588" s="4">
        <v>4</v>
      </c>
      <c r="AL588" s="4">
        <v>0</v>
      </c>
      <c r="AM588" s="4">
        <v>0</v>
      </c>
      <c r="AN588" s="4">
        <v>0</v>
      </c>
      <c r="AO588" s="4">
        <v>0</v>
      </c>
      <c r="AP588" s="3" t="s">
        <v>59</v>
      </c>
      <c r="AQ588" s="3" t="s">
        <v>69</v>
      </c>
      <c r="AR588" s="6" t="str">
        <f>HYPERLINK("http://catalog.hathitrust.org/Record/000729469","HathiTrust Record")</f>
        <v>HathiTrust Record</v>
      </c>
      <c r="AS588" s="6" t="str">
        <f>HYPERLINK("https://creighton-primo.hosted.exlibrisgroup.com/primo-explore/search?tab=default_tab&amp;search_scope=EVERYTHING&amp;vid=01CRU&amp;lang=en_US&amp;offset=0&amp;query=any,contains,991004075949702656","Catalog Record")</f>
        <v>Catalog Record</v>
      </c>
      <c r="AT588" s="6" t="str">
        <f>HYPERLINK("http://www.worldcat.org/oclc/2318084","WorldCat Record")</f>
        <v>WorldCat Record</v>
      </c>
      <c r="AU588" s="3" t="s">
        <v>7077</v>
      </c>
      <c r="AV588" s="3" t="s">
        <v>7078</v>
      </c>
      <c r="AW588" s="3" t="s">
        <v>7079</v>
      </c>
      <c r="AX588" s="3" t="s">
        <v>7079</v>
      </c>
      <c r="AY588" s="3" t="s">
        <v>7080</v>
      </c>
      <c r="AZ588" s="3" t="s">
        <v>74</v>
      </c>
      <c r="BB588" s="3" t="s">
        <v>7081</v>
      </c>
      <c r="BC588" s="3" t="s">
        <v>7082</v>
      </c>
      <c r="BD588" s="3" t="s">
        <v>7083</v>
      </c>
    </row>
    <row r="589" spans="1:56" ht="57.75" customHeight="1" x14ac:dyDescent="0.25">
      <c r="A589" s="7" t="s">
        <v>59</v>
      </c>
      <c r="B589" s="2" t="s">
        <v>7084</v>
      </c>
      <c r="C589" s="2" t="s">
        <v>7085</v>
      </c>
      <c r="D589" s="2" t="s">
        <v>7086</v>
      </c>
      <c r="F589" s="3" t="s">
        <v>59</v>
      </c>
      <c r="G589" s="3" t="s">
        <v>60</v>
      </c>
      <c r="H589" s="3" t="s">
        <v>59</v>
      </c>
      <c r="I589" s="3" t="s">
        <v>59</v>
      </c>
      <c r="J589" s="3" t="s">
        <v>61</v>
      </c>
      <c r="K589" s="2" t="s">
        <v>7087</v>
      </c>
      <c r="L589" s="2" t="s">
        <v>7088</v>
      </c>
      <c r="M589" s="3" t="s">
        <v>130</v>
      </c>
      <c r="O589" s="3" t="s">
        <v>64</v>
      </c>
      <c r="P589" s="3" t="s">
        <v>630</v>
      </c>
      <c r="R589" s="3" t="s">
        <v>67</v>
      </c>
      <c r="S589" s="4">
        <v>6</v>
      </c>
      <c r="T589" s="4">
        <v>6</v>
      </c>
      <c r="U589" s="5" t="s">
        <v>7089</v>
      </c>
      <c r="V589" s="5" t="s">
        <v>7089</v>
      </c>
      <c r="W589" s="5" t="s">
        <v>7090</v>
      </c>
      <c r="X589" s="5" t="s">
        <v>7090</v>
      </c>
      <c r="Y589" s="4">
        <v>288</v>
      </c>
      <c r="Z589" s="4">
        <v>256</v>
      </c>
      <c r="AA589" s="4">
        <v>266</v>
      </c>
      <c r="AB589" s="4">
        <v>2</v>
      </c>
      <c r="AC589" s="4">
        <v>3</v>
      </c>
      <c r="AD589" s="4">
        <v>10</v>
      </c>
      <c r="AE589" s="4">
        <v>11</v>
      </c>
      <c r="AF589" s="4">
        <v>5</v>
      </c>
      <c r="AG589" s="4">
        <v>5</v>
      </c>
      <c r="AH589" s="4">
        <v>1</v>
      </c>
      <c r="AI589" s="4">
        <v>1</v>
      </c>
      <c r="AJ589" s="4">
        <v>4</v>
      </c>
      <c r="AK589" s="4">
        <v>4</v>
      </c>
      <c r="AL589" s="4">
        <v>1</v>
      </c>
      <c r="AM589" s="4">
        <v>2</v>
      </c>
      <c r="AN589" s="4">
        <v>0</v>
      </c>
      <c r="AO589" s="4">
        <v>0</v>
      </c>
      <c r="AP589" s="3" t="s">
        <v>59</v>
      </c>
      <c r="AQ589" s="3" t="s">
        <v>59</v>
      </c>
      <c r="AS589" s="6" t="str">
        <f>HYPERLINK("https://creighton-primo.hosted.exlibrisgroup.com/primo-explore/search?tab=default_tab&amp;search_scope=EVERYTHING&amp;vid=01CRU&amp;lang=en_US&amp;offset=0&amp;query=any,contains,991004275839702656","Catalog Record")</f>
        <v>Catalog Record</v>
      </c>
      <c r="AT589" s="6" t="str">
        <f>HYPERLINK("http://www.worldcat.org/oclc/51022873","WorldCat Record")</f>
        <v>WorldCat Record</v>
      </c>
      <c r="AU589" s="3" t="s">
        <v>7091</v>
      </c>
      <c r="AV589" s="3" t="s">
        <v>7092</v>
      </c>
      <c r="AW589" s="3" t="s">
        <v>7093</v>
      </c>
      <c r="AX589" s="3" t="s">
        <v>7093</v>
      </c>
      <c r="AY589" s="3" t="s">
        <v>7094</v>
      </c>
      <c r="AZ589" s="3" t="s">
        <v>74</v>
      </c>
      <c r="BB589" s="3" t="s">
        <v>7095</v>
      </c>
      <c r="BC589" s="3" t="s">
        <v>7096</v>
      </c>
      <c r="BD589" s="3" t="s">
        <v>7097</v>
      </c>
    </row>
    <row r="590" spans="1:56" ht="57.75" customHeight="1" x14ac:dyDescent="0.25">
      <c r="A590" s="7" t="s">
        <v>59</v>
      </c>
      <c r="B590" s="2" t="s">
        <v>7098</v>
      </c>
      <c r="C590" s="2" t="s">
        <v>7099</v>
      </c>
      <c r="D590" s="2" t="s">
        <v>7100</v>
      </c>
      <c r="F590" s="3" t="s">
        <v>59</v>
      </c>
      <c r="G590" s="3" t="s">
        <v>60</v>
      </c>
      <c r="H590" s="3" t="s">
        <v>59</v>
      </c>
      <c r="I590" s="3" t="s">
        <v>59</v>
      </c>
      <c r="J590" s="3" t="s">
        <v>61</v>
      </c>
      <c r="K590" s="2" t="s">
        <v>7101</v>
      </c>
      <c r="L590" s="2" t="s">
        <v>7102</v>
      </c>
      <c r="M590" s="3" t="s">
        <v>1701</v>
      </c>
      <c r="O590" s="3" t="s">
        <v>64</v>
      </c>
      <c r="P590" s="3" t="s">
        <v>467</v>
      </c>
      <c r="Q590" s="2" t="s">
        <v>7103</v>
      </c>
      <c r="R590" s="3" t="s">
        <v>67</v>
      </c>
      <c r="S590" s="4">
        <v>4</v>
      </c>
      <c r="T590" s="4">
        <v>4</v>
      </c>
      <c r="U590" s="5" t="s">
        <v>4515</v>
      </c>
      <c r="V590" s="5" t="s">
        <v>4515</v>
      </c>
      <c r="W590" s="5" t="s">
        <v>4331</v>
      </c>
      <c r="X590" s="5" t="s">
        <v>4331</v>
      </c>
      <c r="Y590" s="4">
        <v>371</v>
      </c>
      <c r="Z590" s="4">
        <v>273</v>
      </c>
      <c r="AA590" s="4">
        <v>285</v>
      </c>
      <c r="AB590" s="4">
        <v>3</v>
      </c>
      <c r="AC590" s="4">
        <v>3</v>
      </c>
      <c r="AD590" s="4">
        <v>5</v>
      </c>
      <c r="AE590" s="4">
        <v>5</v>
      </c>
      <c r="AF590" s="4">
        <v>0</v>
      </c>
      <c r="AG590" s="4">
        <v>0</v>
      </c>
      <c r="AH590" s="4">
        <v>2</v>
      </c>
      <c r="AI590" s="4">
        <v>2</v>
      </c>
      <c r="AJ590" s="4">
        <v>1</v>
      </c>
      <c r="AK590" s="4">
        <v>1</v>
      </c>
      <c r="AL590" s="4">
        <v>2</v>
      </c>
      <c r="AM590" s="4">
        <v>2</v>
      </c>
      <c r="AN590" s="4">
        <v>0</v>
      </c>
      <c r="AO590" s="4">
        <v>0</v>
      </c>
      <c r="AP590" s="3" t="s">
        <v>59</v>
      </c>
      <c r="AQ590" s="3" t="s">
        <v>69</v>
      </c>
      <c r="AR590" s="6" t="str">
        <f>HYPERLINK("http://catalog.hathitrust.org/Record/000213784","HathiTrust Record")</f>
        <v>HathiTrust Record</v>
      </c>
      <c r="AS590" s="6" t="str">
        <f>HYPERLINK("https://creighton-primo.hosted.exlibrisgroup.com/primo-explore/search?tab=default_tab&amp;search_scope=EVERYTHING&amp;vid=01CRU&amp;lang=en_US&amp;offset=0&amp;query=any,contains,991004297429702656","Catalog Record")</f>
        <v>Catalog Record</v>
      </c>
      <c r="AT590" s="6" t="str">
        <f>HYPERLINK("http://www.worldcat.org/oclc/2966045","WorldCat Record")</f>
        <v>WorldCat Record</v>
      </c>
      <c r="AU590" s="3" t="s">
        <v>7104</v>
      </c>
      <c r="AV590" s="3" t="s">
        <v>7105</v>
      </c>
      <c r="AW590" s="3" t="s">
        <v>7106</v>
      </c>
      <c r="AX590" s="3" t="s">
        <v>7106</v>
      </c>
      <c r="AY590" s="3" t="s">
        <v>7107</v>
      </c>
      <c r="AZ590" s="3" t="s">
        <v>74</v>
      </c>
      <c r="BB590" s="3" t="s">
        <v>7108</v>
      </c>
      <c r="BC590" s="3" t="s">
        <v>7109</v>
      </c>
      <c r="BD590" s="3" t="s">
        <v>7110</v>
      </c>
    </row>
    <row r="591" spans="1:56" ht="57.75" customHeight="1" x14ac:dyDescent="0.25">
      <c r="A591" s="7" t="s">
        <v>59</v>
      </c>
      <c r="B591" s="2" t="s">
        <v>7111</v>
      </c>
      <c r="C591" s="2" t="s">
        <v>7112</v>
      </c>
      <c r="D591" s="2" t="s">
        <v>7113</v>
      </c>
      <c r="E591" s="3" t="s">
        <v>923</v>
      </c>
      <c r="F591" s="3" t="s">
        <v>69</v>
      </c>
      <c r="G591" s="3" t="s">
        <v>60</v>
      </c>
      <c r="H591" s="3" t="s">
        <v>59</v>
      </c>
      <c r="I591" s="3" t="s">
        <v>59</v>
      </c>
      <c r="J591" s="3" t="s">
        <v>61</v>
      </c>
      <c r="L591" s="2" t="s">
        <v>7114</v>
      </c>
      <c r="M591" s="3" t="s">
        <v>2421</v>
      </c>
      <c r="O591" s="3" t="s">
        <v>64</v>
      </c>
      <c r="P591" s="3" t="s">
        <v>405</v>
      </c>
      <c r="R591" s="3" t="s">
        <v>67</v>
      </c>
      <c r="S591" s="4">
        <v>2</v>
      </c>
      <c r="T591" s="4">
        <v>4</v>
      </c>
      <c r="U591" s="5" t="s">
        <v>7075</v>
      </c>
      <c r="V591" s="5" t="s">
        <v>7075</v>
      </c>
      <c r="W591" s="5" t="s">
        <v>7062</v>
      </c>
      <c r="X591" s="5" t="s">
        <v>7062</v>
      </c>
      <c r="Y591" s="4">
        <v>299</v>
      </c>
      <c r="Z591" s="4">
        <v>216</v>
      </c>
      <c r="AA591" s="4">
        <v>217</v>
      </c>
      <c r="AB591" s="4">
        <v>3</v>
      </c>
      <c r="AC591" s="4">
        <v>3</v>
      </c>
      <c r="AD591" s="4">
        <v>6</v>
      </c>
      <c r="AE591" s="4">
        <v>6</v>
      </c>
      <c r="AF591" s="4">
        <v>0</v>
      </c>
      <c r="AG591" s="4">
        <v>0</v>
      </c>
      <c r="AH591" s="4">
        <v>1</v>
      </c>
      <c r="AI591" s="4">
        <v>1</v>
      </c>
      <c r="AJ591" s="4">
        <v>3</v>
      </c>
      <c r="AK591" s="4">
        <v>3</v>
      </c>
      <c r="AL591" s="4">
        <v>2</v>
      </c>
      <c r="AM591" s="4">
        <v>2</v>
      </c>
      <c r="AN591" s="4">
        <v>0</v>
      </c>
      <c r="AO591" s="4">
        <v>0</v>
      </c>
      <c r="AP591" s="3" t="s">
        <v>59</v>
      </c>
      <c r="AQ591" s="3" t="s">
        <v>69</v>
      </c>
      <c r="AR591" s="6" t="str">
        <f>HYPERLINK("http://catalog.hathitrust.org/Record/000937727","HathiTrust Record")</f>
        <v>HathiTrust Record</v>
      </c>
      <c r="AS591" s="6" t="str">
        <f>HYPERLINK("https://creighton-primo.hosted.exlibrisgroup.com/primo-explore/search?tab=default_tab&amp;search_scope=EVERYTHING&amp;vid=01CRU&amp;lang=en_US&amp;offset=0&amp;query=any,contains,991001200479702656","Catalog Record")</f>
        <v>Catalog Record</v>
      </c>
      <c r="AT591" s="6" t="str">
        <f>HYPERLINK("http://www.worldcat.org/oclc/17300892","WorldCat Record")</f>
        <v>WorldCat Record</v>
      </c>
      <c r="AU591" s="3" t="s">
        <v>7115</v>
      </c>
      <c r="AV591" s="3" t="s">
        <v>7116</v>
      </c>
      <c r="AW591" s="3" t="s">
        <v>7117</v>
      </c>
      <c r="AX591" s="3" t="s">
        <v>7117</v>
      </c>
      <c r="AY591" s="3" t="s">
        <v>7118</v>
      </c>
      <c r="AZ591" s="3" t="s">
        <v>74</v>
      </c>
      <c r="BB591" s="3" t="s">
        <v>7119</v>
      </c>
      <c r="BC591" s="3" t="s">
        <v>7120</v>
      </c>
      <c r="BD591" s="3" t="s">
        <v>7121</v>
      </c>
    </row>
    <row r="592" spans="1:56" ht="57.75" customHeight="1" x14ac:dyDescent="0.25">
      <c r="A592" s="7" t="s">
        <v>59</v>
      </c>
      <c r="B592" s="2" t="s">
        <v>7111</v>
      </c>
      <c r="C592" s="2" t="s">
        <v>7112</v>
      </c>
      <c r="D592" s="2" t="s">
        <v>7113</v>
      </c>
      <c r="E592" s="3" t="s">
        <v>917</v>
      </c>
      <c r="F592" s="3" t="s">
        <v>69</v>
      </c>
      <c r="G592" s="3" t="s">
        <v>60</v>
      </c>
      <c r="H592" s="3" t="s">
        <v>59</v>
      </c>
      <c r="I592" s="3" t="s">
        <v>59</v>
      </c>
      <c r="J592" s="3" t="s">
        <v>61</v>
      </c>
      <c r="L592" s="2" t="s">
        <v>7114</v>
      </c>
      <c r="M592" s="3" t="s">
        <v>2421</v>
      </c>
      <c r="O592" s="3" t="s">
        <v>64</v>
      </c>
      <c r="P592" s="3" t="s">
        <v>405</v>
      </c>
      <c r="R592" s="3" t="s">
        <v>67</v>
      </c>
      <c r="S592" s="4">
        <v>2</v>
      </c>
      <c r="T592" s="4">
        <v>4</v>
      </c>
      <c r="U592" s="5" t="s">
        <v>7075</v>
      </c>
      <c r="V592" s="5" t="s">
        <v>7075</v>
      </c>
      <c r="W592" s="5" t="s">
        <v>7062</v>
      </c>
      <c r="X592" s="5" t="s">
        <v>7062</v>
      </c>
      <c r="Y592" s="4">
        <v>299</v>
      </c>
      <c r="Z592" s="4">
        <v>216</v>
      </c>
      <c r="AA592" s="4">
        <v>217</v>
      </c>
      <c r="AB592" s="4">
        <v>3</v>
      </c>
      <c r="AC592" s="4">
        <v>3</v>
      </c>
      <c r="AD592" s="4">
        <v>6</v>
      </c>
      <c r="AE592" s="4">
        <v>6</v>
      </c>
      <c r="AF592" s="4">
        <v>0</v>
      </c>
      <c r="AG592" s="4">
        <v>0</v>
      </c>
      <c r="AH592" s="4">
        <v>1</v>
      </c>
      <c r="AI592" s="4">
        <v>1</v>
      </c>
      <c r="AJ592" s="4">
        <v>3</v>
      </c>
      <c r="AK592" s="4">
        <v>3</v>
      </c>
      <c r="AL592" s="4">
        <v>2</v>
      </c>
      <c r="AM592" s="4">
        <v>2</v>
      </c>
      <c r="AN592" s="4">
        <v>0</v>
      </c>
      <c r="AO592" s="4">
        <v>0</v>
      </c>
      <c r="AP592" s="3" t="s">
        <v>59</v>
      </c>
      <c r="AQ592" s="3" t="s">
        <v>69</v>
      </c>
      <c r="AR592" s="6" t="str">
        <f>HYPERLINK("http://catalog.hathitrust.org/Record/000937727","HathiTrust Record")</f>
        <v>HathiTrust Record</v>
      </c>
      <c r="AS592" s="6" t="str">
        <f>HYPERLINK("https://creighton-primo.hosted.exlibrisgroup.com/primo-explore/search?tab=default_tab&amp;search_scope=EVERYTHING&amp;vid=01CRU&amp;lang=en_US&amp;offset=0&amp;query=any,contains,991001200479702656","Catalog Record")</f>
        <v>Catalog Record</v>
      </c>
      <c r="AT592" s="6" t="str">
        <f>HYPERLINK("http://www.worldcat.org/oclc/17300892","WorldCat Record")</f>
        <v>WorldCat Record</v>
      </c>
      <c r="AU592" s="3" t="s">
        <v>7115</v>
      </c>
      <c r="AV592" s="3" t="s">
        <v>7116</v>
      </c>
      <c r="AW592" s="3" t="s">
        <v>7117</v>
      </c>
      <c r="AX592" s="3" t="s">
        <v>7117</v>
      </c>
      <c r="AY592" s="3" t="s">
        <v>7118</v>
      </c>
      <c r="AZ592" s="3" t="s">
        <v>74</v>
      </c>
      <c r="BB592" s="3" t="s">
        <v>7119</v>
      </c>
      <c r="BC592" s="3" t="s">
        <v>7122</v>
      </c>
      <c r="BD592" s="3" t="s">
        <v>7123</v>
      </c>
    </row>
    <row r="593" spans="1:56" ht="57.75" customHeight="1" x14ac:dyDescent="0.25">
      <c r="A593" s="7" t="s">
        <v>59</v>
      </c>
      <c r="B593" s="2" t="s">
        <v>7124</v>
      </c>
      <c r="C593" s="2" t="s">
        <v>7125</v>
      </c>
      <c r="D593" s="2" t="s">
        <v>7126</v>
      </c>
      <c r="F593" s="3" t="s">
        <v>59</v>
      </c>
      <c r="G593" s="3" t="s">
        <v>60</v>
      </c>
      <c r="H593" s="3" t="s">
        <v>59</v>
      </c>
      <c r="I593" s="3" t="s">
        <v>59</v>
      </c>
      <c r="J593" s="3" t="s">
        <v>61</v>
      </c>
      <c r="K593" s="2" t="s">
        <v>7127</v>
      </c>
      <c r="L593" s="2" t="s">
        <v>1920</v>
      </c>
      <c r="M593" s="3" t="s">
        <v>763</v>
      </c>
      <c r="O593" s="3" t="s">
        <v>64</v>
      </c>
      <c r="P593" s="3" t="s">
        <v>821</v>
      </c>
      <c r="R593" s="3" t="s">
        <v>67</v>
      </c>
      <c r="S593" s="4">
        <v>3</v>
      </c>
      <c r="T593" s="4">
        <v>3</v>
      </c>
      <c r="U593" s="5" t="s">
        <v>2061</v>
      </c>
      <c r="V593" s="5" t="s">
        <v>2061</v>
      </c>
      <c r="W593" s="5" t="s">
        <v>7128</v>
      </c>
      <c r="X593" s="5" t="s">
        <v>7128</v>
      </c>
      <c r="Y593" s="4">
        <v>885</v>
      </c>
      <c r="Z593" s="4">
        <v>753</v>
      </c>
      <c r="AA593" s="4">
        <v>777</v>
      </c>
      <c r="AB593" s="4">
        <v>6</v>
      </c>
      <c r="AC593" s="4">
        <v>6</v>
      </c>
      <c r="AD593" s="4">
        <v>31</v>
      </c>
      <c r="AE593" s="4">
        <v>32</v>
      </c>
      <c r="AF593" s="4">
        <v>13</v>
      </c>
      <c r="AG593" s="4">
        <v>14</v>
      </c>
      <c r="AH593" s="4">
        <v>6</v>
      </c>
      <c r="AI593" s="4">
        <v>7</v>
      </c>
      <c r="AJ593" s="4">
        <v>16</v>
      </c>
      <c r="AK593" s="4">
        <v>16</v>
      </c>
      <c r="AL593" s="4">
        <v>4</v>
      </c>
      <c r="AM593" s="4">
        <v>4</v>
      </c>
      <c r="AN593" s="4">
        <v>0</v>
      </c>
      <c r="AO593" s="4">
        <v>0</v>
      </c>
      <c r="AP593" s="3" t="s">
        <v>59</v>
      </c>
      <c r="AQ593" s="3" t="s">
        <v>59</v>
      </c>
      <c r="AS593" s="6" t="str">
        <f>HYPERLINK("https://creighton-primo.hosted.exlibrisgroup.com/primo-explore/search?tab=default_tab&amp;search_scope=EVERYTHING&amp;vid=01CRU&amp;lang=en_US&amp;offset=0&amp;query=any,contains,991001023429702656","Catalog Record")</f>
        <v>Catalog Record</v>
      </c>
      <c r="AT593" s="6" t="str">
        <f>HYPERLINK("http://www.worldcat.org/oclc/15421853","WorldCat Record")</f>
        <v>WorldCat Record</v>
      </c>
      <c r="AU593" s="3" t="s">
        <v>7129</v>
      </c>
      <c r="AV593" s="3" t="s">
        <v>7130</v>
      </c>
      <c r="AW593" s="3" t="s">
        <v>7131</v>
      </c>
      <c r="AX593" s="3" t="s">
        <v>7131</v>
      </c>
      <c r="AY593" s="3" t="s">
        <v>7132</v>
      </c>
      <c r="AZ593" s="3" t="s">
        <v>74</v>
      </c>
      <c r="BB593" s="3" t="s">
        <v>7133</v>
      </c>
      <c r="BC593" s="3" t="s">
        <v>7134</v>
      </c>
      <c r="BD593" s="3" t="s">
        <v>7135</v>
      </c>
    </row>
    <row r="594" spans="1:56" ht="57.75" customHeight="1" x14ac:dyDescent="0.25">
      <c r="A594" s="7" t="s">
        <v>59</v>
      </c>
      <c r="B594" s="2" t="s">
        <v>7136</v>
      </c>
      <c r="C594" s="2" t="s">
        <v>7137</v>
      </c>
      <c r="D594" s="2" t="s">
        <v>7138</v>
      </c>
      <c r="F594" s="3" t="s">
        <v>59</v>
      </c>
      <c r="G594" s="3" t="s">
        <v>60</v>
      </c>
      <c r="H594" s="3" t="s">
        <v>59</v>
      </c>
      <c r="I594" s="3" t="s">
        <v>59</v>
      </c>
      <c r="J594" s="3" t="s">
        <v>61</v>
      </c>
      <c r="K594" s="2" t="s">
        <v>7139</v>
      </c>
      <c r="L594" s="2" t="s">
        <v>7140</v>
      </c>
      <c r="M594" s="3" t="s">
        <v>571</v>
      </c>
      <c r="N594" s="2" t="s">
        <v>7141</v>
      </c>
      <c r="O594" s="3" t="s">
        <v>64</v>
      </c>
      <c r="P594" s="3" t="s">
        <v>7142</v>
      </c>
      <c r="Q594" s="2" t="s">
        <v>7143</v>
      </c>
      <c r="R594" s="3" t="s">
        <v>67</v>
      </c>
      <c r="S594" s="4">
        <v>0</v>
      </c>
      <c r="T594" s="4">
        <v>0</v>
      </c>
      <c r="U594" s="5" t="s">
        <v>7144</v>
      </c>
      <c r="V594" s="5" t="s">
        <v>7144</v>
      </c>
      <c r="W594" s="5" t="s">
        <v>1199</v>
      </c>
      <c r="X594" s="5" t="s">
        <v>1199</v>
      </c>
      <c r="Y594" s="4">
        <v>91</v>
      </c>
      <c r="Z594" s="4">
        <v>81</v>
      </c>
      <c r="AA594" s="4">
        <v>150</v>
      </c>
      <c r="AB594" s="4">
        <v>2</v>
      </c>
      <c r="AC594" s="4">
        <v>2</v>
      </c>
      <c r="AD594" s="4">
        <v>1</v>
      </c>
      <c r="AE594" s="4">
        <v>1</v>
      </c>
      <c r="AF594" s="4">
        <v>0</v>
      </c>
      <c r="AG594" s="4">
        <v>0</v>
      </c>
      <c r="AH594" s="4">
        <v>0</v>
      </c>
      <c r="AI594" s="4">
        <v>0</v>
      </c>
      <c r="AJ594" s="4">
        <v>0</v>
      </c>
      <c r="AK594" s="4">
        <v>0</v>
      </c>
      <c r="AL594" s="4">
        <v>1</v>
      </c>
      <c r="AM594" s="4">
        <v>1</v>
      </c>
      <c r="AN594" s="4">
        <v>0</v>
      </c>
      <c r="AO594" s="4">
        <v>0</v>
      </c>
      <c r="AP594" s="3" t="s">
        <v>59</v>
      </c>
      <c r="AQ594" s="3" t="s">
        <v>69</v>
      </c>
      <c r="AR594" s="6" t="str">
        <f>HYPERLINK("http://catalog.hathitrust.org/Record/002038289","HathiTrust Record")</f>
        <v>HathiTrust Record</v>
      </c>
      <c r="AS594" s="6" t="str">
        <f>HYPERLINK("https://creighton-primo.hosted.exlibrisgroup.com/primo-explore/search?tab=default_tab&amp;search_scope=EVERYTHING&amp;vid=01CRU&amp;lang=en_US&amp;offset=0&amp;query=any,contains,991002172269702656","Catalog Record")</f>
        <v>Catalog Record</v>
      </c>
      <c r="AT594" s="6" t="str">
        <f>HYPERLINK("http://www.worldcat.org/oclc/277128","WorldCat Record")</f>
        <v>WorldCat Record</v>
      </c>
      <c r="AU594" s="3" t="s">
        <v>7145</v>
      </c>
      <c r="AV594" s="3" t="s">
        <v>7146</v>
      </c>
      <c r="AW594" s="3" t="s">
        <v>7147</v>
      </c>
      <c r="AX594" s="3" t="s">
        <v>7147</v>
      </c>
      <c r="AY594" s="3" t="s">
        <v>7148</v>
      </c>
      <c r="AZ594" s="3" t="s">
        <v>74</v>
      </c>
      <c r="BC594" s="3" t="s">
        <v>7149</v>
      </c>
      <c r="BD594" s="3" t="s">
        <v>7150</v>
      </c>
    </row>
    <row r="595" spans="1:56" ht="57.75" customHeight="1" x14ac:dyDescent="0.25">
      <c r="A595" s="7" t="s">
        <v>59</v>
      </c>
      <c r="B595" s="2" t="s">
        <v>7151</v>
      </c>
      <c r="C595" s="2" t="s">
        <v>7152</v>
      </c>
      <c r="D595" s="2" t="s">
        <v>7153</v>
      </c>
      <c r="F595" s="3" t="s">
        <v>59</v>
      </c>
      <c r="G595" s="3" t="s">
        <v>60</v>
      </c>
      <c r="H595" s="3" t="s">
        <v>59</v>
      </c>
      <c r="I595" s="3" t="s">
        <v>59</v>
      </c>
      <c r="J595" s="3" t="s">
        <v>61</v>
      </c>
      <c r="K595" s="2" t="s">
        <v>7154</v>
      </c>
      <c r="L595" s="2" t="s">
        <v>7155</v>
      </c>
      <c r="M595" s="3" t="s">
        <v>1757</v>
      </c>
      <c r="O595" s="3" t="s">
        <v>64</v>
      </c>
      <c r="P595" s="3" t="s">
        <v>1078</v>
      </c>
      <c r="R595" s="3" t="s">
        <v>67</v>
      </c>
      <c r="S595" s="4">
        <v>8</v>
      </c>
      <c r="T595" s="4">
        <v>8</v>
      </c>
      <c r="U595" s="5" t="s">
        <v>4901</v>
      </c>
      <c r="V595" s="5" t="s">
        <v>4901</v>
      </c>
      <c r="W595" s="5" t="s">
        <v>7156</v>
      </c>
      <c r="X595" s="5" t="s">
        <v>7156</v>
      </c>
      <c r="Y595" s="4">
        <v>491</v>
      </c>
      <c r="Z595" s="4">
        <v>386</v>
      </c>
      <c r="AA595" s="4">
        <v>1077</v>
      </c>
      <c r="AB595" s="4">
        <v>4</v>
      </c>
      <c r="AC595" s="4">
        <v>15</v>
      </c>
      <c r="AD595" s="4">
        <v>18</v>
      </c>
      <c r="AE595" s="4">
        <v>41</v>
      </c>
      <c r="AF595" s="4">
        <v>6</v>
      </c>
      <c r="AG595" s="4">
        <v>13</v>
      </c>
      <c r="AH595" s="4">
        <v>5</v>
      </c>
      <c r="AI595" s="4">
        <v>8</v>
      </c>
      <c r="AJ595" s="4">
        <v>8</v>
      </c>
      <c r="AK595" s="4">
        <v>12</v>
      </c>
      <c r="AL595" s="4">
        <v>3</v>
      </c>
      <c r="AM595" s="4">
        <v>13</v>
      </c>
      <c r="AN595" s="4">
        <v>0</v>
      </c>
      <c r="AO595" s="4">
        <v>1</v>
      </c>
      <c r="AP595" s="3" t="s">
        <v>59</v>
      </c>
      <c r="AQ595" s="3" t="s">
        <v>59</v>
      </c>
      <c r="AS595" s="6" t="str">
        <f>HYPERLINK("https://creighton-primo.hosted.exlibrisgroup.com/primo-explore/search?tab=default_tab&amp;search_scope=EVERYTHING&amp;vid=01CRU&amp;lang=en_US&amp;offset=0&amp;query=any,contains,991002730029702656","Catalog Record")</f>
        <v>Catalog Record</v>
      </c>
      <c r="AT595" s="6" t="str">
        <f>HYPERLINK("http://www.worldcat.org/oclc/35808376","WorldCat Record")</f>
        <v>WorldCat Record</v>
      </c>
      <c r="AU595" s="3" t="s">
        <v>7157</v>
      </c>
      <c r="AV595" s="3" t="s">
        <v>7158</v>
      </c>
      <c r="AW595" s="3" t="s">
        <v>7159</v>
      </c>
      <c r="AX595" s="3" t="s">
        <v>7159</v>
      </c>
      <c r="AY595" s="3" t="s">
        <v>7160</v>
      </c>
      <c r="AZ595" s="3" t="s">
        <v>74</v>
      </c>
      <c r="BB595" s="3" t="s">
        <v>7161</v>
      </c>
      <c r="BC595" s="3" t="s">
        <v>7162</v>
      </c>
      <c r="BD595" s="3" t="s">
        <v>7163</v>
      </c>
    </row>
    <row r="596" spans="1:56" ht="57.75" customHeight="1" x14ac:dyDescent="0.25">
      <c r="A596" s="7" t="s">
        <v>59</v>
      </c>
      <c r="B596" s="2" t="s">
        <v>7164</v>
      </c>
      <c r="C596" s="2" t="s">
        <v>7165</v>
      </c>
      <c r="D596" s="2" t="s">
        <v>7166</v>
      </c>
      <c r="F596" s="3" t="s">
        <v>59</v>
      </c>
      <c r="G596" s="3" t="s">
        <v>60</v>
      </c>
      <c r="H596" s="3" t="s">
        <v>59</v>
      </c>
      <c r="I596" s="3" t="s">
        <v>59</v>
      </c>
      <c r="J596" s="3" t="s">
        <v>61</v>
      </c>
      <c r="K596" s="2" t="s">
        <v>7167</v>
      </c>
      <c r="L596" s="2" t="s">
        <v>7168</v>
      </c>
      <c r="M596" s="3" t="s">
        <v>1595</v>
      </c>
      <c r="O596" s="3" t="s">
        <v>64</v>
      </c>
      <c r="P596" s="3" t="s">
        <v>467</v>
      </c>
      <c r="Q596" s="2" t="s">
        <v>1937</v>
      </c>
      <c r="R596" s="3" t="s">
        <v>67</v>
      </c>
      <c r="S596" s="4">
        <v>16</v>
      </c>
      <c r="T596" s="4">
        <v>16</v>
      </c>
      <c r="U596" s="5" t="s">
        <v>3143</v>
      </c>
      <c r="V596" s="5" t="s">
        <v>3143</v>
      </c>
      <c r="W596" s="5" t="s">
        <v>7169</v>
      </c>
      <c r="X596" s="5" t="s">
        <v>7169</v>
      </c>
      <c r="Y596" s="4">
        <v>1034</v>
      </c>
      <c r="Z596" s="4">
        <v>971</v>
      </c>
      <c r="AA596" s="4">
        <v>1078</v>
      </c>
      <c r="AB596" s="4">
        <v>8</v>
      </c>
      <c r="AC596" s="4">
        <v>9</v>
      </c>
      <c r="AD596" s="4">
        <v>19</v>
      </c>
      <c r="AE596" s="4">
        <v>23</v>
      </c>
      <c r="AF596" s="4">
        <v>6</v>
      </c>
      <c r="AG596" s="4">
        <v>8</v>
      </c>
      <c r="AH596" s="4">
        <v>2</v>
      </c>
      <c r="AI596" s="4">
        <v>3</v>
      </c>
      <c r="AJ596" s="4">
        <v>9</v>
      </c>
      <c r="AK596" s="4">
        <v>9</v>
      </c>
      <c r="AL596" s="4">
        <v>4</v>
      </c>
      <c r="AM596" s="4">
        <v>5</v>
      </c>
      <c r="AN596" s="4">
        <v>0</v>
      </c>
      <c r="AO596" s="4">
        <v>0</v>
      </c>
      <c r="AP596" s="3" t="s">
        <v>59</v>
      </c>
      <c r="AQ596" s="3" t="s">
        <v>59</v>
      </c>
      <c r="AR596" s="6" t="str">
        <f>HYPERLINK("http://catalog.hathitrust.org/Record/001500736","HathiTrust Record")</f>
        <v>HathiTrust Record</v>
      </c>
      <c r="AS596" s="6" t="str">
        <f>HYPERLINK("https://creighton-primo.hosted.exlibrisgroup.com/primo-explore/search?tab=default_tab&amp;search_scope=EVERYTHING&amp;vid=01CRU&amp;lang=en_US&amp;offset=0&amp;query=any,contains,991002871139702656","Catalog Record")</f>
        <v>Catalog Record</v>
      </c>
      <c r="AT596" s="6" t="str">
        <f>HYPERLINK("http://www.worldcat.org/oclc/499272","WorldCat Record")</f>
        <v>WorldCat Record</v>
      </c>
      <c r="AU596" s="3" t="s">
        <v>7170</v>
      </c>
      <c r="AV596" s="3" t="s">
        <v>7171</v>
      </c>
      <c r="AW596" s="3" t="s">
        <v>7172</v>
      </c>
      <c r="AX596" s="3" t="s">
        <v>7172</v>
      </c>
      <c r="AY596" s="3" t="s">
        <v>7173</v>
      </c>
      <c r="AZ596" s="3" t="s">
        <v>74</v>
      </c>
      <c r="BC596" s="3" t="s">
        <v>7174</v>
      </c>
      <c r="BD596" s="3" t="s">
        <v>7175</v>
      </c>
    </row>
    <row r="597" spans="1:56" ht="57.75" customHeight="1" x14ac:dyDescent="0.25">
      <c r="A597" s="7" t="s">
        <v>59</v>
      </c>
      <c r="B597" s="2" t="s">
        <v>7176</v>
      </c>
      <c r="C597" s="2" t="s">
        <v>7177</v>
      </c>
      <c r="D597" s="2" t="s">
        <v>7178</v>
      </c>
      <c r="F597" s="3" t="s">
        <v>59</v>
      </c>
      <c r="G597" s="3" t="s">
        <v>60</v>
      </c>
      <c r="H597" s="3" t="s">
        <v>59</v>
      </c>
      <c r="I597" s="3" t="s">
        <v>59</v>
      </c>
      <c r="J597" s="3" t="s">
        <v>61</v>
      </c>
      <c r="L597" s="2" t="s">
        <v>7179</v>
      </c>
      <c r="M597" s="3" t="s">
        <v>1701</v>
      </c>
      <c r="N597" s="2" t="s">
        <v>2005</v>
      </c>
      <c r="O597" s="3" t="s">
        <v>64</v>
      </c>
      <c r="P597" s="3" t="s">
        <v>467</v>
      </c>
      <c r="R597" s="3" t="s">
        <v>67</v>
      </c>
      <c r="S597" s="4">
        <v>9</v>
      </c>
      <c r="T597" s="4">
        <v>9</v>
      </c>
      <c r="U597" s="5" t="s">
        <v>7180</v>
      </c>
      <c r="V597" s="5" t="s">
        <v>7180</v>
      </c>
      <c r="W597" s="5" t="s">
        <v>7181</v>
      </c>
      <c r="X597" s="5" t="s">
        <v>7181</v>
      </c>
      <c r="Y597" s="4">
        <v>572</v>
      </c>
      <c r="Z597" s="4">
        <v>404</v>
      </c>
      <c r="AA597" s="4">
        <v>1076</v>
      </c>
      <c r="AB597" s="4">
        <v>5</v>
      </c>
      <c r="AC597" s="4">
        <v>11</v>
      </c>
      <c r="AD597" s="4">
        <v>14</v>
      </c>
      <c r="AE597" s="4">
        <v>36</v>
      </c>
      <c r="AF597" s="4">
        <v>5</v>
      </c>
      <c r="AG597" s="4">
        <v>14</v>
      </c>
      <c r="AH597" s="4">
        <v>2</v>
      </c>
      <c r="AI597" s="4">
        <v>2</v>
      </c>
      <c r="AJ597" s="4">
        <v>8</v>
      </c>
      <c r="AK597" s="4">
        <v>16</v>
      </c>
      <c r="AL597" s="4">
        <v>3</v>
      </c>
      <c r="AM597" s="4">
        <v>9</v>
      </c>
      <c r="AN597" s="4">
        <v>0</v>
      </c>
      <c r="AO597" s="4">
        <v>0</v>
      </c>
      <c r="AP597" s="3" t="s">
        <v>59</v>
      </c>
      <c r="AQ597" s="3" t="s">
        <v>69</v>
      </c>
      <c r="AR597" s="6" t="str">
        <f>HYPERLINK("http://catalog.hathitrust.org/Record/004159668","HathiTrust Record")</f>
        <v>HathiTrust Record</v>
      </c>
      <c r="AS597" s="6" t="str">
        <f>HYPERLINK("https://creighton-primo.hosted.exlibrisgroup.com/primo-explore/search?tab=default_tab&amp;search_scope=EVERYTHING&amp;vid=01CRU&amp;lang=en_US&amp;offset=0&amp;query=any,contains,991004307929702656","Catalog Record")</f>
        <v>Catalog Record</v>
      </c>
      <c r="AT597" s="6" t="str">
        <f>HYPERLINK("http://www.worldcat.org/oclc/2984721","WorldCat Record")</f>
        <v>WorldCat Record</v>
      </c>
      <c r="AU597" s="3" t="s">
        <v>7182</v>
      </c>
      <c r="AV597" s="3" t="s">
        <v>7183</v>
      </c>
      <c r="AW597" s="3" t="s">
        <v>7184</v>
      </c>
      <c r="AX597" s="3" t="s">
        <v>7184</v>
      </c>
      <c r="AY597" s="3" t="s">
        <v>7185</v>
      </c>
      <c r="AZ597" s="3" t="s">
        <v>74</v>
      </c>
      <c r="BB597" s="3" t="s">
        <v>7186</v>
      </c>
      <c r="BC597" s="3" t="s">
        <v>7187</v>
      </c>
      <c r="BD597" s="3" t="s">
        <v>7188</v>
      </c>
    </row>
    <row r="598" spans="1:56" ht="57.75" customHeight="1" x14ac:dyDescent="0.25">
      <c r="A598" s="7" t="s">
        <v>59</v>
      </c>
      <c r="B598" s="2" t="s">
        <v>7189</v>
      </c>
      <c r="C598" s="2" t="s">
        <v>7190</v>
      </c>
      <c r="D598" s="2" t="s">
        <v>7191</v>
      </c>
      <c r="F598" s="3" t="s">
        <v>59</v>
      </c>
      <c r="G598" s="3" t="s">
        <v>60</v>
      </c>
      <c r="H598" s="3" t="s">
        <v>59</v>
      </c>
      <c r="I598" s="3" t="s">
        <v>59</v>
      </c>
      <c r="J598" s="3" t="s">
        <v>61</v>
      </c>
      <c r="K598" s="2" t="s">
        <v>7192</v>
      </c>
      <c r="L598" s="2" t="s">
        <v>7193</v>
      </c>
      <c r="M598" s="3" t="s">
        <v>452</v>
      </c>
      <c r="O598" s="3" t="s">
        <v>64</v>
      </c>
      <c r="P598" s="3" t="s">
        <v>7194</v>
      </c>
      <c r="R598" s="3" t="s">
        <v>67</v>
      </c>
      <c r="S598" s="4">
        <v>15</v>
      </c>
      <c r="T598" s="4">
        <v>15</v>
      </c>
      <c r="U598" s="5" t="s">
        <v>7195</v>
      </c>
      <c r="V598" s="5" t="s">
        <v>7195</v>
      </c>
      <c r="W598" s="5" t="s">
        <v>7169</v>
      </c>
      <c r="X598" s="5" t="s">
        <v>7169</v>
      </c>
      <c r="Y598" s="4">
        <v>621</v>
      </c>
      <c r="Z598" s="4">
        <v>602</v>
      </c>
      <c r="AA598" s="4">
        <v>887</v>
      </c>
      <c r="AB598" s="4">
        <v>8</v>
      </c>
      <c r="AC598" s="4">
        <v>10</v>
      </c>
      <c r="AD598" s="4">
        <v>20</v>
      </c>
      <c r="AE598" s="4">
        <v>28</v>
      </c>
      <c r="AF598" s="4">
        <v>7</v>
      </c>
      <c r="AG598" s="4">
        <v>9</v>
      </c>
      <c r="AH598" s="4">
        <v>2</v>
      </c>
      <c r="AI598" s="4">
        <v>3</v>
      </c>
      <c r="AJ598" s="4">
        <v>9</v>
      </c>
      <c r="AK598" s="4">
        <v>12</v>
      </c>
      <c r="AL598" s="4">
        <v>6</v>
      </c>
      <c r="AM598" s="4">
        <v>8</v>
      </c>
      <c r="AN598" s="4">
        <v>0</v>
      </c>
      <c r="AO598" s="4">
        <v>0</v>
      </c>
      <c r="AP598" s="3" t="s">
        <v>59</v>
      </c>
      <c r="AQ598" s="3" t="s">
        <v>69</v>
      </c>
      <c r="AR598" s="6" t="str">
        <f>HYPERLINK("http://catalog.hathitrust.org/Record/001500742","HathiTrust Record")</f>
        <v>HathiTrust Record</v>
      </c>
      <c r="AS598" s="6" t="str">
        <f>HYPERLINK("https://creighton-primo.hosted.exlibrisgroup.com/primo-explore/search?tab=default_tab&amp;search_scope=EVERYTHING&amp;vid=01CRU&amp;lang=en_US&amp;offset=0&amp;query=any,contains,991002983619702656","Catalog Record")</f>
        <v>Catalog Record</v>
      </c>
      <c r="AT598" s="6" t="str">
        <f>HYPERLINK("http://www.worldcat.org/oclc/556240","WorldCat Record")</f>
        <v>WorldCat Record</v>
      </c>
      <c r="AU598" s="3" t="s">
        <v>7196</v>
      </c>
      <c r="AV598" s="3" t="s">
        <v>7197</v>
      </c>
      <c r="AW598" s="3" t="s">
        <v>7198</v>
      </c>
      <c r="AX598" s="3" t="s">
        <v>7198</v>
      </c>
      <c r="AY598" s="3" t="s">
        <v>7199</v>
      </c>
      <c r="AZ598" s="3" t="s">
        <v>74</v>
      </c>
      <c r="BC598" s="3" t="s">
        <v>7200</v>
      </c>
      <c r="BD598" s="3" t="s">
        <v>7201</v>
      </c>
    </row>
    <row r="599" spans="1:56" ht="57.75" customHeight="1" x14ac:dyDescent="0.25">
      <c r="A599" s="7" t="s">
        <v>59</v>
      </c>
      <c r="B599" s="2" t="s">
        <v>7202</v>
      </c>
      <c r="C599" s="2" t="s">
        <v>7203</v>
      </c>
      <c r="D599" s="2" t="s">
        <v>7204</v>
      </c>
      <c r="F599" s="3" t="s">
        <v>59</v>
      </c>
      <c r="G599" s="3" t="s">
        <v>60</v>
      </c>
      <c r="H599" s="3" t="s">
        <v>59</v>
      </c>
      <c r="I599" s="3" t="s">
        <v>59</v>
      </c>
      <c r="J599" s="3" t="s">
        <v>61</v>
      </c>
      <c r="K599" s="2" t="s">
        <v>7205</v>
      </c>
      <c r="L599" s="2" t="s">
        <v>7206</v>
      </c>
      <c r="M599" s="3" t="s">
        <v>1852</v>
      </c>
      <c r="O599" s="3" t="s">
        <v>64</v>
      </c>
      <c r="P599" s="3" t="s">
        <v>405</v>
      </c>
      <c r="R599" s="3" t="s">
        <v>67</v>
      </c>
      <c r="S599" s="4">
        <v>15</v>
      </c>
      <c r="T599" s="4">
        <v>15</v>
      </c>
      <c r="U599" s="5" t="s">
        <v>7207</v>
      </c>
      <c r="V599" s="5" t="s">
        <v>7207</v>
      </c>
      <c r="W599" s="5" t="s">
        <v>7169</v>
      </c>
      <c r="X599" s="5" t="s">
        <v>7169</v>
      </c>
      <c r="Y599" s="4">
        <v>650</v>
      </c>
      <c r="Z599" s="4">
        <v>514</v>
      </c>
      <c r="AA599" s="4">
        <v>555</v>
      </c>
      <c r="AB599" s="4">
        <v>6</v>
      </c>
      <c r="AC599" s="4">
        <v>6</v>
      </c>
      <c r="AD599" s="4">
        <v>23</v>
      </c>
      <c r="AE599" s="4">
        <v>23</v>
      </c>
      <c r="AF599" s="4">
        <v>7</v>
      </c>
      <c r="AG599" s="4">
        <v>7</v>
      </c>
      <c r="AH599" s="4">
        <v>4</v>
      </c>
      <c r="AI599" s="4">
        <v>4</v>
      </c>
      <c r="AJ599" s="4">
        <v>12</v>
      </c>
      <c r="AK599" s="4">
        <v>12</v>
      </c>
      <c r="AL599" s="4">
        <v>5</v>
      </c>
      <c r="AM599" s="4">
        <v>5</v>
      </c>
      <c r="AN599" s="4">
        <v>0</v>
      </c>
      <c r="AO599" s="4">
        <v>0</v>
      </c>
      <c r="AP599" s="3" t="s">
        <v>59</v>
      </c>
      <c r="AQ599" s="3" t="s">
        <v>69</v>
      </c>
      <c r="AR599" s="6" t="str">
        <f>HYPERLINK("http://catalog.hathitrust.org/Record/001515776","HathiTrust Record")</f>
        <v>HathiTrust Record</v>
      </c>
      <c r="AS599" s="6" t="str">
        <f>HYPERLINK("https://creighton-primo.hosted.exlibrisgroup.com/primo-explore/search?tab=default_tab&amp;search_scope=EVERYTHING&amp;vid=01CRU&amp;lang=en_US&amp;offset=0&amp;query=any,contains,991002292179702656","Catalog Record")</f>
        <v>Catalog Record</v>
      </c>
      <c r="AT599" s="6" t="str">
        <f>HYPERLINK("http://www.worldcat.org/oclc/313564","WorldCat Record")</f>
        <v>WorldCat Record</v>
      </c>
      <c r="AU599" s="3" t="s">
        <v>7208</v>
      </c>
      <c r="AV599" s="3" t="s">
        <v>7209</v>
      </c>
      <c r="AW599" s="3" t="s">
        <v>7210</v>
      </c>
      <c r="AX599" s="3" t="s">
        <v>7210</v>
      </c>
      <c r="AY599" s="3" t="s">
        <v>7211</v>
      </c>
      <c r="AZ599" s="3" t="s">
        <v>74</v>
      </c>
      <c r="BC599" s="3" t="s">
        <v>7212</v>
      </c>
      <c r="BD599" s="3" t="s">
        <v>7213</v>
      </c>
    </row>
    <row r="600" spans="1:56" ht="57.75" customHeight="1" x14ac:dyDescent="0.25">
      <c r="A600" s="7" t="s">
        <v>59</v>
      </c>
      <c r="B600" s="2" t="s">
        <v>7214</v>
      </c>
      <c r="C600" s="2" t="s">
        <v>7215</v>
      </c>
      <c r="D600" s="2" t="s">
        <v>7216</v>
      </c>
      <c r="F600" s="3" t="s">
        <v>59</v>
      </c>
      <c r="G600" s="3" t="s">
        <v>60</v>
      </c>
      <c r="H600" s="3" t="s">
        <v>59</v>
      </c>
      <c r="I600" s="3" t="s">
        <v>59</v>
      </c>
      <c r="J600" s="3" t="s">
        <v>61</v>
      </c>
      <c r="K600" s="2" t="s">
        <v>7217</v>
      </c>
      <c r="L600" s="2" t="s">
        <v>7218</v>
      </c>
      <c r="M600" s="3" t="s">
        <v>3095</v>
      </c>
      <c r="N600" s="2" t="s">
        <v>7219</v>
      </c>
      <c r="O600" s="3" t="s">
        <v>64</v>
      </c>
      <c r="P600" s="3" t="s">
        <v>405</v>
      </c>
      <c r="R600" s="3" t="s">
        <v>67</v>
      </c>
      <c r="S600" s="4">
        <v>21</v>
      </c>
      <c r="T600" s="4">
        <v>21</v>
      </c>
      <c r="U600" s="5" t="s">
        <v>7220</v>
      </c>
      <c r="V600" s="5" t="s">
        <v>7220</v>
      </c>
      <c r="W600" s="5" t="s">
        <v>7221</v>
      </c>
      <c r="X600" s="5" t="s">
        <v>7221</v>
      </c>
      <c r="Y600" s="4">
        <v>278</v>
      </c>
      <c r="Z600" s="4">
        <v>154</v>
      </c>
      <c r="AA600" s="4">
        <v>853</v>
      </c>
      <c r="AB600" s="4">
        <v>2</v>
      </c>
      <c r="AC600" s="4">
        <v>9</v>
      </c>
      <c r="AD600" s="4">
        <v>6</v>
      </c>
      <c r="AE600" s="4">
        <v>27</v>
      </c>
      <c r="AF600" s="4">
        <v>1</v>
      </c>
      <c r="AG600" s="4">
        <v>9</v>
      </c>
      <c r="AH600" s="4">
        <v>1</v>
      </c>
      <c r="AI600" s="4">
        <v>4</v>
      </c>
      <c r="AJ600" s="4">
        <v>3</v>
      </c>
      <c r="AK600" s="4">
        <v>10</v>
      </c>
      <c r="AL600" s="4">
        <v>1</v>
      </c>
      <c r="AM600" s="4">
        <v>8</v>
      </c>
      <c r="AN600" s="4">
        <v>0</v>
      </c>
      <c r="AO600" s="4">
        <v>0</v>
      </c>
      <c r="AP600" s="3" t="s">
        <v>59</v>
      </c>
      <c r="AQ600" s="3" t="s">
        <v>69</v>
      </c>
      <c r="AR600" s="6" t="str">
        <f>HYPERLINK("http://catalog.hathitrust.org/Record/007198054","HathiTrust Record")</f>
        <v>HathiTrust Record</v>
      </c>
      <c r="AS600" s="6" t="str">
        <f>HYPERLINK("https://creighton-primo.hosted.exlibrisgroup.com/primo-explore/search?tab=default_tab&amp;search_scope=EVERYTHING&amp;vid=01CRU&amp;lang=en_US&amp;offset=0&amp;query=any,contains,991003903639702656","Catalog Record")</f>
        <v>Catalog Record</v>
      </c>
      <c r="AT600" s="6" t="str">
        <f>HYPERLINK("http://www.worldcat.org/oclc/1831886","WorldCat Record")</f>
        <v>WorldCat Record</v>
      </c>
      <c r="AU600" s="3" t="s">
        <v>7222</v>
      </c>
      <c r="AV600" s="3" t="s">
        <v>7223</v>
      </c>
      <c r="AW600" s="3" t="s">
        <v>7224</v>
      </c>
      <c r="AX600" s="3" t="s">
        <v>7224</v>
      </c>
      <c r="AY600" s="3" t="s">
        <v>7225</v>
      </c>
      <c r="AZ600" s="3" t="s">
        <v>74</v>
      </c>
      <c r="BB600" s="3" t="s">
        <v>7226</v>
      </c>
      <c r="BC600" s="3" t="s">
        <v>7227</v>
      </c>
      <c r="BD600" s="3" t="s">
        <v>7228</v>
      </c>
    </row>
    <row r="601" spans="1:56" ht="57.75" customHeight="1" x14ac:dyDescent="0.25">
      <c r="A601" s="7" t="s">
        <v>59</v>
      </c>
      <c r="B601" s="2" t="s">
        <v>7229</v>
      </c>
      <c r="C601" s="2" t="s">
        <v>7230</v>
      </c>
      <c r="D601" s="2" t="s">
        <v>7231</v>
      </c>
      <c r="F601" s="3" t="s">
        <v>59</v>
      </c>
      <c r="G601" s="3" t="s">
        <v>60</v>
      </c>
      <c r="H601" s="3" t="s">
        <v>59</v>
      </c>
      <c r="I601" s="3" t="s">
        <v>59</v>
      </c>
      <c r="J601" s="3" t="s">
        <v>61</v>
      </c>
      <c r="K601" s="2" t="s">
        <v>7232</v>
      </c>
      <c r="L601" s="2" t="s">
        <v>7233</v>
      </c>
      <c r="M601" s="3" t="s">
        <v>2139</v>
      </c>
      <c r="O601" s="3" t="s">
        <v>64</v>
      </c>
      <c r="P601" s="3" t="s">
        <v>467</v>
      </c>
      <c r="R601" s="3" t="s">
        <v>67</v>
      </c>
      <c r="S601" s="4">
        <v>8</v>
      </c>
      <c r="T601" s="4">
        <v>8</v>
      </c>
      <c r="U601" s="5" t="s">
        <v>7234</v>
      </c>
      <c r="V601" s="5" t="s">
        <v>7234</v>
      </c>
      <c r="W601" s="5" t="s">
        <v>6631</v>
      </c>
      <c r="X601" s="5" t="s">
        <v>6631</v>
      </c>
      <c r="Y601" s="4">
        <v>392</v>
      </c>
      <c r="Z601" s="4">
        <v>363</v>
      </c>
      <c r="AA601" s="4">
        <v>390</v>
      </c>
      <c r="AB601" s="4">
        <v>4</v>
      </c>
      <c r="AC601" s="4">
        <v>4</v>
      </c>
      <c r="AD601" s="4">
        <v>8</v>
      </c>
      <c r="AE601" s="4">
        <v>8</v>
      </c>
      <c r="AF601" s="4">
        <v>4</v>
      </c>
      <c r="AG601" s="4">
        <v>4</v>
      </c>
      <c r="AH601" s="4">
        <v>1</v>
      </c>
      <c r="AI601" s="4">
        <v>1</v>
      </c>
      <c r="AJ601" s="4">
        <v>1</v>
      </c>
      <c r="AK601" s="4">
        <v>1</v>
      </c>
      <c r="AL601" s="4">
        <v>2</v>
      </c>
      <c r="AM601" s="4">
        <v>2</v>
      </c>
      <c r="AN601" s="4">
        <v>0</v>
      </c>
      <c r="AO601" s="4">
        <v>0</v>
      </c>
      <c r="AP601" s="3" t="s">
        <v>59</v>
      </c>
      <c r="AQ601" s="3" t="s">
        <v>69</v>
      </c>
      <c r="AR601" s="6" t="str">
        <f>HYPERLINK("http://catalog.hathitrust.org/Record/000694762","HathiTrust Record")</f>
        <v>HathiTrust Record</v>
      </c>
      <c r="AS601" s="6" t="str">
        <f>HYPERLINK("https://creighton-primo.hosted.exlibrisgroup.com/primo-explore/search?tab=default_tab&amp;search_scope=EVERYTHING&amp;vid=01CRU&amp;lang=en_US&amp;offset=0&amp;query=any,contains,991004037419702656","Catalog Record")</f>
        <v>Catalog Record</v>
      </c>
      <c r="AT601" s="6" t="str">
        <f>HYPERLINK("http://www.worldcat.org/oclc/2176470","WorldCat Record")</f>
        <v>WorldCat Record</v>
      </c>
      <c r="AU601" s="3" t="s">
        <v>7235</v>
      </c>
      <c r="AV601" s="3" t="s">
        <v>7236</v>
      </c>
      <c r="AW601" s="3" t="s">
        <v>7237</v>
      </c>
      <c r="AX601" s="3" t="s">
        <v>7237</v>
      </c>
      <c r="AY601" s="3" t="s">
        <v>7238</v>
      </c>
      <c r="AZ601" s="3" t="s">
        <v>74</v>
      </c>
      <c r="BB601" s="3" t="s">
        <v>7239</v>
      </c>
      <c r="BC601" s="3" t="s">
        <v>7240</v>
      </c>
      <c r="BD601" s="3" t="s">
        <v>7241</v>
      </c>
    </row>
    <row r="602" spans="1:56" ht="57.75" customHeight="1" x14ac:dyDescent="0.25">
      <c r="A602" s="7" t="s">
        <v>59</v>
      </c>
      <c r="B602" s="2" t="s">
        <v>7242</v>
      </c>
      <c r="C602" s="2" t="s">
        <v>7243</v>
      </c>
      <c r="D602" s="2" t="s">
        <v>7244</v>
      </c>
      <c r="F602" s="3" t="s">
        <v>59</v>
      </c>
      <c r="G602" s="3" t="s">
        <v>60</v>
      </c>
      <c r="H602" s="3" t="s">
        <v>59</v>
      </c>
      <c r="I602" s="3" t="s">
        <v>59</v>
      </c>
      <c r="J602" s="3" t="s">
        <v>61</v>
      </c>
      <c r="L602" s="2" t="s">
        <v>3901</v>
      </c>
      <c r="M602" s="3" t="s">
        <v>540</v>
      </c>
      <c r="O602" s="3" t="s">
        <v>64</v>
      </c>
      <c r="P602" s="3" t="s">
        <v>405</v>
      </c>
      <c r="R602" s="3" t="s">
        <v>67</v>
      </c>
      <c r="S602" s="4">
        <v>4</v>
      </c>
      <c r="T602" s="4">
        <v>4</v>
      </c>
      <c r="U602" s="5" t="s">
        <v>7245</v>
      </c>
      <c r="V602" s="5" t="s">
        <v>7245</v>
      </c>
      <c r="W602" s="5" t="s">
        <v>3231</v>
      </c>
      <c r="X602" s="5" t="s">
        <v>3231</v>
      </c>
      <c r="Y602" s="4">
        <v>305</v>
      </c>
      <c r="Z602" s="4">
        <v>191</v>
      </c>
      <c r="AA602" s="4">
        <v>193</v>
      </c>
      <c r="AB602" s="4">
        <v>3</v>
      </c>
      <c r="AC602" s="4">
        <v>3</v>
      </c>
      <c r="AD602" s="4">
        <v>5</v>
      </c>
      <c r="AE602" s="4">
        <v>5</v>
      </c>
      <c r="AF602" s="4">
        <v>1</v>
      </c>
      <c r="AG602" s="4">
        <v>1</v>
      </c>
      <c r="AH602" s="4">
        <v>2</v>
      </c>
      <c r="AI602" s="4">
        <v>2</v>
      </c>
      <c r="AJ602" s="4">
        <v>0</v>
      </c>
      <c r="AK602" s="4">
        <v>0</v>
      </c>
      <c r="AL602" s="4">
        <v>2</v>
      </c>
      <c r="AM602" s="4">
        <v>2</v>
      </c>
      <c r="AN602" s="4">
        <v>0</v>
      </c>
      <c r="AO602" s="4">
        <v>0</v>
      </c>
      <c r="AP602" s="3" t="s">
        <v>59</v>
      </c>
      <c r="AQ602" s="3" t="s">
        <v>69</v>
      </c>
      <c r="AR602" s="6" t="str">
        <f>HYPERLINK("http://catalog.hathitrust.org/Record/000310572","HathiTrust Record")</f>
        <v>HathiTrust Record</v>
      </c>
      <c r="AS602" s="6" t="str">
        <f>HYPERLINK("https://creighton-primo.hosted.exlibrisgroup.com/primo-explore/search?tab=default_tab&amp;search_scope=EVERYTHING&amp;vid=01CRU&amp;lang=en_US&amp;offset=0&amp;query=any,contains,991005192759702656","Catalog Record")</f>
        <v>Catalog Record</v>
      </c>
      <c r="AT602" s="6" t="str">
        <f>HYPERLINK("http://www.worldcat.org/oclc/8029096","WorldCat Record")</f>
        <v>WorldCat Record</v>
      </c>
      <c r="AU602" s="3" t="s">
        <v>7246</v>
      </c>
      <c r="AV602" s="3" t="s">
        <v>7247</v>
      </c>
      <c r="AW602" s="3" t="s">
        <v>7248</v>
      </c>
      <c r="AX602" s="3" t="s">
        <v>7248</v>
      </c>
      <c r="AY602" s="3" t="s">
        <v>7249</v>
      </c>
      <c r="AZ602" s="3" t="s">
        <v>74</v>
      </c>
      <c r="BB602" s="3" t="s">
        <v>7250</v>
      </c>
      <c r="BC602" s="3" t="s">
        <v>7251</v>
      </c>
      <c r="BD602" s="3" t="s">
        <v>7252</v>
      </c>
    </row>
    <row r="603" spans="1:56" ht="57.75" customHeight="1" x14ac:dyDescent="0.25">
      <c r="A603" s="7" t="s">
        <v>59</v>
      </c>
      <c r="B603" s="2" t="s">
        <v>7253</v>
      </c>
      <c r="C603" s="2" t="s">
        <v>7254</v>
      </c>
      <c r="D603" s="2" t="s">
        <v>7255</v>
      </c>
      <c r="F603" s="3" t="s">
        <v>59</v>
      </c>
      <c r="G603" s="3" t="s">
        <v>60</v>
      </c>
      <c r="H603" s="3" t="s">
        <v>59</v>
      </c>
      <c r="I603" s="3" t="s">
        <v>59</v>
      </c>
      <c r="J603" s="3" t="s">
        <v>61</v>
      </c>
      <c r="K603" s="2" t="s">
        <v>4134</v>
      </c>
      <c r="L603" s="2" t="s">
        <v>7256</v>
      </c>
      <c r="M603" s="3" t="s">
        <v>656</v>
      </c>
      <c r="O603" s="3" t="s">
        <v>64</v>
      </c>
      <c r="P603" s="3" t="s">
        <v>467</v>
      </c>
      <c r="R603" s="3" t="s">
        <v>67</v>
      </c>
      <c r="S603" s="4">
        <v>13</v>
      </c>
      <c r="T603" s="4">
        <v>13</v>
      </c>
      <c r="U603" s="5" t="s">
        <v>2952</v>
      </c>
      <c r="V603" s="5" t="s">
        <v>2952</v>
      </c>
      <c r="W603" s="5" t="s">
        <v>6631</v>
      </c>
      <c r="X603" s="5" t="s">
        <v>6631</v>
      </c>
      <c r="Y603" s="4">
        <v>479</v>
      </c>
      <c r="Z603" s="4">
        <v>435</v>
      </c>
      <c r="AA603" s="4">
        <v>460</v>
      </c>
      <c r="AB603" s="4">
        <v>3</v>
      </c>
      <c r="AC603" s="4">
        <v>3</v>
      </c>
      <c r="AD603" s="4">
        <v>12</v>
      </c>
      <c r="AE603" s="4">
        <v>13</v>
      </c>
      <c r="AF603" s="4">
        <v>6</v>
      </c>
      <c r="AG603" s="4">
        <v>6</v>
      </c>
      <c r="AH603" s="4">
        <v>3</v>
      </c>
      <c r="AI603" s="4">
        <v>3</v>
      </c>
      <c r="AJ603" s="4">
        <v>5</v>
      </c>
      <c r="AK603" s="4">
        <v>6</v>
      </c>
      <c r="AL603" s="4">
        <v>2</v>
      </c>
      <c r="AM603" s="4">
        <v>2</v>
      </c>
      <c r="AN603" s="4">
        <v>0</v>
      </c>
      <c r="AO603" s="4">
        <v>0</v>
      </c>
      <c r="AP603" s="3" t="s">
        <v>59</v>
      </c>
      <c r="AQ603" s="3" t="s">
        <v>69</v>
      </c>
      <c r="AR603" s="6" t="str">
        <f>HYPERLINK("http://catalog.hathitrust.org/Record/001500766","HathiTrust Record")</f>
        <v>HathiTrust Record</v>
      </c>
      <c r="AS603" s="6" t="str">
        <f>HYPERLINK("https://creighton-primo.hosted.exlibrisgroup.com/primo-explore/search?tab=default_tab&amp;search_scope=EVERYTHING&amp;vid=01CRU&amp;lang=en_US&amp;offset=0&amp;query=any,contains,991002868539702656","Catalog Record")</f>
        <v>Catalog Record</v>
      </c>
      <c r="AT603" s="6" t="str">
        <f>HYPERLINK("http://www.worldcat.org/oclc/497611","WorldCat Record")</f>
        <v>WorldCat Record</v>
      </c>
      <c r="AU603" s="3" t="s">
        <v>7257</v>
      </c>
      <c r="AV603" s="3" t="s">
        <v>7258</v>
      </c>
      <c r="AW603" s="3" t="s">
        <v>7259</v>
      </c>
      <c r="AX603" s="3" t="s">
        <v>7259</v>
      </c>
      <c r="AY603" s="3" t="s">
        <v>7260</v>
      </c>
      <c r="AZ603" s="3" t="s">
        <v>74</v>
      </c>
      <c r="BC603" s="3" t="s">
        <v>7261</v>
      </c>
      <c r="BD603" s="3" t="s">
        <v>7262</v>
      </c>
    </row>
    <row r="604" spans="1:56" ht="57.75" customHeight="1" x14ac:dyDescent="0.25">
      <c r="A604" s="7" t="s">
        <v>59</v>
      </c>
      <c r="B604" s="2" t="s">
        <v>7263</v>
      </c>
      <c r="C604" s="2" t="s">
        <v>7264</v>
      </c>
      <c r="D604" s="2" t="s">
        <v>7265</v>
      </c>
      <c r="F604" s="3" t="s">
        <v>59</v>
      </c>
      <c r="G604" s="3" t="s">
        <v>60</v>
      </c>
      <c r="H604" s="3" t="s">
        <v>59</v>
      </c>
      <c r="I604" s="3" t="s">
        <v>59</v>
      </c>
      <c r="J604" s="3" t="s">
        <v>61</v>
      </c>
      <c r="K604" s="2" t="s">
        <v>7266</v>
      </c>
      <c r="L604" s="2" t="s">
        <v>7267</v>
      </c>
      <c r="M604" s="3" t="s">
        <v>1182</v>
      </c>
      <c r="O604" s="3" t="s">
        <v>64</v>
      </c>
      <c r="P604" s="3" t="s">
        <v>1078</v>
      </c>
      <c r="R604" s="3" t="s">
        <v>67</v>
      </c>
      <c r="S604" s="4">
        <v>8</v>
      </c>
      <c r="T604" s="4">
        <v>8</v>
      </c>
      <c r="U604" s="5" t="s">
        <v>7268</v>
      </c>
      <c r="V604" s="5" t="s">
        <v>7268</v>
      </c>
      <c r="W604" s="5" t="s">
        <v>7269</v>
      </c>
      <c r="X604" s="5" t="s">
        <v>7269</v>
      </c>
      <c r="Y604" s="4">
        <v>153</v>
      </c>
      <c r="Z604" s="4">
        <v>108</v>
      </c>
      <c r="AA604" s="4">
        <v>109</v>
      </c>
      <c r="AB604" s="4">
        <v>1</v>
      </c>
      <c r="AC604" s="4">
        <v>1</v>
      </c>
      <c r="AD604" s="4">
        <v>1</v>
      </c>
      <c r="AE604" s="4">
        <v>1</v>
      </c>
      <c r="AF604" s="4">
        <v>1</v>
      </c>
      <c r="AG604" s="4">
        <v>1</v>
      </c>
      <c r="AH604" s="4">
        <v>0</v>
      </c>
      <c r="AI604" s="4">
        <v>0</v>
      </c>
      <c r="AJ604" s="4">
        <v>0</v>
      </c>
      <c r="AK604" s="4">
        <v>0</v>
      </c>
      <c r="AL604" s="4">
        <v>0</v>
      </c>
      <c r="AM604" s="4">
        <v>0</v>
      </c>
      <c r="AN604" s="4">
        <v>0</v>
      </c>
      <c r="AO604" s="4">
        <v>0</v>
      </c>
      <c r="AP604" s="3" t="s">
        <v>59</v>
      </c>
      <c r="AQ604" s="3" t="s">
        <v>69</v>
      </c>
      <c r="AR604" s="6" t="str">
        <f>HYPERLINK("http://catalog.hathitrust.org/Record/002461324","HathiTrust Record")</f>
        <v>HathiTrust Record</v>
      </c>
      <c r="AS604" s="6" t="str">
        <f>HYPERLINK("https://creighton-primo.hosted.exlibrisgroup.com/primo-explore/search?tab=default_tab&amp;search_scope=EVERYTHING&amp;vid=01CRU&amp;lang=en_US&amp;offset=0&amp;query=any,contains,991001801549702656","Catalog Record")</f>
        <v>Catalog Record</v>
      </c>
      <c r="AT604" s="6" t="str">
        <f>HYPERLINK("http://www.worldcat.org/oclc/22653716","WorldCat Record")</f>
        <v>WorldCat Record</v>
      </c>
      <c r="AU604" s="3" t="s">
        <v>7270</v>
      </c>
      <c r="AV604" s="3" t="s">
        <v>7271</v>
      </c>
      <c r="AW604" s="3" t="s">
        <v>7272</v>
      </c>
      <c r="AX604" s="3" t="s">
        <v>7272</v>
      </c>
      <c r="AY604" s="3" t="s">
        <v>7273</v>
      </c>
      <c r="AZ604" s="3" t="s">
        <v>74</v>
      </c>
      <c r="BB604" s="3" t="s">
        <v>7274</v>
      </c>
      <c r="BC604" s="3" t="s">
        <v>7275</v>
      </c>
      <c r="BD604" s="3" t="s">
        <v>7276</v>
      </c>
    </row>
    <row r="605" spans="1:56" ht="57.75" customHeight="1" x14ac:dyDescent="0.25">
      <c r="A605" s="7" t="s">
        <v>59</v>
      </c>
      <c r="B605" s="2" t="s">
        <v>7277</v>
      </c>
      <c r="C605" s="2" t="s">
        <v>7278</v>
      </c>
      <c r="D605" s="2" t="s">
        <v>7279</v>
      </c>
      <c r="F605" s="3" t="s">
        <v>59</v>
      </c>
      <c r="G605" s="3" t="s">
        <v>60</v>
      </c>
      <c r="H605" s="3" t="s">
        <v>59</v>
      </c>
      <c r="I605" s="3" t="s">
        <v>59</v>
      </c>
      <c r="J605" s="3" t="s">
        <v>61</v>
      </c>
      <c r="K605" s="2" t="s">
        <v>4551</v>
      </c>
      <c r="L605" s="2" t="s">
        <v>7280</v>
      </c>
      <c r="M605" s="3" t="s">
        <v>2244</v>
      </c>
      <c r="O605" s="3" t="s">
        <v>64</v>
      </c>
      <c r="P605" s="3" t="s">
        <v>405</v>
      </c>
      <c r="R605" s="3" t="s">
        <v>67</v>
      </c>
      <c r="S605" s="4">
        <v>8</v>
      </c>
      <c r="T605" s="4">
        <v>8</v>
      </c>
      <c r="U605" s="5" t="s">
        <v>7281</v>
      </c>
      <c r="V605" s="5" t="s">
        <v>7281</v>
      </c>
      <c r="W605" s="5" t="s">
        <v>2154</v>
      </c>
      <c r="X605" s="5" t="s">
        <v>2154</v>
      </c>
      <c r="Y605" s="4">
        <v>256</v>
      </c>
      <c r="Z605" s="4">
        <v>187</v>
      </c>
      <c r="AA605" s="4">
        <v>190</v>
      </c>
      <c r="AB605" s="4">
        <v>2</v>
      </c>
      <c r="AC605" s="4">
        <v>2</v>
      </c>
      <c r="AD605" s="4">
        <v>3</v>
      </c>
      <c r="AE605" s="4">
        <v>3</v>
      </c>
      <c r="AF605" s="4">
        <v>0</v>
      </c>
      <c r="AG605" s="4">
        <v>0</v>
      </c>
      <c r="AH605" s="4">
        <v>1</v>
      </c>
      <c r="AI605" s="4">
        <v>1</v>
      </c>
      <c r="AJ605" s="4">
        <v>1</v>
      </c>
      <c r="AK605" s="4">
        <v>1</v>
      </c>
      <c r="AL605" s="4">
        <v>1</v>
      </c>
      <c r="AM605" s="4">
        <v>1</v>
      </c>
      <c r="AN605" s="4">
        <v>0</v>
      </c>
      <c r="AO605" s="4">
        <v>0</v>
      </c>
      <c r="AP605" s="3" t="s">
        <v>59</v>
      </c>
      <c r="AQ605" s="3" t="s">
        <v>59</v>
      </c>
      <c r="AS605" s="6" t="str">
        <f>HYPERLINK("https://creighton-primo.hosted.exlibrisgroup.com/primo-explore/search?tab=default_tab&amp;search_scope=EVERYTHING&amp;vid=01CRU&amp;lang=en_US&amp;offset=0&amp;query=any,contains,991001850779702656","Catalog Record")</f>
        <v>Catalog Record</v>
      </c>
      <c r="AT605" s="6" t="str">
        <f>HYPERLINK("http://www.worldcat.org/oclc/23219788","WorldCat Record")</f>
        <v>WorldCat Record</v>
      </c>
      <c r="AU605" s="3" t="s">
        <v>7282</v>
      </c>
      <c r="AV605" s="3" t="s">
        <v>7283</v>
      </c>
      <c r="AW605" s="3" t="s">
        <v>7284</v>
      </c>
      <c r="AX605" s="3" t="s">
        <v>7284</v>
      </c>
      <c r="AY605" s="3" t="s">
        <v>7285</v>
      </c>
      <c r="AZ605" s="3" t="s">
        <v>74</v>
      </c>
      <c r="BB605" s="3" t="s">
        <v>7286</v>
      </c>
      <c r="BC605" s="3" t="s">
        <v>7287</v>
      </c>
      <c r="BD605" s="3" t="s">
        <v>7288</v>
      </c>
    </row>
    <row r="606" spans="1:56" ht="57.75" customHeight="1" x14ac:dyDescent="0.25">
      <c r="A606" s="7" t="s">
        <v>59</v>
      </c>
      <c r="B606" s="2" t="s">
        <v>7289</v>
      </c>
      <c r="C606" s="2" t="s">
        <v>7290</v>
      </c>
      <c r="D606" s="2" t="s">
        <v>7291</v>
      </c>
      <c r="F606" s="3" t="s">
        <v>59</v>
      </c>
      <c r="G606" s="3" t="s">
        <v>60</v>
      </c>
      <c r="H606" s="3" t="s">
        <v>59</v>
      </c>
      <c r="I606" s="3" t="s">
        <v>59</v>
      </c>
      <c r="J606" s="3" t="s">
        <v>61</v>
      </c>
      <c r="K606" s="2" t="s">
        <v>7292</v>
      </c>
      <c r="L606" s="2" t="s">
        <v>7293</v>
      </c>
      <c r="M606" s="3" t="s">
        <v>172</v>
      </c>
      <c r="N606" s="2" t="s">
        <v>1077</v>
      </c>
      <c r="O606" s="3" t="s">
        <v>64</v>
      </c>
      <c r="P606" s="3" t="s">
        <v>1268</v>
      </c>
      <c r="R606" s="3" t="s">
        <v>67</v>
      </c>
      <c r="S606" s="4">
        <v>5</v>
      </c>
      <c r="T606" s="4">
        <v>5</v>
      </c>
      <c r="U606" s="5" t="s">
        <v>7207</v>
      </c>
      <c r="V606" s="5" t="s">
        <v>7207</v>
      </c>
      <c r="W606" s="5" t="s">
        <v>7294</v>
      </c>
      <c r="X606" s="5" t="s">
        <v>7294</v>
      </c>
      <c r="Y606" s="4">
        <v>462</v>
      </c>
      <c r="Z606" s="4">
        <v>309</v>
      </c>
      <c r="AA606" s="4">
        <v>1464</v>
      </c>
      <c r="AB606" s="4">
        <v>2</v>
      </c>
      <c r="AC606" s="4">
        <v>12</v>
      </c>
      <c r="AD606" s="4">
        <v>9</v>
      </c>
      <c r="AE606" s="4">
        <v>47</v>
      </c>
      <c r="AF606" s="4">
        <v>5</v>
      </c>
      <c r="AG606" s="4">
        <v>21</v>
      </c>
      <c r="AH606" s="4">
        <v>1</v>
      </c>
      <c r="AI606" s="4">
        <v>8</v>
      </c>
      <c r="AJ606" s="4">
        <v>5</v>
      </c>
      <c r="AK606" s="4">
        <v>19</v>
      </c>
      <c r="AL606" s="4">
        <v>0</v>
      </c>
      <c r="AM606" s="4">
        <v>9</v>
      </c>
      <c r="AN606" s="4">
        <v>0</v>
      </c>
      <c r="AO606" s="4">
        <v>1</v>
      </c>
      <c r="AP606" s="3" t="s">
        <v>59</v>
      </c>
      <c r="AQ606" s="3" t="s">
        <v>69</v>
      </c>
      <c r="AR606" s="6" t="str">
        <f>HYPERLINK("http://catalog.hathitrust.org/Record/005143215","HathiTrust Record")</f>
        <v>HathiTrust Record</v>
      </c>
      <c r="AS606" s="6" t="str">
        <f>HYPERLINK("https://creighton-primo.hosted.exlibrisgroup.com/primo-explore/search?tab=default_tab&amp;search_scope=EVERYTHING&amp;vid=01CRU&amp;lang=en_US&amp;offset=0&amp;query=any,contains,991004781789702656","Catalog Record")</f>
        <v>Catalog Record</v>
      </c>
      <c r="AT606" s="6" t="str">
        <f>HYPERLINK("http://www.worldcat.org/oclc/62324946","WorldCat Record")</f>
        <v>WorldCat Record</v>
      </c>
      <c r="AU606" s="3" t="s">
        <v>7295</v>
      </c>
      <c r="AV606" s="3" t="s">
        <v>7296</v>
      </c>
      <c r="AW606" s="3" t="s">
        <v>7297</v>
      </c>
      <c r="AX606" s="3" t="s">
        <v>7297</v>
      </c>
      <c r="AY606" s="3" t="s">
        <v>7298</v>
      </c>
      <c r="AZ606" s="3" t="s">
        <v>74</v>
      </c>
      <c r="BB606" s="3" t="s">
        <v>7299</v>
      </c>
      <c r="BC606" s="3" t="s">
        <v>7300</v>
      </c>
      <c r="BD606" s="3" t="s">
        <v>7301</v>
      </c>
    </row>
    <row r="607" spans="1:56" ht="57.75" customHeight="1" x14ac:dyDescent="0.25">
      <c r="A607" s="7" t="s">
        <v>59</v>
      </c>
      <c r="B607" s="2" t="s">
        <v>7302</v>
      </c>
      <c r="C607" s="2" t="s">
        <v>7303</v>
      </c>
      <c r="D607" s="2" t="s">
        <v>7304</v>
      </c>
      <c r="F607" s="3" t="s">
        <v>59</v>
      </c>
      <c r="G607" s="3" t="s">
        <v>60</v>
      </c>
      <c r="H607" s="3" t="s">
        <v>59</v>
      </c>
      <c r="I607" s="3" t="s">
        <v>59</v>
      </c>
      <c r="J607" s="3" t="s">
        <v>61</v>
      </c>
      <c r="L607" s="2" t="s">
        <v>7305</v>
      </c>
      <c r="M607" s="3" t="s">
        <v>1430</v>
      </c>
      <c r="O607" s="3" t="s">
        <v>64</v>
      </c>
      <c r="P607" s="3" t="s">
        <v>467</v>
      </c>
      <c r="Q607" s="2" t="s">
        <v>7306</v>
      </c>
      <c r="R607" s="3" t="s">
        <v>67</v>
      </c>
      <c r="S607" s="4">
        <v>3</v>
      </c>
      <c r="T607" s="4">
        <v>3</v>
      </c>
      <c r="U607" s="5" t="s">
        <v>7307</v>
      </c>
      <c r="V607" s="5" t="s">
        <v>7307</v>
      </c>
      <c r="W607" s="5" t="s">
        <v>7308</v>
      </c>
      <c r="X607" s="5" t="s">
        <v>7308</v>
      </c>
      <c r="Y607" s="4">
        <v>306</v>
      </c>
      <c r="Z607" s="4">
        <v>216</v>
      </c>
      <c r="AA607" s="4">
        <v>234</v>
      </c>
      <c r="AB607" s="4">
        <v>2</v>
      </c>
      <c r="AC607" s="4">
        <v>2</v>
      </c>
      <c r="AD607" s="4">
        <v>5</v>
      </c>
      <c r="AE607" s="4">
        <v>6</v>
      </c>
      <c r="AF607" s="4">
        <v>1</v>
      </c>
      <c r="AG607" s="4">
        <v>2</v>
      </c>
      <c r="AH607" s="4">
        <v>3</v>
      </c>
      <c r="AI607" s="4">
        <v>3</v>
      </c>
      <c r="AJ607" s="4">
        <v>2</v>
      </c>
      <c r="AK607" s="4">
        <v>3</v>
      </c>
      <c r="AL607" s="4">
        <v>1</v>
      </c>
      <c r="AM607" s="4">
        <v>1</v>
      </c>
      <c r="AN607" s="4">
        <v>0</v>
      </c>
      <c r="AO607" s="4">
        <v>0</v>
      </c>
      <c r="AP607" s="3" t="s">
        <v>59</v>
      </c>
      <c r="AQ607" s="3" t="s">
        <v>69</v>
      </c>
      <c r="AR607" s="6" t="str">
        <f>HYPERLINK("http://catalog.hathitrust.org/Record/000324277","HathiTrust Record")</f>
        <v>HathiTrust Record</v>
      </c>
      <c r="AS607" s="6" t="str">
        <f>HYPERLINK("https://creighton-primo.hosted.exlibrisgroup.com/primo-explore/search?tab=default_tab&amp;search_scope=EVERYTHING&amp;vid=01CRU&amp;lang=en_US&amp;offset=0&amp;query=any,contains,991000354239702656","Catalog Record")</f>
        <v>Catalog Record</v>
      </c>
      <c r="AT607" s="6" t="str">
        <f>HYPERLINK("http://www.worldcat.org/oclc/10323636","WorldCat Record")</f>
        <v>WorldCat Record</v>
      </c>
      <c r="AU607" s="3" t="s">
        <v>7309</v>
      </c>
      <c r="AV607" s="3" t="s">
        <v>7310</v>
      </c>
      <c r="AW607" s="3" t="s">
        <v>7311</v>
      </c>
      <c r="AX607" s="3" t="s">
        <v>7311</v>
      </c>
      <c r="AY607" s="3" t="s">
        <v>7312</v>
      </c>
      <c r="AZ607" s="3" t="s">
        <v>74</v>
      </c>
      <c r="BB607" s="3" t="s">
        <v>7313</v>
      </c>
      <c r="BC607" s="3" t="s">
        <v>7314</v>
      </c>
      <c r="BD607" s="3" t="s">
        <v>7315</v>
      </c>
    </row>
    <row r="608" spans="1:56" ht="57.75" customHeight="1" x14ac:dyDescent="0.25">
      <c r="A608" s="7" t="s">
        <v>59</v>
      </c>
      <c r="B608" s="2" t="s">
        <v>7316</v>
      </c>
      <c r="C608" s="2" t="s">
        <v>7317</v>
      </c>
      <c r="D608" s="2" t="s">
        <v>7318</v>
      </c>
      <c r="F608" s="3" t="s">
        <v>59</v>
      </c>
      <c r="G608" s="3" t="s">
        <v>60</v>
      </c>
      <c r="H608" s="3" t="s">
        <v>59</v>
      </c>
      <c r="I608" s="3" t="s">
        <v>59</v>
      </c>
      <c r="J608" s="3" t="s">
        <v>61</v>
      </c>
      <c r="K608" s="2" t="s">
        <v>7319</v>
      </c>
      <c r="L608" s="2" t="s">
        <v>7320</v>
      </c>
      <c r="M608" s="3" t="s">
        <v>511</v>
      </c>
      <c r="O608" s="3" t="s">
        <v>64</v>
      </c>
      <c r="P608" s="3" t="s">
        <v>65</v>
      </c>
      <c r="R608" s="3" t="s">
        <v>67</v>
      </c>
      <c r="S608" s="4">
        <v>7</v>
      </c>
      <c r="T608" s="4">
        <v>7</v>
      </c>
      <c r="U608" s="5" t="s">
        <v>4391</v>
      </c>
      <c r="V608" s="5" t="s">
        <v>4391</v>
      </c>
      <c r="W608" s="5" t="s">
        <v>7321</v>
      </c>
      <c r="X608" s="5" t="s">
        <v>7321</v>
      </c>
      <c r="Y608" s="4">
        <v>632</v>
      </c>
      <c r="Z608" s="4">
        <v>529</v>
      </c>
      <c r="AA608" s="4">
        <v>871</v>
      </c>
      <c r="AB608" s="4">
        <v>6</v>
      </c>
      <c r="AC608" s="4">
        <v>8</v>
      </c>
      <c r="AD608" s="4">
        <v>21</v>
      </c>
      <c r="AE608" s="4">
        <v>37</v>
      </c>
      <c r="AF608" s="4">
        <v>6</v>
      </c>
      <c r="AG608" s="4">
        <v>15</v>
      </c>
      <c r="AH608" s="4">
        <v>5</v>
      </c>
      <c r="AI608" s="4">
        <v>6</v>
      </c>
      <c r="AJ608" s="4">
        <v>10</v>
      </c>
      <c r="AK608" s="4">
        <v>17</v>
      </c>
      <c r="AL608" s="4">
        <v>5</v>
      </c>
      <c r="AM608" s="4">
        <v>7</v>
      </c>
      <c r="AN608" s="4">
        <v>0</v>
      </c>
      <c r="AO608" s="4">
        <v>0</v>
      </c>
      <c r="AP608" s="3" t="s">
        <v>59</v>
      </c>
      <c r="AQ608" s="3" t="s">
        <v>69</v>
      </c>
      <c r="AR608" s="6" t="str">
        <f>HYPERLINK("http://catalog.hathitrust.org/Record/002971327","HathiTrust Record")</f>
        <v>HathiTrust Record</v>
      </c>
      <c r="AS608" s="6" t="str">
        <f>HYPERLINK("https://creighton-primo.hosted.exlibrisgroup.com/primo-explore/search?tab=default_tab&amp;search_scope=EVERYTHING&amp;vid=01CRU&amp;lang=en_US&amp;offset=0&amp;query=any,contains,991002397159702656","Catalog Record")</f>
        <v>Catalog Record</v>
      </c>
      <c r="AT608" s="6" t="str">
        <f>HYPERLINK("http://www.worldcat.org/oclc/31134242","WorldCat Record")</f>
        <v>WorldCat Record</v>
      </c>
      <c r="AU608" s="3" t="s">
        <v>7322</v>
      </c>
      <c r="AV608" s="3" t="s">
        <v>7323</v>
      </c>
      <c r="AW608" s="3" t="s">
        <v>7324</v>
      </c>
      <c r="AX608" s="3" t="s">
        <v>7324</v>
      </c>
      <c r="AY608" s="3" t="s">
        <v>7325</v>
      </c>
      <c r="AZ608" s="3" t="s">
        <v>74</v>
      </c>
      <c r="BB608" s="3" t="s">
        <v>7326</v>
      </c>
      <c r="BC608" s="3" t="s">
        <v>7327</v>
      </c>
      <c r="BD608" s="3" t="s">
        <v>7328</v>
      </c>
    </row>
    <row r="609" spans="1:56" ht="57.75" customHeight="1" x14ac:dyDescent="0.25">
      <c r="A609" s="7" t="s">
        <v>59</v>
      </c>
      <c r="B609" s="2" t="s">
        <v>7329</v>
      </c>
      <c r="C609" s="2" t="s">
        <v>7330</v>
      </c>
      <c r="D609" s="2" t="s">
        <v>7331</v>
      </c>
      <c r="F609" s="3" t="s">
        <v>59</v>
      </c>
      <c r="G609" s="3" t="s">
        <v>60</v>
      </c>
      <c r="H609" s="3" t="s">
        <v>59</v>
      </c>
      <c r="I609" s="3" t="s">
        <v>59</v>
      </c>
      <c r="J609" s="3" t="s">
        <v>61</v>
      </c>
      <c r="K609" s="2" t="s">
        <v>7192</v>
      </c>
      <c r="L609" s="2" t="s">
        <v>7332</v>
      </c>
      <c r="M609" s="3" t="s">
        <v>776</v>
      </c>
      <c r="O609" s="3" t="s">
        <v>64</v>
      </c>
      <c r="P609" s="3" t="s">
        <v>630</v>
      </c>
      <c r="Q609" s="2" t="s">
        <v>7333</v>
      </c>
      <c r="R609" s="3" t="s">
        <v>67</v>
      </c>
      <c r="S609" s="4">
        <v>7</v>
      </c>
      <c r="T609" s="4">
        <v>7</v>
      </c>
      <c r="U609" s="5" t="s">
        <v>3786</v>
      </c>
      <c r="V609" s="5" t="s">
        <v>3786</v>
      </c>
      <c r="W609" s="5" t="s">
        <v>6631</v>
      </c>
      <c r="X609" s="5" t="s">
        <v>6631</v>
      </c>
      <c r="Y609" s="4">
        <v>625</v>
      </c>
      <c r="Z609" s="4">
        <v>502</v>
      </c>
      <c r="AA609" s="4">
        <v>506</v>
      </c>
      <c r="AB609" s="4">
        <v>4</v>
      </c>
      <c r="AC609" s="4">
        <v>4</v>
      </c>
      <c r="AD609" s="4">
        <v>16</v>
      </c>
      <c r="AE609" s="4">
        <v>16</v>
      </c>
      <c r="AF609" s="4">
        <v>4</v>
      </c>
      <c r="AG609" s="4">
        <v>4</v>
      </c>
      <c r="AH609" s="4">
        <v>2</v>
      </c>
      <c r="AI609" s="4">
        <v>2</v>
      </c>
      <c r="AJ609" s="4">
        <v>10</v>
      </c>
      <c r="AK609" s="4">
        <v>10</v>
      </c>
      <c r="AL609" s="4">
        <v>3</v>
      </c>
      <c r="AM609" s="4">
        <v>3</v>
      </c>
      <c r="AN609" s="4">
        <v>0</v>
      </c>
      <c r="AO609" s="4">
        <v>0</v>
      </c>
      <c r="AP609" s="3" t="s">
        <v>59</v>
      </c>
      <c r="AQ609" s="3" t="s">
        <v>69</v>
      </c>
      <c r="AR609" s="6" t="str">
        <f>HYPERLINK("http://catalog.hathitrust.org/Record/001500783","HathiTrust Record")</f>
        <v>HathiTrust Record</v>
      </c>
      <c r="AS609" s="6" t="str">
        <f>HYPERLINK("https://creighton-primo.hosted.exlibrisgroup.com/primo-explore/search?tab=default_tab&amp;search_scope=EVERYTHING&amp;vid=01CRU&amp;lang=en_US&amp;offset=0&amp;query=any,contains,991000826669702656","Catalog Record")</f>
        <v>Catalog Record</v>
      </c>
      <c r="AT609" s="6" t="str">
        <f>HYPERLINK("http://www.worldcat.org/oclc/146289","WorldCat Record")</f>
        <v>WorldCat Record</v>
      </c>
      <c r="AU609" s="3" t="s">
        <v>7334</v>
      </c>
      <c r="AV609" s="3" t="s">
        <v>7335</v>
      </c>
      <c r="AW609" s="3" t="s">
        <v>7336</v>
      </c>
      <c r="AX609" s="3" t="s">
        <v>7336</v>
      </c>
      <c r="AY609" s="3" t="s">
        <v>7337</v>
      </c>
      <c r="AZ609" s="3" t="s">
        <v>74</v>
      </c>
      <c r="BB609" s="3" t="s">
        <v>7338</v>
      </c>
      <c r="BC609" s="3" t="s">
        <v>7339</v>
      </c>
      <c r="BD609" s="3" t="s">
        <v>7340</v>
      </c>
    </row>
    <row r="610" spans="1:56" ht="57.75" customHeight="1" x14ac:dyDescent="0.25">
      <c r="A610" s="7" t="s">
        <v>59</v>
      </c>
      <c r="B610" s="2" t="s">
        <v>7341</v>
      </c>
      <c r="C610" s="2" t="s">
        <v>7342</v>
      </c>
      <c r="D610" s="2" t="s">
        <v>7343</v>
      </c>
      <c r="F610" s="3" t="s">
        <v>59</v>
      </c>
      <c r="G610" s="3" t="s">
        <v>60</v>
      </c>
      <c r="H610" s="3" t="s">
        <v>59</v>
      </c>
      <c r="I610" s="3" t="s">
        <v>59</v>
      </c>
      <c r="J610" s="3" t="s">
        <v>61</v>
      </c>
      <c r="K610" s="2" t="s">
        <v>7344</v>
      </c>
      <c r="L610" s="2" t="s">
        <v>7345</v>
      </c>
      <c r="M610" s="3" t="s">
        <v>931</v>
      </c>
      <c r="O610" s="3" t="s">
        <v>64</v>
      </c>
      <c r="P610" s="3" t="s">
        <v>405</v>
      </c>
      <c r="R610" s="3" t="s">
        <v>67</v>
      </c>
      <c r="S610" s="4">
        <v>3</v>
      </c>
      <c r="T610" s="4">
        <v>3</v>
      </c>
      <c r="U610" s="5" t="s">
        <v>7346</v>
      </c>
      <c r="V610" s="5" t="s">
        <v>7346</v>
      </c>
      <c r="W610" s="5" t="s">
        <v>6631</v>
      </c>
      <c r="X610" s="5" t="s">
        <v>6631</v>
      </c>
      <c r="Y610" s="4">
        <v>383</v>
      </c>
      <c r="Z610" s="4">
        <v>263</v>
      </c>
      <c r="AA610" s="4">
        <v>263</v>
      </c>
      <c r="AB610" s="4">
        <v>4</v>
      </c>
      <c r="AC610" s="4">
        <v>4</v>
      </c>
      <c r="AD610" s="4">
        <v>9</v>
      </c>
      <c r="AE610" s="4">
        <v>9</v>
      </c>
      <c r="AF610" s="4">
        <v>2</v>
      </c>
      <c r="AG610" s="4">
        <v>2</v>
      </c>
      <c r="AH610" s="4">
        <v>1</v>
      </c>
      <c r="AI610" s="4">
        <v>1</v>
      </c>
      <c r="AJ610" s="4">
        <v>3</v>
      </c>
      <c r="AK610" s="4">
        <v>3</v>
      </c>
      <c r="AL610" s="4">
        <v>3</v>
      </c>
      <c r="AM610" s="4">
        <v>3</v>
      </c>
      <c r="AN610" s="4">
        <v>0</v>
      </c>
      <c r="AO610" s="4">
        <v>0</v>
      </c>
      <c r="AP610" s="3" t="s">
        <v>59</v>
      </c>
      <c r="AQ610" s="3" t="s">
        <v>59</v>
      </c>
      <c r="AS610" s="6" t="str">
        <f>HYPERLINK("https://creighton-primo.hosted.exlibrisgroup.com/primo-explore/search?tab=default_tab&amp;search_scope=EVERYTHING&amp;vid=01CRU&amp;lang=en_US&amp;offset=0&amp;query=any,contains,991003379019702656","Catalog Record")</f>
        <v>Catalog Record</v>
      </c>
      <c r="AT610" s="6" t="str">
        <f>HYPERLINK("http://www.worldcat.org/oclc/915322","WorldCat Record")</f>
        <v>WorldCat Record</v>
      </c>
      <c r="AU610" s="3" t="s">
        <v>7347</v>
      </c>
      <c r="AV610" s="3" t="s">
        <v>7348</v>
      </c>
      <c r="AW610" s="3" t="s">
        <v>7349</v>
      </c>
      <c r="AX610" s="3" t="s">
        <v>7349</v>
      </c>
      <c r="AY610" s="3" t="s">
        <v>7350</v>
      </c>
      <c r="AZ610" s="3" t="s">
        <v>74</v>
      </c>
      <c r="BB610" s="3" t="s">
        <v>7351</v>
      </c>
      <c r="BC610" s="3" t="s">
        <v>7352</v>
      </c>
      <c r="BD610" s="3" t="s">
        <v>7353</v>
      </c>
    </row>
    <row r="611" spans="1:56" ht="57.75" customHeight="1" x14ac:dyDescent="0.25">
      <c r="A611" s="7" t="s">
        <v>59</v>
      </c>
      <c r="B611" s="2" t="s">
        <v>7354</v>
      </c>
      <c r="C611" s="2" t="s">
        <v>7355</v>
      </c>
      <c r="D611" s="2" t="s">
        <v>7356</v>
      </c>
      <c r="F611" s="3" t="s">
        <v>59</v>
      </c>
      <c r="G611" s="3" t="s">
        <v>60</v>
      </c>
      <c r="H611" s="3" t="s">
        <v>59</v>
      </c>
      <c r="I611" s="3" t="s">
        <v>59</v>
      </c>
      <c r="J611" s="3" t="s">
        <v>61</v>
      </c>
      <c r="L611" s="2" t="s">
        <v>7357</v>
      </c>
      <c r="M611" s="3" t="s">
        <v>436</v>
      </c>
      <c r="O611" s="3" t="s">
        <v>64</v>
      </c>
      <c r="P611" s="3" t="s">
        <v>467</v>
      </c>
      <c r="R611" s="3" t="s">
        <v>67</v>
      </c>
      <c r="S611" s="4">
        <v>11</v>
      </c>
      <c r="T611" s="4">
        <v>11</v>
      </c>
      <c r="U611" s="5" t="s">
        <v>2046</v>
      </c>
      <c r="V611" s="5" t="s">
        <v>2046</v>
      </c>
      <c r="W611" s="5" t="s">
        <v>7221</v>
      </c>
      <c r="X611" s="5" t="s">
        <v>7221</v>
      </c>
      <c r="Y611" s="4">
        <v>348</v>
      </c>
      <c r="Z611" s="4">
        <v>312</v>
      </c>
      <c r="AA611" s="4">
        <v>370</v>
      </c>
      <c r="AB611" s="4">
        <v>1</v>
      </c>
      <c r="AC611" s="4">
        <v>3</v>
      </c>
      <c r="AD611" s="4">
        <v>8</v>
      </c>
      <c r="AE611" s="4">
        <v>12</v>
      </c>
      <c r="AF611" s="4">
        <v>5</v>
      </c>
      <c r="AG611" s="4">
        <v>6</v>
      </c>
      <c r="AH611" s="4">
        <v>2</v>
      </c>
      <c r="AI611" s="4">
        <v>3</v>
      </c>
      <c r="AJ611" s="4">
        <v>3</v>
      </c>
      <c r="AK611" s="4">
        <v>4</v>
      </c>
      <c r="AL611" s="4">
        <v>0</v>
      </c>
      <c r="AM611" s="4">
        <v>2</v>
      </c>
      <c r="AN611" s="4">
        <v>0</v>
      </c>
      <c r="AO611" s="4">
        <v>0</v>
      </c>
      <c r="AP611" s="3" t="s">
        <v>59</v>
      </c>
      <c r="AQ611" s="3" t="s">
        <v>69</v>
      </c>
      <c r="AR611" s="6" t="str">
        <f>HYPERLINK("http://catalog.hathitrust.org/Record/000088414","HathiTrust Record")</f>
        <v>HathiTrust Record</v>
      </c>
      <c r="AS611" s="6" t="str">
        <f>HYPERLINK("https://creighton-primo.hosted.exlibrisgroup.com/primo-explore/search?tab=default_tab&amp;search_scope=EVERYTHING&amp;vid=01CRU&amp;lang=en_US&amp;offset=0&amp;query=any,contains,991004451439702656","Catalog Record")</f>
        <v>Catalog Record</v>
      </c>
      <c r="AT611" s="6" t="str">
        <f>HYPERLINK("http://www.worldcat.org/oclc/3516144","WorldCat Record")</f>
        <v>WorldCat Record</v>
      </c>
      <c r="AU611" s="3" t="s">
        <v>7358</v>
      </c>
      <c r="AV611" s="3" t="s">
        <v>7359</v>
      </c>
      <c r="AW611" s="3" t="s">
        <v>7360</v>
      </c>
      <c r="AX611" s="3" t="s">
        <v>7360</v>
      </c>
      <c r="AY611" s="3" t="s">
        <v>7361</v>
      </c>
      <c r="AZ611" s="3" t="s">
        <v>74</v>
      </c>
      <c r="BB611" s="3" t="s">
        <v>7362</v>
      </c>
      <c r="BC611" s="3" t="s">
        <v>7363</v>
      </c>
      <c r="BD611" s="3" t="s">
        <v>7364</v>
      </c>
    </row>
    <row r="612" spans="1:56" ht="57.75" customHeight="1" x14ac:dyDescent="0.25">
      <c r="A612" s="7" t="s">
        <v>59</v>
      </c>
      <c r="B612" s="2" t="s">
        <v>7365</v>
      </c>
      <c r="C612" s="2" t="s">
        <v>7366</v>
      </c>
      <c r="D612" s="2" t="s">
        <v>7367</v>
      </c>
      <c r="F612" s="3" t="s">
        <v>59</v>
      </c>
      <c r="G612" s="3" t="s">
        <v>60</v>
      </c>
      <c r="H612" s="3" t="s">
        <v>59</v>
      </c>
      <c r="I612" s="3" t="s">
        <v>59</v>
      </c>
      <c r="J612" s="3" t="s">
        <v>61</v>
      </c>
      <c r="K612" s="2" t="s">
        <v>7368</v>
      </c>
      <c r="L612" s="2" t="s">
        <v>7369</v>
      </c>
      <c r="M612" s="3" t="s">
        <v>540</v>
      </c>
      <c r="O612" s="3" t="s">
        <v>64</v>
      </c>
      <c r="P612" s="3" t="s">
        <v>7370</v>
      </c>
      <c r="R612" s="3" t="s">
        <v>67</v>
      </c>
      <c r="S612" s="4">
        <v>7</v>
      </c>
      <c r="T612" s="4">
        <v>7</v>
      </c>
      <c r="U612" s="5" t="s">
        <v>4901</v>
      </c>
      <c r="V612" s="5" t="s">
        <v>4901</v>
      </c>
      <c r="W612" s="5" t="s">
        <v>7371</v>
      </c>
      <c r="X612" s="5" t="s">
        <v>7371</v>
      </c>
      <c r="Y612" s="4">
        <v>408</v>
      </c>
      <c r="Z612" s="4">
        <v>326</v>
      </c>
      <c r="AA612" s="4">
        <v>327</v>
      </c>
      <c r="AB612" s="4">
        <v>5</v>
      </c>
      <c r="AC612" s="4">
        <v>5</v>
      </c>
      <c r="AD612" s="4">
        <v>8</v>
      </c>
      <c r="AE612" s="4">
        <v>8</v>
      </c>
      <c r="AF612" s="4">
        <v>3</v>
      </c>
      <c r="AG612" s="4">
        <v>3</v>
      </c>
      <c r="AH612" s="4">
        <v>2</v>
      </c>
      <c r="AI612" s="4">
        <v>2</v>
      </c>
      <c r="AJ612" s="4">
        <v>2</v>
      </c>
      <c r="AK612" s="4">
        <v>2</v>
      </c>
      <c r="AL612" s="4">
        <v>3</v>
      </c>
      <c r="AM612" s="4">
        <v>3</v>
      </c>
      <c r="AN612" s="4">
        <v>0</v>
      </c>
      <c r="AO612" s="4">
        <v>0</v>
      </c>
      <c r="AP612" s="3" t="s">
        <v>59</v>
      </c>
      <c r="AQ612" s="3" t="s">
        <v>69</v>
      </c>
      <c r="AR612" s="6" t="str">
        <f>HYPERLINK("http://catalog.hathitrust.org/Record/008336465","HathiTrust Record")</f>
        <v>HathiTrust Record</v>
      </c>
      <c r="AS612" s="6" t="str">
        <f>HYPERLINK("https://creighton-primo.hosted.exlibrisgroup.com/primo-explore/search?tab=default_tab&amp;search_scope=EVERYTHING&amp;vid=01CRU&amp;lang=en_US&amp;offset=0&amp;query=any,contains,991005043319702656","Catalog Record")</f>
        <v>Catalog Record</v>
      </c>
      <c r="AT612" s="6" t="str">
        <f>HYPERLINK("http://www.worldcat.org/oclc/6813535","WorldCat Record")</f>
        <v>WorldCat Record</v>
      </c>
      <c r="AU612" s="3" t="s">
        <v>7372</v>
      </c>
      <c r="AV612" s="3" t="s">
        <v>7373</v>
      </c>
      <c r="AW612" s="3" t="s">
        <v>7374</v>
      </c>
      <c r="AX612" s="3" t="s">
        <v>7374</v>
      </c>
      <c r="AY612" s="3" t="s">
        <v>7375</v>
      </c>
      <c r="AZ612" s="3" t="s">
        <v>74</v>
      </c>
      <c r="BB612" s="3" t="s">
        <v>7376</v>
      </c>
      <c r="BC612" s="3" t="s">
        <v>7377</v>
      </c>
      <c r="BD612" s="3" t="s">
        <v>7378</v>
      </c>
    </row>
    <row r="613" spans="1:56" ht="57.75" customHeight="1" x14ac:dyDescent="0.25">
      <c r="A613" s="7" t="s">
        <v>59</v>
      </c>
      <c r="B613" s="2" t="s">
        <v>7379</v>
      </c>
      <c r="C613" s="2" t="s">
        <v>7380</v>
      </c>
      <c r="D613" s="2" t="s">
        <v>7381</v>
      </c>
      <c r="F613" s="3" t="s">
        <v>59</v>
      </c>
      <c r="G613" s="3" t="s">
        <v>60</v>
      </c>
      <c r="H613" s="3" t="s">
        <v>59</v>
      </c>
      <c r="I613" s="3" t="s">
        <v>59</v>
      </c>
      <c r="J613" s="3" t="s">
        <v>61</v>
      </c>
      <c r="K613" s="2" t="s">
        <v>7382</v>
      </c>
      <c r="L613" s="2" t="s">
        <v>7383</v>
      </c>
      <c r="M613" s="3" t="s">
        <v>495</v>
      </c>
      <c r="O613" s="3" t="s">
        <v>64</v>
      </c>
      <c r="P613" s="3" t="s">
        <v>630</v>
      </c>
      <c r="R613" s="3" t="s">
        <v>67</v>
      </c>
      <c r="S613" s="4">
        <v>6</v>
      </c>
      <c r="T613" s="4">
        <v>6</v>
      </c>
      <c r="U613" s="5" t="s">
        <v>7384</v>
      </c>
      <c r="V613" s="5" t="s">
        <v>7384</v>
      </c>
      <c r="W613" s="5" t="s">
        <v>7221</v>
      </c>
      <c r="X613" s="5" t="s">
        <v>7221</v>
      </c>
      <c r="Y613" s="4">
        <v>373</v>
      </c>
      <c r="Z613" s="4">
        <v>288</v>
      </c>
      <c r="AA613" s="4">
        <v>289</v>
      </c>
      <c r="AB613" s="4">
        <v>2</v>
      </c>
      <c r="AC613" s="4">
        <v>2</v>
      </c>
      <c r="AD613" s="4">
        <v>8</v>
      </c>
      <c r="AE613" s="4">
        <v>8</v>
      </c>
      <c r="AF613" s="4">
        <v>3</v>
      </c>
      <c r="AG613" s="4">
        <v>3</v>
      </c>
      <c r="AH613" s="4">
        <v>3</v>
      </c>
      <c r="AI613" s="4">
        <v>3</v>
      </c>
      <c r="AJ613" s="4">
        <v>4</v>
      </c>
      <c r="AK613" s="4">
        <v>4</v>
      </c>
      <c r="AL613" s="4">
        <v>1</v>
      </c>
      <c r="AM613" s="4">
        <v>1</v>
      </c>
      <c r="AN613" s="4">
        <v>0</v>
      </c>
      <c r="AO613" s="4">
        <v>0</v>
      </c>
      <c r="AP613" s="3" t="s">
        <v>59</v>
      </c>
      <c r="AQ613" s="3" t="s">
        <v>69</v>
      </c>
      <c r="AR613" s="6" t="str">
        <f>HYPERLINK("http://catalog.hathitrust.org/Record/000489568","HathiTrust Record")</f>
        <v>HathiTrust Record</v>
      </c>
      <c r="AS613" s="6" t="str">
        <f>HYPERLINK("https://creighton-primo.hosted.exlibrisgroup.com/primo-explore/search?tab=default_tab&amp;search_scope=EVERYTHING&amp;vid=01CRU&amp;lang=en_US&amp;offset=0&amp;query=any,contains,991000839089702656","Catalog Record")</f>
        <v>Catalog Record</v>
      </c>
      <c r="AT613" s="6" t="str">
        <f>HYPERLINK("http://www.worldcat.org/oclc/13524524","WorldCat Record")</f>
        <v>WorldCat Record</v>
      </c>
      <c r="AU613" s="3" t="s">
        <v>7385</v>
      </c>
      <c r="AV613" s="3" t="s">
        <v>7386</v>
      </c>
      <c r="AW613" s="3" t="s">
        <v>7387</v>
      </c>
      <c r="AX613" s="3" t="s">
        <v>7387</v>
      </c>
      <c r="AY613" s="3" t="s">
        <v>7388</v>
      </c>
      <c r="AZ613" s="3" t="s">
        <v>74</v>
      </c>
      <c r="BB613" s="3" t="s">
        <v>7389</v>
      </c>
      <c r="BC613" s="3" t="s">
        <v>7390</v>
      </c>
      <c r="BD613" s="3" t="s">
        <v>7391</v>
      </c>
    </row>
    <row r="614" spans="1:56" ht="57.75" customHeight="1" x14ac:dyDescent="0.25">
      <c r="A614" s="7" t="s">
        <v>59</v>
      </c>
      <c r="B614" s="2" t="s">
        <v>7392</v>
      </c>
      <c r="C614" s="2" t="s">
        <v>7393</v>
      </c>
      <c r="D614" s="2" t="s">
        <v>7394</v>
      </c>
      <c r="E614" s="3" t="s">
        <v>917</v>
      </c>
      <c r="F614" s="3" t="s">
        <v>69</v>
      </c>
      <c r="G614" s="3" t="s">
        <v>60</v>
      </c>
      <c r="H614" s="3" t="s">
        <v>59</v>
      </c>
      <c r="I614" s="3" t="s">
        <v>59</v>
      </c>
      <c r="J614" s="3" t="s">
        <v>61</v>
      </c>
      <c r="K614" s="2" t="s">
        <v>7395</v>
      </c>
      <c r="L614" s="2" t="s">
        <v>7396</v>
      </c>
      <c r="M614" s="3" t="s">
        <v>931</v>
      </c>
      <c r="N614" s="2" t="s">
        <v>7397</v>
      </c>
      <c r="O614" s="3" t="s">
        <v>64</v>
      </c>
      <c r="P614" s="3" t="s">
        <v>932</v>
      </c>
      <c r="R614" s="3" t="s">
        <v>67</v>
      </c>
      <c r="S614" s="4">
        <v>12</v>
      </c>
      <c r="T614" s="4">
        <v>19</v>
      </c>
      <c r="U614" s="5" t="s">
        <v>2060</v>
      </c>
      <c r="V614" s="5" t="s">
        <v>7220</v>
      </c>
      <c r="W614" s="5" t="s">
        <v>7398</v>
      </c>
      <c r="X614" s="5" t="s">
        <v>7398</v>
      </c>
      <c r="Y614" s="4">
        <v>43</v>
      </c>
      <c r="Z614" s="4">
        <v>29</v>
      </c>
      <c r="AA614" s="4">
        <v>290</v>
      </c>
      <c r="AB614" s="4">
        <v>1</v>
      </c>
      <c r="AC614" s="4">
        <v>3</v>
      </c>
      <c r="AD614" s="4">
        <v>0</v>
      </c>
      <c r="AE614" s="4">
        <v>5</v>
      </c>
      <c r="AF614" s="4">
        <v>0</v>
      </c>
      <c r="AG614" s="4">
        <v>1</v>
      </c>
      <c r="AH614" s="4">
        <v>0</v>
      </c>
      <c r="AI614" s="4">
        <v>1</v>
      </c>
      <c r="AJ614" s="4">
        <v>0</v>
      </c>
      <c r="AK614" s="4">
        <v>2</v>
      </c>
      <c r="AL614" s="4">
        <v>0</v>
      </c>
      <c r="AM614" s="4">
        <v>1</v>
      </c>
      <c r="AN614" s="4">
        <v>0</v>
      </c>
      <c r="AO614" s="4">
        <v>0</v>
      </c>
      <c r="AP614" s="3" t="s">
        <v>59</v>
      </c>
      <c r="AQ614" s="3" t="s">
        <v>69</v>
      </c>
      <c r="AR614" s="6" t="str">
        <f>HYPERLINK("http://catalog.hathitrust.org/Record/008855298","HathiTrust Record")</f>
        <v>HathiTrust Record</v>
      </c>
      <c r="AS614" s="6" t="str">
        <f>HYPERLINK("https://creighton-primo.hosted.exlibrisgroup.com/primo-explore/search?tab=default_tab&amp;search_scope=EVERYTHING&amp;vid=01CRU&amp;lang=en_US&amp;offset=0&amp;query=any,contains,991003776329702656","Catalog Record")</f>
        <v>Catalog Record</v>
      </c>
      <c r="AT614" s="6" t="str">
        <f>HYPERLINK("http://www.worldcat.org/oclc/1484339","WorldCat Record")</f>
        <v>WorldCat Record</v>
      </c>
      <c r="AU614" s="3" t="s">
        <v>7399</v>
      </c>
      <c r="AV614" s="3" t="s">
        <v>7400</v>
      </c>
      <c r="AW614" s="3" t="s">
        <v>7401</v>
      </c>
      <c r="AX614" s="3" t="s">
        <v>7401</v>
      </c>
      <c r="AY614" s="3" t="s">
        <v>7402</v>
      </c>
      <c r="AZ614" s="3" t="s">
        <v>74</v>
      </c>
      <c r="BC614" s="3" t="s">
        <v>7403</v>
      </c>
      <c r="BD614" s="3" t="s">
        <v>7404</v>
      </c>
    </row>
    <row r="615" spans="1:56" ht="57.75" customHeight="1" x14ac:dyDescent="0.25">
      <c r="A615" s="7" t="s">
        <v>59</v>
      </c>
      <c r="B615" s="2" t="s">
        <v>7392</v>
      </c>
      <c r="C615" s="2" t="s">
        <v>7393</v>
      </c>
      <c r="D615" s="2" t="s">
        <v>7394</v>
      </c>
      <c r="E615" s="3" t="s">
        <v>923</v>
      </c>
      <c r="F615" s="3" t="s">
        <v>69</v>
      </c>
      <c r="G615" s="3" t="s">
        <v>60</v>
      </c>
      <c r="H615" s="3" t="s">
        <v>59</v>
      </c>
      <c r="I615" s="3" t="s">
        <v>59</v>
      </c>
      <c r="J615" s="3" t="s">
        <v>61</v>
      </c>
      <c r="K615" s="2" t="s">
        <v>7395</v>
      </c>
      <c r="L615" s="2" t="s">
        <v>7396</v>
      </c>
      <c r="M615" s="3" t="s">
        <v>931</v>
      </c>
      <c r="N615" s="2" t="s">
        <v>7397</v>
      </c>
      <c r="O615" s="3" t="s">
        <v>64</v>
      </c>
      <c r="P615" s="3" t="s">
        <v>932</v>
      </c>
      <c r="R615" s="3" t="s">
        <v>67</v>
      </c>
      <c r="S615" s="4">
        <v>7</v>
      </c>
      <c r="T615" s="4">
        <v>19</v>
      </c>
      <c r="U615" s="5" t="s">
        <v>7220</v>
      </c>
      <c r="V615" s="5" t="s">
        <v>7220</v>
      </c>
      <c r="W615" s="5" t="s">
        <v>7398</v>
      </c>
      <c r="X615" s="5" t="s">
        <v>7398</v>
      </c>
      <c r="Y615" s="4">
        <v>43</v>
      </c>
      <c r="Z615" s="4">
        <v>29</v>
      </c>
      <c r="AA615" s="4">
        <v>290</v>
      </c>
      <c r="AB615" s="4">
        <v>1</v>
      </c>
      <c r="AC615" s="4">
        <v>3</v>
      </c>
      <c r="AD615" s="4">
        <v>0</v>
      </c>
      <c r="AE615" s="4">
        <v>5</v>
      </c>
      <c r="AF615" s="4">
        <v>0</v>
      </c>
      <c r="AG615" s="4">
        <v>1</v>
      </c>
      <c r="AH615" s="4">
        <v>0</v>
      </c>
      <c r="AI615" s="4">
        <v>1</v>
      </c>
      <c r="AJ615" s="4">
        <v>0</v>
      </c>
      <c r="AK615" s="4">
        <v>2</v>
      </c>
      <c r="AL615" s="4">
        <v>0</v>
      </c>
      <c r="AM615" s="4">
        <v>1</v>
      </c>
      <c r="AN615" s="4">
        <v>0</v>
      </c>
      <c r="AO615" s="4">
        <v>0</v>
      </c>
      <c r="AP615" s="3" t="s">
        <v>59</v>
      </c>
      <c r="AQ615" s="3" t="s">
        <v>69</v>
      </c>
      <c r="AR615" s="6" t="str">
        <f>HYPERLINK("http://catalog.hathitrust.org/Record/008855298","HathiTrust Record")</f>
        <v>HathiTrust Record</v>
      </c>
      <c r="AS615" s="6" t="str">
        <f>HYPERLINK("https://creighton-primo.hosted.exlibrisgroup.com/primo-explore/search?tab=default_tab&amp;search_scope=EVERYTHING&amp;vid=01CRU&amp;lang=en_US&amp;offset=0&amp;query=any,contains,991003776329702656","Catalog Record")</f>
        <v>Catalog Record</v>
      </c>
      <c r="AT615" s="6" t="str">
        <f>HYPERLINK("http://www.worldcat.org/oclc/1484339","WorldCat Record")</f>
        <v>WorldCat Record</v>
      </c>
      <c r="AU615" s="3" t="s">
        <v>7399</v>
      </c>
      <c r="AV615" s="3" t="s">
        <v>7400</v>
      </c>
      <c r="AW615" s="3" t="s">
        <v>7401</v>
      </c>
      <c r="AX615" s="3" t="s">
        <v>7401</v>
      </c>
      <c r="AY615" s="3" t="s">
        <v>7402</v>
      </c>
      <c r="AZ615" s="3" t="s">
        <v>74</v>
      </c>
      <c r="BC615" s="3" t="s">
        <v>7405</v>
      </c>
      <c r="BD615" s="3" t="s">
        <v>7406</v>
      </c>
    </row>
    <row r="616" spans="1:56" ht="57.75" customHeight="1" x14ac:dyDescent="0.25">
      <c r="A616" s="7" t="s">
        <v>59</v>
      </c>
      <c r="B616" s="2" t="s">
        <v>7407</v>
      </c>
      <c r="C616" s="2" t="s">
        <v>7408</v>
      </c>
      <c r="D616" s="2" t="s">
        <v>7409</v>
      </c>
      <c r="F616" s="3" t="s">
        <v>59</v>
      </c>
      <c r="G616" s="3" t="s">
        <v>60</v>
      </c>
      <c r="H616" s="3" t="s">
        <v>69</v>
      </c>
      <c r="I616" s="3" t="s">
        <v>59</v>
      </c>
      <c r="J616" s="3" t="s">
        <v>61</v>
      </c>
      <c r="K616" s="2" t="s">
        <v>7410</v>
      </c>
      <c r="L616" s="2" t="s">
        <v>7411</v>
      </c>
      <c r="M616" s="3" t="s">
        <v>2202</v>
      </c>
      <c r="N616" s="2" t="s">
        <v>6158</v>
      </c>
      <c r="O616" s="3" t="s">
        <v>64</v>
      </c>
      <c r="P616" s="3" t="s">
        <v>2480</v>
      </c>
      <c r="R616" s="3" t="s">
        <v>67</v>
      </c>
      <c r="S616" s="4">
        <v>6</v>
      </c>
      <c r="T616" s="4">
        <v>8</v>
      </c>
      <c r="U616" s="5" t="s">
        <v>7195</v>
      </c>
      <c r="V616" s="5" t="s">
        <v>7195</v>
      </c>
      <c r="W616" s="5" t="s">
        <v>7412</v>
      </c>
      <c r="X616" s="5" t="s">
        <v>7412</v>
      </c>
      <c r="Y616" s="4">
        <v>610</v>
      </c>
      <c r="Z616" s="4">
        <v>547</v>
      </c>
      <c r="AA616" s="4">
        <v>583</v>
      </c>
      <c r="AB616" s="4">
        <v>6</v>
      </c>
      <c r="AC616" s="4">
        <v>6</v>
      </c>
      <c r="AD616" s="4">
        <v>17</v>
      </c>
      <c r="AE616" s="4">
        <v>17</v>
      </c>
      <c r="AF616" s="4">
        <v>6</v>
      </c>
      <c r="AG616" s="4">
        <v>6</v>
      </c>
      <c r="AH616" s="4">
        <v>2</v>
      </c>
      <c r="AI616" s="4">
        <v>2</v>
      </c>
      <c r="AJ616" s="4">
        <v>4</v>
      </c>
      <c r="AK616" s="4">
        <v>4</v>
      </c>
      <c r="AL616" s="4">
        <v>5</v>
      </c>
      <c r="AM616" s="4">
        <v>5</v>
      </c>
      <c r="AN616" s="4">
        <v>0</v>
      </c>
      <c r="AO616" s="4">
        <v>0</v>
      </c>
      <c r="AP616" s="3" t="s">
        <v>59</v>
      </c>
      <c r="AQ616" s="3" t="s">
        <v>69</v>
      </c>
      <c r="AR616" s="6" t="str">
        <f>HYPERLINK("http://catalog.hathitrust.org/Record/000237378","HathiTrust Record")</f>
        <v>HathiTrust Record</v>
      </c>
      <c r="AS616" s="6" t="str">
        <f>HYPERLINK("https://creighton-primo.hosted.exlibrisgroup.com/primo-explore/search?tab=default_tab&amp;search_scope=EVERYTHING&amp;vid=01CRU&amp;lang=en_US&amp;offset=0&amp;query=any,contains,991000103629702656","Catalog Record")</f>
        <v>Catalog Record</v>
      </c>
      <c r="AT616" s="6" t="str">
        <f>HYPERLINK("http://www.worldcat.org/oclc/45551","WorldCat Record")</f>
        <v>WorldCat Record</v>
      </c>
      <c r="AU616" s="3" t="s">
        <v>7413</v>
      </c>
      <c r="AV616" s="3" t="s">
        <v>7414</v>
      </c>
      <c r="AW616" s="3" t="s">
        <v>7415</v>
      </c>
      <c r="AX616" s="3" t="s">
        <v>7415</v>
      </c>
      <c r="AY616" s="3" t="s">
        <v>7416</v>
      </c>
      <c r="AZ616" s="3" t="s">
        <v>74</v>
      </c>
      <c r="BB616" s="3" t="s">
        <v>7417</v>
      </c>
      <c r="BC616" s="3" t="s">
        <v>7418</v>
      </c>
      <c r="BD616" s="3" t="s">
        <v>7419</v>
      </c>
    </row>
    <row r="617" spans="1:56" ht="57.75" customHeight="1" x14ac:dyDescent="0.25">
      <c r="A617" s="7" t="s">
        <v>59</v>
      </c>
      <c r="B617" s="2" t="s">
        <v>7420</v>
      </c>
      <c r="C617" s="2" t="s">
        <v>7421</v>
      </c>
      <c r="D617" s="2" t="s">
        <v>7409</v>
      </c>
      <c r="E617" s="3" t="s">
        <v>2213</v>
      </c>
      <c r="F617" s="3" t="s">
        <v>59</v>
      </c>
      <c r="G617" s="3" t="s">
        <v>60</v>
      </c>
      <c r="H617" s="3" t="s">
        <v>59</v>
      </c>
      <c r="I617" s="3" t="s">
        <v>59</v>
      </c>
      <c r="J617" s="3" t="s">
        <v>61</v>
      </c>
      <c r="K617" s="2" t="s">
        <v>7410</v>
      </c>
      <c r="L617" s="2" t="s">
        <v>7411</v>
      </c>
      <c r="M617" s="3" t="s">
        <v>2202</v>
      </c>
      <c r="N617" s="2" t="s">
        <v>6158</v>
      </c>
      <c r="O617" s="3" t="s">
        <v>64</v>
      </c>
      <c r="P617" s="3" t="s">
        <v>2480</v>
      </c>
      <c r="R617" s="3" t="s">
        <v>67</v>
      </c>
      <c r="S617" s="4">
        <v>2</v>
      </c>
      <c r="T617" s="4">
        <v>8</v>
      </c>
      <c r="U617" s="5" t="s">
        <v>7422</v>
      </c>
      <c r="V617" s="5" t="s">
        <v>7195</v>
      </c>
      <c r="W617" s="5" t="s">
        <v>7422</v>
      </c>
      <c r="X617" s="5" t="s">
        <v>7412</v>
      </c>
      <c r="Y617" s="4">
        <v>610</v>
      </c>
      <c r="Z617" s="4">
        <v>547</v>
      </c>
      <c r="AA617" s="4">
        <v>583</v>
      </c>
      <c r="AB617" s="4">
        <v>6</v>
      </c>
      <c r="AC617" s="4">
        <v>6</v>
      </c>
      <c r="AD617" s="4">
        <v>17</v>
      </c>
      <c r="AE617" s="4">
        <v>17</v>
      </c>
      <c r="AF617" s="4">
        <v>6</v>
      </c>
      <c r="AG617" s="4">
        <v>6</v>
      </c>
      <c r="AH617" s="4">
        <v>2</v>
      </c>
      <c r="AI617" s="4">
        <v>2</v>
      </c>
      <c r="AJ617" s="4">
        <v>4</v>
      </c>
      <c r="AK617" s="4">
        <v>4</v>
      </c>
      <c r="AL617" s="4">
        <v>5</v>
      </c>
      <c r="AM617" s="4">
        <v>5</v>
      </c>
      <c r="AN617" s="4">
        <v>0</v>
      </c>
      <c r="AO617" s="4">
        <v>0</v>
      </c>
      <c r="AP617" s="3" t="s">
        <v>59</v>
      </c>
      <c r="AQ617" s="3" t="s">
        <v>69</v>
      </c>
      <c r="AR617" s="6" t="str">
        <f>HYPERLINK("http://catalog.hathitrust.org/Record/000237378","HathiTrust Record")</f>
        <v>HathiTrust Record</v>
      </c>
      <c r="AS617" s="6" t="str">
        <f>HYPERLINK("https://creighton-primo.hosted.exlibrisgroup.com/primo-explore/search?tab=default_tab&amp;search_scope=EVERYTHING&amp;vid=01CRU&amp;lang=en_US&amp;offset=0&amp;query=any,contains,991000103629702656","Catalog Record")</f>
        <v>Catalog Record</v>
      </c>
      <c r="AT617" s="6" t="str">
        <f>HYPERLINK("http://www.worldcat.org/oclc/45551","WorldCat Record")</f>
        <v>WorldCat Record</v>
      </c>
      <c r="AU617" s="3" t="s">
        <v>7413</v>
      </c>
      <c r="AV617" s="3" t="s">
        <v>7414</v>
      </c>
      <c r="AW617" s="3" t="s">
        <v>7415</v>
      </c>
      <c r="AX617" s="3" t="s">
        <v>7415</v>
      </c>
      <c r="AY617" s="3" t="s">
        <v>7416</v>
      </c>
      <c r="AZ617" s="3" t="s">
        <v>74</v>
      </c>
      <c r="BB617" s="3" t="s">
        <v>7417</v>
      </c>
      <c r="BC617" s="3" t="s">
        <v>7423</v>
      </c>
      <c r="BD617" s="3" t="s">
        <v>7424</v>
      </c>
    </row>
    <row r="618" spans="1:56" ht="57.75" customHeight="1" x14ac:dyDescent="0.25">
      <c r="A618" s="7" t="s">
        <v>59</v>
      </c>
      <c r="B618" s="2" t="s">
        <v>7425</v>
      </c>
      <c r="C618" s="2" t="s">
        <v>7426</v>
      </c>
      <c r="D618" s="2" t="s">
        <v>7427</v>
      </c>
      <c r="F618" s="3" t="s">
        <v>59</v>
      </c>
      <c r="G618" s="3" t="s">
        <v>60</v>
      </c>
      <c r="H618" s="3" t="s">
        <v>59</v>
      </c>
      <c r="I618" s="3" t="s">
        <v>59</v>
      </c>
      <c r="J618" s="3" t="s">
        <v>61</v>
      </c>
      <c r="L618" s="2" t="s">
        <v>7428</v>
      </c>
      <c r="M618" s="3" t="s">
        <v>1430</v>
      </c>
      <c r="O618" s="3" t="s">
        <v>64</v>
      </c>
      <c r="P618" s="3" t="s">
        <v>65</v>
      </c>
      <c r="R618" s="3" t="s">
        <v>67</v>
      </c>
      <c r="S618" s="4">
        <v>6</v>
      </c>
      <c r="T618" s="4">
        <v>6</v>
      </c>
      <c r="U618" s="5" t="s">
        <v>469</v>
      </c>
      <c r="V618" s="5" t="s">
        <v>469</v>
      </c>
      <c r="W618" s="5" t="s">
        <v>7429</v>
      </c>
      <c r="X618" s="5" t="s">
        <v>7429</v>
      </c>
      <c r="Y618" s="4">
        <v>340</v>
      </c>
      <c r="Z618" s="4">
        <v>275</v>
      </c>
      <c r="AA618" s="4">
        <v>277</v>
      </c>
      <c r="AB618" s="4">
        <v>4</v>
      </c>
      <c r="AC618" s="4">
        <v>4</v>
      </c>
      <c r="AD618" s="4">
        <v>9</v>
      </c>
      <c r="AE618" s="4">
        <v>9</v>
      </c>
      <c r="AF618" s="4">
        <v>3</v>
      </c>
      <c r="AG618" s="4">
        <v>3</v>
      </c>
      <c r="AH618" s="4">
        <v>2</v>
      </c>
      <c r="AI618" s="4">
        <v>2</v>
      </c>
      <c r="AJ618" s="4">
        <v>2</v>
      </c>
      <c r="AK618" s="4">
        <v>2</v>
      </c>
      <c r="AL618" s="4">
        <v>3</v>
      </c>
      <c r="AM618" s="4">
        <v>3</v>
      </c>
      <c r="AN618" s="4">
        <v>0</v>
      </c>
      <c r="AO618" s="4">
        <v>0</v>
      </c>
      <c r="AP618" s="3" t="s">
        <v>59</v>
      </c>
      <c r="AQ618" s="3" t="s">
        <v>69</v>
      </c>
      <c r="AR618" s="6" t="str">
        <f>HYPERLINK("http://catalog.hathitrust.org/Record/000120798","HathiTrust Record")</f>
        <v>HathiTrust Record</v>
      </c>
      <c r="AS618" s="6" t="str">
        <f>HYPERLINK("https://creighton-primo.hosted.exlibrisgroup.com/primo-explore/search?tab=default_tab&amp;search_scope=EVERYTHING&amp;vid=01CRU&amp;lang=en_US&amp;offset=0&amp;query=any,contains,991000275129702656","Catalog Record")</f>
        <v>Catalog Record</v>
      </c>
      <c r="AT618" s="6" t="str">
        <f>HYPERLINK("http://www.worldcat.org/oclc/9894378","WorldCat Record")</f>
        <v>WorldCat Record</v>
      </c>
      <c r="AU618" s="3" t="s">
        <v>7430</v>
      </c>
      <c r="AV618" s="3" t="s">
        <v>7431</v>
      </c>
      <c r="AW618" s="3" t="s">
        <v>7432</v>
      </c>
      <c r="AX618" s="3" t="s">
        <v>7432</v>
      </c>
      <c r="AY618" s="3" t="s">
        <v>7433</v>
      </c>
      <c r="AZ618" s="3" t="s">
        <v>74</v>
      </c>
      <c r="BB618" s="3" t="s">
        <v>7434</v>
      </c>
      <c r="BC618" s="3" t="s">
        <v>7435</v>
      </c>
      <c r="BD618" s="3" t="s">
        <v>7436</v>
      </c>
    </row>
    <row r="619" spans="1:56" ht="57.75" customHeight="1" x14ac:dyDescent="0.25">
      <c r="A619" s="7" t="s">
        <v>59</v>
      </c>
      <c r="B619" s="2" t="s">
        <v>7437</v>
      </c>
      <c r="C619" s="2" t="s">
        <v>7438</v>
      </c>
      <c r="D619" s="2" t="s">
        <v>7439</v>
      </c>
      <c r="F619" s="3" t="s">
        <v>59</v>
      </c>
      <c r="G619" s="3" t="s">
        <v>60</v>
      </c>
      <c r="H619" s="3" t="s">
        <v>59</v>
      </c>
      <c r="I619" s="3" t="s">
        <v>59</v>
      </c>
      <c r="J619" s="3" t="s">
        <v>61</v>
      </c>
      <c r="K619" s="2" t="s">
        <v>3718</v>
      </c>
      <c r="M619" s="3" t="s">
        <v>571</v>
      </c>
      <c r="O619" s="3" t="s">
        <v>64</v>
      </c>
      <c r="P619" s="3" t="s">
        <v>145</v>
      </c>
      <c r="Q619" s="2" t="s">
        <v>7440</v>
      </c>
      <c r="R619" s="3" t="s">
        <v>67</v>
      </c>
      <c r="S619" s="4">
        <v>5</v>
      </c>
      <c r="T619" s="4">
        <v>5</v>
      </c>
      <c r="U619" s="5" t="s">
        <v>7441</v>
      </c>
      <c r="V619" s="5" t="s">
        <v>7441</v>
      </c>
      <c r="W619" s="5" t="s">
        <v>7398</v>
      </c>
      <c r="X619" s="5" t="s">
        <v>7398</v>
      </c>
      <c r="Y619" s="4">
        <v>528</v>
      </c>
      <c r="Z619" s="4">
        <v>493</v>
      </c>
      <c r="AA619" s="4">
        <v>772</v>
      </c>
      <c r="AB619" s="4">
        <v>6</v>
      </c>
      <c r="AC619" s="4">
        <v>8</v>
      </c>
      <c r="AD619" s="4">
        <v>9</v>
      </c>
      <c r="AE619" s="4">
        <v>13</v>
      </c>
      <c r="AF619" s="4">
        <v>3</v>
      </c>
      <c r="AG619" s="4">
        <v>4</v>
      </c>
      <c r="AH619" s="4">
        <v>2</v>
      </c>
      <c r="AI619" s="4">
        <v>4</v>
      </c>
      <c r="AJ619" s="4">
        <v>3</v>
      </c>
      <c r="AK619" s="4">
        <v>3</v>
      </c>
      <c r="AL619" s="4">
        <v>3</v>
      </c>
      <c r="AM619" s="4">
        <v>4</v>
      </c>
      <c r="AN619" s="4">
        <v>0</v>
      </c>
      <c r="AO619" s="4">
        <v>0</v>
      </c>
      <c r="AP619" s="3" t="s">
        <v>59</v>
      </c>
      <c r="AQ619" s="3" t="s">
        <v>69</v>
      </c>
      <c r="AR619" s="6" t="str">
        <f>HYPERLINK("http://catalog.hathitrust.org/Record/001500805","HathiTrust Record")</f>
        <v>HathiTrust Record</v>
      </c>
      <c r="AS619" s="6" t="str">
        <f>HYPERLINK("https://creighton-primo.hosted.exlibrisgroup.com/primo-explore/search?tab=default_tab&amp;search_scope=EVERYTHING&amp;vid=01CRU&amp;lang=en_US&amp;offset=0&amp;query=any,contains,991003179079702656","Catalog Record")</f>
        <v>Catalog Record</v>
      </c>
      <c r="AT619" s="6" t="str">
        <f>HYPERLINK("http://www.worldcat.org/oclc/711371","WorldCat Record")</f>
        <v>WorldCat Record</v>
      </c>
      <c r="AU619" s="3" t="s">
        <v>7442</v>
      </c>
      <c r="AV619" s="3" t="s">
        <v>7443</v>
      </c>
      <c r="AW619" s="3" t="s">
        <v>7444</v>
      </c>
      <c r="AX619" s="3" t="s">
        <v>7444</v>
      </c>
      <c r="AY619" s="3" t="s">
        <v>7445</v>
      </c>
      <c r="AZ619" s="3" t="s">
        <v>74</v>
      </c>
      <c r="BC619" s="3" t="s">
        <v>7446</v>
      </c>
      <c r="BD619" s="3" t="s">
        <v>7447</v>
      </c>
    </row>
    <row r="620" spans="1:56" ht="57.75" customHeight="1" x14ac:dyDescent="0.25">
      <c r="A620" s="7" t="s">
        <v>59</v>
      </c>
      <c r="B620" s="2" t="s">
        <v>7448</v>
      </c>
      <c r="C620" s="2" t="s">
        <v>7449</v>
      </c>
      <c r="D620" s="2" t="s">
        <v>7450</v>
      </c>
      <c r="F620" s="3" t="s">
        <v>59</v>
      </c>
      <c r="G620" s="3" t="s">
        <v>60</v>
      </c>
      <c r="H620" s="3" t="s">
        <v>59</v>
      </c>
      <c r="I620" s="3" t="s">
        <v>59</v>
      </c>
      <c r="J620" s="3" t="s">
        <v>61</v>
      </c>
      <c r="K620" s="2" t="s">
        <v>7451</v>
      </c>
      <c r="L620" s="2" t="s">
        <v>7452</v>
      </c>
      <c r="M620" s="3" t="s">
        <v>436</v>
      </c>
      <c r="O620" s="3" t="s">
        <v>64</v>
      </c>
      <c r="P620" s="3" t="s">
        <v>932</v>
      </c>
      <c r="Q620" s="2" t="s">
        <v>7453</v>
      </c>
      <c r="R620" s="3" t="s">
        <v>67</v>
      </c>
      <c r="S620" s="4">
        <v>8</v>
      </c>
      <c r="T620" s="4">
        <v>8</v>
      </c>
      <c r="U620" s="5" t="s">
        <v>7454</v>
      </c>
      <c r="V620" s="5" t="s">
        <v>7454</v>
      </c>
      <c r="W620" s="5" t="s">
        <v>7221</v>
      </c>
      <c r="X620" s="5" t="s">
        <v>7221</v>
      </c>
      <c r="Y620" s="4">
        <v>443</v>
      </c>
      <c r="Z620" s="4">
        <v>371</v>
      </c>
      <c r="AA620" s="4">
        <v>381</v>
      </c>
      <c r="AB620" s="4">
        <v>4</v>
      </c>
      <c r="AC620" s="4">
        <v>4</v>
      </c>
      <c r="AD620" s="4">
        <v>10</v>
      </c>
      <c r="AE620" s="4">
        <v>10</v>
      </c>
      <c r="AF620" s="4">
        <v>5</v>
      </c>
      <c r="AG620" s="4">
        <v>5</v>
      </c>
      <c r="AH620" s="4">
        <v>3</v>
      </c>
      <c r="AI620" s="4">
        <v>3</v>
      </c>
      <c r="AJ620" s="4">
        <v>3</v>
      </c>
      <c r="AK620" s="4">
        <v>3</v>
      </c>
      <c r="AL620" s="4">
        <v>2</v>
      </c>
      <c r="AM620" s="4">
        <v>2</v>
      </c>
      <c r="AN620" s="4">
        <v>0</v>
      </c>
      <c r="AO620" s="4">
        <v>0</v>
      </c>
      <c r="AP620" s="3" t="s">
        <v>59</v>
      </c>
      <c r="AQ620" s="3" t="s">
        <v>69</v>
      </c>
      <c r="AR620" s="6" t="str">
        <f>HYPERLINK("http://catalog.hathitrust.org/Record/000257746","HathiTrust Record")</f>
        <v>HathiTrust Record</v>
      </c>
      <c r="AS620" s="6" t="str">
        <f>HYPERLINK("https://creighton-primo.hosted.exlibrisgroup.com/primo-explore/search?tab=default_tab&amp;search_scope=EVERYTHING&amp;vid=01CRU&amp;lang=en_US&amp;offset=0&amp;query=any,contains,991004673809702656","Catalog Record")</f>
        <v>Catalog Record</v>
      </c>
      <c r="AT620" s="6" t="str">
        <f>HYPERLINK("http://www.worldcat.org/oclc/15133326","WorldCat Record")</f>
        <v>WorldCat Record</v>
      </c>
      <c r="AU620" s="3" t="s">
        <v>7455</v>
      </c>
      <c r="AV620" s="3" t="s">
        <v>7456</v>
      </c>
      <c r="AW620" s="3" t="s">
        <v>7457</v>
      </c>
      <c r="AX620" s="3" t="s">
        <v>7457</v>
      </c>
      <c r="AY620" s="3" t="s">
        <v>7458</v>
      </c>
      <c r="AZ620" s="3" t="s">
        <v>74</v>
      </c>
      <c r="BC620" s="3" t="s">
        <v>7459</v>
      </c>
      <c r="BD620" s="3" t="s">
        <v>7460</v>
      </c>
    </row>
    <row r="621" spans="1:56" ht="57.75" customHeight="1" x14ac:dyDescent="0.25">
      <c r="A621" s="7" t="s">
        <v>59</v>
      </c>
      <c r="B621" s="2" t="s">
        <v>7461</v>
      </c>
      <c r="C621" s="2" t="s">
        <v>7462</v>
      </c>
      <c r="D621" s="2" t="s">
        <v>7463</v>
      </c>
      <c r="F621" s="3" t="s">
        <v>59</v>
      </c>
      <c r="G621" s="3" t="s">
        <v>60</v>
      </c>
      <c r="H621" s="3" t="s">
        <v>59</v>
      </c>
      <c r="I621" s="3" t="s">
        <v>59</v>
      </c>
      <c r="J621" s="3" t="s">
        <v>61</v>
      </c>
      <c r="L621" s="2" t="s">
        <v>7464</v>
      </c>
      <c r="M621" s="3" t="s">
        <v>495</v>
      </c>
      <c r="O621" s="3" t="s">
        <v>64</v>
      </c>
      <c r="P621" s="3" t="s">
        <v>467</v>
      </c>
      <c r="R621" s="3" t="s">
        <v>67</v>
      </c>
      <c r="S621" s="4">
        <v>9</v>
      </c>
      <c r="T621" s="4">
        <v>9</v>
      </c>
      <c r="U621" s="5" t="s">
        <v>469</v>
      </c>
      <c r="V621" s="5" t="s">
        <v>469</v>
      </c>
      <c r="W621" s="5" t="s">
        <v>7221</v>
      </c>
      <c r="X621" s="5" t="s">
        <v>7221</v>
      </c>
      <c r="Y621" s="4">
        <v>406</v>
      </c>
      <c r="Z621" s="4">
        <v>347</v>
      </c>
      <c r="AA621" s="4">
        <v>349</v>
      </c>
      <c r="AB621" s="4">
        <v>5</v>
      </c>
      <c r="AC621" s="4">
        <v>5</v>
      </c>
      <c r="AD621" s="4">
        <v>14</v>
      </c>
      <c r="AE621" s="4">
        <v>14</v>
      </c>
      <c r="AF621" s="4">
        <v>5</v>
      </c>
      <c r="AG621" s="4">
        <v>5</v>
      </c>
      <c r="AH621" s="4">
        <v>1</v>
      </c>
      <c r="AI621" s="4">
        <v>1</v>
      </c>
      <c r="AJ621" s="4">
        <v>4</v>
      </c>
      <c r="AK621" s="4">
        <v>4</v>
      </c>
      <c r="AL621" s="4">
        <v>4</v>
      </c>
      <c r="AM621" s="4">
        <v>4</v>
      </c>
      <c r="AN621" s="4">
        <v>0</v>
      </c>
      <c r="AO621" s="4">
        <v>0</v>
      </c>
      <c r="AP621" s="3" t="s">
        <v>59</v>
      </c>
      <c r="AQ621" s="3" t="s">
        <v>69</v>
      </c>
      <c r="AR621" s="6" t="str">
        <f>HYPERLINK("http://catalog.hathitrust.org/Record/000475280","HathiTrust Record")</f>
        <v>HathiTrust Record</v>
      </c>
      <c r="AS621" s="6" t="str">
        <f>HYPERLINK("https://creighton-primo.hosted.exlibrisgroup.com/primo-explore/search?tab=default_tab&amp;search_scope=EVERYTHING&amp;vid=01CRU&amp;lang=en_US&amp;offset=0&amp;query=any,contains,991000630909702656","Catalog Record")</f>
        <v>Catalog Record</v>
      </c>
      <c r="AT621" s="6" t="str">
        <f>HYPERLINK("http://www.worldcat.org/oclc/12052357","WorldCat Record")</f>
        <v>WorldCat Record</v>
      </c>
      <c r="AU621" s="3" t="s">
        <v>7465</v>
      </c>
      <c r="AV621" s="3" t="s">
        <v>7466</v>
      </c>
      <c r="AW621" s="3" t="s">
        <v>7467</v>
      </c>
      <c r="AX621" s="3" t="s">
        <v>7467</v>
      </c>
      <c r="AY621" s="3" t="s">
        <v>7468</v>
      </c>
      <c r="AZ621" s="3" t="s">
        <v>74</v>
      </c>
      <c r="BB621" s="3" t="s">
        <v>7469</v>
      </c>
      <c r="BC621" s="3" t="s">
        <v>7470</v>
      </c>
      <c r="BD621" s="3" t="s">
        <v>7471</v>
      </c>
    </row>
    <row r="622" spans="1:56" ht="57.75" customHeight="1" x14ac:dyDescent="0.25">
      <c r="A622" s="7" t="s">
        <v>59</v>
      </c>
      <c r="B622" s="2" t="s">
        <v>7472</v>
      </c>
      <c r="C622" s="2" t="s">
        <v>7473</v>
      </c>
      <c r="D622" s="2" t="s">
        <v>7474</v>
      </c>
      <c r="F622" s="3" t="s">
        <v>59</v>
      </c>
      <c r="G622" s="3" t="s">
        <v>60</v>
      </c>
      <c r="H622" s="3" t="s">
        <v>59</v>
      </c>
      <c r="I622" s="3" t="s">
        <v>59</v>
      </c>
      <c r="J622" s="3" t="s">
        <v>61</v>
      </c>
      <c r="K622" s="2" t="s">
        <v>1195</v>
      </c>
      <c r="L622" s="2" t="s">
        <v>7475</v>
      </c>
      <c r="M622" s="3" t="s">
        <v>6157</v>
      </c>
      <c r="O622" s="3" t="s">
        <v>64</v>
      </c>
      <c r="P622" s="3" t="s">
        <v>2480</v>
      </c>
      <c r="Q622" s="2" t="s">
        <v>2937</v>
      </c>
      <c r="R622" s="3" t="s">
        <v>67</v>
      </c>
      <c r="S622" s="4">
        <v>8</v>
      </c>
      <c r="T622" s="4">
        <v>8</v>
      </c>
      <c r="U622" s="5" t="s">
        <v>2046</v>
      </c>
      <c r="V622" s="5" t="s">
        <v>2046</v>
      </c>
      <c r="W622" s="5" t="s">
        <v>3814</v>
      </c>
      <c r="X622" s="5" t="s">
        <v>3814</v>
      </c>
      <c r="Y622" s="4">
        <v>526</v>
      </c>
      <c r="Z622" s="4">
        <v>490</v>
      </c>
      <c r="AA622" s="4">
        <v>504</v>
      </c>
      <c r="AB622" s="4">
        <v>3</v>
      </c>
      <c r="AC622" s="4">
        <v>3</v>
      </c>
      <c r="AD622" s="4">
        <v>12</v>
      </c>
      <c r="AE622" s="4">
        <v>12</v>
      </c>
      <c r="AF622" s="4">
        <v>5</v>
      </c>
      <c r="AG622" s="4">
        <v>5</v>
      </c>
      <c r="AH622" s="4">
        <v>3</v>
      </c>
      <c r="AI622" s="4">
        <v>3</v>
      </c>
      <c r="AJ622" s="4">
        <v>5</v>
      </c>
      <c r="AK622" s="4">
        <v>5</v>
      </c>
      <c r="AL622" s="4">
        <v>1</v>
      </c>
      <c r="AM622" s="4">
        <v>1</v>
      </c>
      <c r="AN622" s="4">
        <v>0</v>
      </c>
      <c r="AO622" s="4">
        <v>0</v>
      </c>
      <c r="AP622" s="3" t="s">
        <v>69</v>
      </c>
      <c r="AQ622" s="3" t="s">
        <v>59</v>
      </c>
      <c r="AR622" s="6" t="str">
        <f>HYPERLINK("http://catalog.hathitrust.org/Record/001515792","HathiTrust Record")</f>
        <v>HathiTrust Record</v>
      </c>
      <c r="AS622" s="6" t="str">
        <f>HYPERLINK("https://creighton-primo.hosted.exlibrisgroup.com/primo-explore/search?tab=default_tab&amp;search_scope=EVERYTHING&amp;vid=01CRU&amp;lang=en_US&amp;offset=0&amp;query=any,contains,991002731209702656","Catalog Record")</f>
        <v>Catalog Record</v>
      </c>
      <c r="AT622" s="6" t="str">
        <f>HYPERLINK("http://www.worldcat.org/oclc/416566","WorldCat Record")</f>
        <v>WorldCat Record</v>
      </c>
      <c r="AU622" s="3" t="s">
        <v>7476</v>
      </c>
      <c r="AV622" s="3" t="s">
        <v>7477</v>
      </c>
      <c r="AW622" s="3" t="s">
        <v>7478</v>
      </c>
      <c r="AX622" s="3" t="s">
        <v>7478</v>
      </c>
      <c r="AY622" s="3" t="s">
        <v>7479</v>
      </c>
      <c r="AZ622" s="3" t="s">
        <v>74</v>
      </c>
      <c r="BC622" s="3" t="s">
        <v>7480</v>
      </c>
      <c r="BD622" s="3" t="s">
        <v>7481</v>
      </c>
    </row>
    <row r="623" spans="1:56" ht="57.75" customHeight="1" x14ac:dyDescent="0.25">
      <c r="A623" s="7" t="s">
        <v>59</v>
      </c>
      <c r="B623" s="2" t="s">
        <v>7482</v>
      </c>
      <c r="C623" s="2" t="s">
        <v>7483</v>
      </c>
      <c r="D623" s="2" t="s">
        <v>7484</v>
      </c>
      <c r="F623" s="3" t="s">
        <v>59</v>
      </c>
      <c r="G623" s="3" t="s">
        <v>60</v>
      </c>
      <c r="H623" s="3" t="s">
        <v>59</v>
      </c>
      <c r="I623" s="3" t="s">
        <v>59</v>
      </c>
      <c r="J623" s="3" t="s">
        <v>61</v>
      </c>
      <c r="K623" s="2" t="s">
        <v>7485</v>
      </c>
      <c r="L623" s="2" t="s">
        <v>7486</v>
      </c>
      <c r="M623" s="3" t="s">
        <v>2244</v>
      </c>
      <c r="O623" s="3" t="s">
        <v>64</v>
      </c>
      <c r="P623" s="3" t="s">
        <v>630</v>
      </c>
      <c r="Q623" s="2" t="s">
        <v>7487</v>
      </c>
      <c r="R623" s="3" t="s">
        <v>67</v>
      </c>
      <c r="S623" s="4">
        <v>14</v>
      </c>
      <c r="T623" s="4">
        <v>14</v>
      </c>
      <c r="U623" s="5" t="s">
        <v>7488</v>
      </c>
      <c r="V623" s="5" t="s">
        <v>7488</v>
      </c>
      <c r="W623" s="5" t="s">
        <v>7489</v>
      </c>
      <c r="X623" s="5" t="s">
        <v>7489</v>
      </c>
      <c r="Y623" s="4">
        <v>1518</v>
      </c>
      <c r="Z623" s="4">
        <v>1430</v>
      </c>
      <c r="AA623" s="4">
        <v>1441</v>
      </c>
      <c r="AB623" s="4">
        <v>11</v>
      </c>
      <c r="AC623" s="4">
        <v>11</v>
      </c>
      <c r="AD623" s="4">
        <v>20</v>
      </c>
      <c r="AE623" s="4">
        <v>20</v>
      </c>
      <c r="AF623" s="4">
        <v>5</v>
      </c>
      <c r="AG623" s="4">
        <v>5</v>
      </c>
      <c r="AH623" s="4">
        <v>3</v>
      </c>
      <c r="AI623" s="4">
        <v>3</v>
      </c>
      <c r="AJ623" s="4">
        <v>9</v>
      </c>
      <c r="AK623" s="4">
        <v>9</v>
      </c>
      <c r="AL623" s="4">
        <v>5</v>
      </c>
      <c r="AM623" s="4">
        <v>5</v>
      </c>
      <c r="AN623" s="4">
        <v>0</v>
      </c>
      <c r="AO623" s="4">
        <v>0</v>
      </c>
      <c r="AP623" s="3" t="s">
        <v>59</v>
      </c>
      <c r="AQ623" s="3" t="s">
        <v>69</v>
      </c>
      <c r="AR623" s="6" t="str">
        <f>HYPERLINK("http://catalog.hathitrust.org/Record/002498916","HathiTrust Record")</f>
        <v>HathiTrust Record</v>
      </c>
      <c r="AS623" s="6" t="str">
        <f>HYPERLINK("https://creighton-primo.hosted.exlibrisgroup.com/primo-explore/search?tab=default_tab&amp;search_scope=EVERYTHING&amp;vid=01CRU&amp;lang=en_US&amp;offset=0&amp;query=any,contains,991001738879702656","Catalog Record")</f>
        <v>Catalog Record</v>
      </c>
      <c r="AT623" s="6" t="str">
        <f>HYPERLINK("http://www.worldcat.org/oclc/21976263","WorldCat Record")</f>
        <v>WorldCat Record</v>
      </c>
      <c r="AU623" s="3" t="s">
        <v>7490</v>
      </c>
      <c r="AV623" s="3" t="s">
        <v>7491</v>
      </c>
      <c r="AW623" s="3" t="s">
        <v>7492</v>
      </c>
      <c r="AX623" s="3" t="s">
        <v>7492</v>
      </c>
      <c r="AY623" s="3" t="s">
        <v>7493</v>
      </c>
      <c r="AZ623" s="3" t="s">
        <v>74</v>
      </c>
      <c r="BB623" s="3" t="s">
        <v>7494</v>
      </c>
      <c r="BC623" s="3" t="s">
        <v>7495</v>
      </c>
      <c r="BD623" s="3" t="s">
        <v>7496</v>
      </c>
    </row>
    <row r="624" spans="1:56" ht="57.75" customHeight="1" x14ac:dyDescent="0.25">
      <c r="A624" s="7" t="s">
        <v>59</v>
      </c>
      <c r="B624" s="2" t="s">
        <v>7497</v>
      </c>
      <c r="C624" s="2" t="s">
        <v>7498</v>
      </c>
      <c r="D624" s="2" t="s">
        <v>7499</v>
      </c>
      <c r="F624" s="3" t="s">
        <v>59</v>
      </c>
      <c r="G624" s="3" t="s">
        <v>60</v>
      </c>
      <c r="H624" s="3" t="s">
        <v>59</v>
      </c>
      <c r="I624" s="3" t="s">
        <v>59</v>
      </c>
      <c r="J624" s="3" t="s">
        <v>61</v>
      </c>
      <c r="L624" s="2" t="s">
        <v>7500</v>
      </c>
      <c r="M624" s="3" t="s">
        <v>776</v>
      </c>
      <c r="O624" s="3" t="s">
        <v>64</v>
      </c>
      <c r="P624" s="3" t="s">
        <v>145</v>
      </c>
      <c r="Q624" s="2" t="s">
        <v>7501</v>
      </c>
      <c r="R624" s="3" t="s">
        <v>67</v>
      </c>
      <c r="S624" s="4">
        <v>1</v>
      </c>
      <c r="T624" s="4">
        <v>1</v>
      </c>
      <c r="U624" s="5" t="s">
        <v>7502</v>
      </c>
      <c r="V624" s="5" t="s">
        <v>7502</v>
      </c>
      <c r="W624" s="5" t="s">
        <v>6631</v>
      </c>
      <c r="X624" s="5" t="s">
        <v>6631</v>
      </c>
      <c r="Y624" s="4">
        <v>430</v>
      </c>
      <c r="Z624" s="4">
        <v>355</v>
      </c>
      <c r="AA624" s="4">
        <v>363</v>
      </c>
      <c r="AB624" s="4">
        <v>3</v>
      </c>
      <c r="AC624" s="4">
        <v>3</v>
      </c>
      <c r="AD624" s="4">
        <v>8</v>
      </c>
      <c r="AE624" s="4">
        <v>8</v>
      </c>
      <c r="AF624" s="4">
        <v>4</v>
      </c>
      <c r="AG624" s="4">
        <v>4</v>
      </c>
      <c r="AH624" s="4">
        <v>1</v>
      </c>
      <c r="AI624" s="4">
        <v>1</v>
      </c>
      <c r="AJ624" s="4">
        <v>3</v>
      </c>
      <c r="AK624" s="4">
        <v>3</v>
      </c>
      <c r="AL624" s="4">
        <v>1</v>
      </c>
      <c r="AM624" s="4">
        <v>1</v>
      </c>
      <c r="AN624" s="4">
        <v>0</v>
      </c>
      <c r="AO624" s="4">
        <v>0</v>
      </c>
      <c r="AP624" s="3" t="s">
        <v>59</v>
      </c>
      <c r="AQ624" s="3" t="s">
        <v>69</v>
      </c>
      <c r="AR624" s="6" t="str">
        <f>HYPERLINK("http://catalog.hathitrust.org/Record/000003013","HathiTrust Record")</f>
        <v>HathiTrust Record</v>
      </c>
      <c r="AS624" s="6" t="str">
        <f>HYPERLINK("https://creighton-primo.hosted.exlibrisgroup.com/primo-explore/search?tab=default_tab&amp;search_scope=EVERYTHING&amp;vid=01CRU&amp;lang=en_US&amp;offset=0&amp;query=any,contains,991001238639702656","Catalog Record")</f>
        <v>Catalog Record</v>
      </c>
      <c r="AT624" s="6" t="str">
        <f>HYPERLINK("http://www.worldcat.org/oclc/207487","WorldCat Record")</f>
        <v>WorldCat Record</v>
      </c>
      <c r="AU624" s="3" t="s">
        <v>7503</v>
      </c>
      <c r="AV624" s="3" t="s">
        <v>7504</v>
      </c>
      <c r="AW624" s="3" t="s">
        <v>7505</v>
      </c>
      <c r="AX624" s="3" t="s">
        <v>7505</v>
      </c>
      <c r="AY624" s="3" t="s">
        <v>7506</v>
      </c>
      <c r="AZ624" s="3" t="s">
        <v>74</v>
      </c>
      <c r="BC624" s="3" t="s">
        <v>7507</v>
      </c>
      <c r="BD624" s="3" t="s">
        <v>7508</v>
      </c>
    </row>
    <row r="625" spans="1:56" ht="57.75" customHeight="1" x14ac:dyDescent="0.25">
      <c r="A625" s="7" t="s">
        <v>59</v>
      </c>
      <c r="B625" s="2" t="s">
        <v>7509</v>
      </c>
      <c r="C625" s="2" t="s">
        <v>7510</v>
      </c>
      <c r="D625" s="2" t="s">
        <v>7511</v>
      </c>
      <c r="F625" s="3" t="s">
        <v>59</v>
      </c>
      <c r="G625" s="3" t="s">
        <v>60</v>
      </c>
      <c r="H625" s="3" t="s">
        <v>59</v>
      </c>
      <c r="I625" s="3" t="s">
        <v>59</v>
      </c>
      <c r="J625" s="3" t="s">
        <v>61</v>
      </c>
      <c r="K625" s="2" t="s">
        <v>7512</v>
      </c>
      <c r="L625" s="2" t="s">
        <v>7513</v>
      </c>
      <c r="M625" s="3" t="s">
        <v>712</v>
      </c>
      <c r="O625" s="3" t="s">
        <v>64</v>
      </c>
      <c r="P625" s="3" t="s">
        <v>467</v>
      </c>
      <c r="R625" s="3" t="s">
        <v>67</v>
      </c>
      <c r="S625" s="4">
        <v>6</v>
      </c>
      <c r="T625" s="4">
        <v>6</v>
      </c>
      <c r="U625" s="5" t="s">
        <v>7514</v>
      </c>
      <c r="V625" s="5" t="s">
        <v>7514</v>
      </c>
      <c r="W625" s="5" t="s">
        <v>3762</v>
      </c>
      <c r="X625" s="5" t="s">
        <v>3762</v>
      </c>
      <c r="Y625" s="4">
        <v>467</v>
      </c>
      <c r="Z625" s="4">
        <v>441</v>
      </c>
      <c r="AA625" s="4">
        <v>447</v>
      </c>
      <c r="AB625" s="4">
        <v>3</v>
      </c>
      <c r="AC625" s="4">
        <v>3</v>
      </c>
      <c r="AD625" s="4">
        <v>9</v>
      </c>
      <c r="AE625" s="4">
        <v>9</v>
      </c>
      <c r="AF625" s="4">
        <v>4</v>
      </c>
      <c r="AG625" s="4">
        <v>4</v>
      </c>
      <c r="AH625" s="4">
        <v>1</v>
      </c>
      <c r="AI625" s="4">
        <v>1</v>
      </c>
      <c r="AJ625" s="4">
        <v>4</v>
      </c>
      <c r="AK625" s="4">
        <v>4</v>
      </c>
      <c r="AL625" s="4">
        <v>2</v>
      </c>
      <c r="AM625" s="4">
        <v>2</v>
      </c>
      <c r="AN625" s="4">
        <v>0</v>
      </c>
      <c r="AO625" s="4">
        <v>0</v>
      </c>
      <c r="AP625" s="3" t="s">
        <v>59</v>
      </c>
      <c r="AQ625" s="3" t="s">
        <v>69</v>
      </c>
      <c r="AR625" s="6" t="str">
        <f>HYPERLINK("http://catalog.hathitrust.org/Record/002957871","HathiTrust Record")</f>
        <v>HathiTrust Record</v>
      </c>
      <c r="AS625" s="6" t="str">
        <f>HYPERLINK("https://creighton-primo.hosted.exlibrisgroup.com/primo-explore/search?tab=default_tab&amp;search_scope=EVERYTHING&amp;vid=01CRU&amp;lang=en_US&amp;offset=0&amp;query=any,contains,991002245719702656","Catalog Record")</f>
        <v>Catalog Record</v>
      </c>
      <c r="AT625" s="6" t="str">
        <f>HYPERLINK("http://www.worldcat.org/oclc/28964729","WorldCat Record")</f>
        <v>WorldCat Record</v>
      </c>
      <c r="AU625" s="3" t="s">
        <v>7515</v>
      </c>
      <c r="AV625" s="3" t="s">
        <v>7516</v>
      </c>
      <c r="AW625" s="3" t="s">
        <v>7517</v>
      </c>
      <c r="AX625" s="3" t="s">
        <v>7517</v>
      </c>
      <c r="AY625" s="3" t="s">
        <v>7518</v>
      </c>
      <c r="AZ625" s="3" t="s">
        <v>74</v>
      </c>
      <c r="BB625" s="3" t="s">
        <v>7519</v>
      </c>
      <c r="BC625" s="3" t="s">
        <v>7520</v>
      </c>
      <c r="BD625" s="3" t="s">
        <v>7521</v>
      </c>
    </row>
    <row r="626" spans="1:56" ht="57.75" customHeight="1" x14ac:dyDescent="0.25">
      <c r="A626" s="7" t="s">
        <v>59</v>
      </c>
      <c r="B626" s="2" t="s">
        <v>7522</v>
      </c>
      <c r="C626" s="2" t="s">
        <v>7523</v>
      </c>
      <c r="D626" s="2" t="s">
        <v>7524</v>
      </c>
      <c r="F626" s="3" t="s">
        <v>59</v>
      </c>
      <c r="G626" s="3" t="s">
        <v>60</v>
      </c>
      <c r="H626" s="3" t="s">
        <v>59</v>
      </c>
      <c r="I626" s="3" t="s">
        <v>59</v>
      </c>
      <c r="J626" s="3" t="s">
        <v>61</v>
      </c>
      <c r="K626" s="2" t="s">
        <v>1195</v>
      </c>
      <c r="L626" s="2" t="s">
        <v>7525</v>
      </c>
      <c r="M626" s="3" t="s">
        <v>4122</v>
      </c>
      <c r="N626" s="2" t="s">
        <v>7526</v>
      </c>
      <c r="O626" s="3" t="s">
        <v>64</v>
      </c>
      <c r="P626" s="3" t="s">
        <v>932</v>
      </c>
      <c r="R626" s="3" t="s">
        <v>67</v>
      </c>
      <c r="S626" s="4">
        <v>5</v>
      </c>
      <c r="T626" s="4">
        <v>5</v>
      </c>
      <c r="U626" s="5" t="s">
        <v>7346</v>
      </c>
      <c r="V626" s="5" t="s">
        <v>7346</v>
      </c>
      <c r="W626" s="5" t="s">
        <v>6631</v>
      </c>
      <c r="X626" s="5" t="s">
        <v>6631</v>
      </c>
      <c r="Y626" s="4">
        <v>175</v>
      </c>
      <c r="Z626" s="4">
        <v>165</v>
      </c>
      <c r="AA626" s="4">
        <v>984</v>
      </c>
      <c r="AB626" s="4">
        <v>3</v>
      </c>
      <c r="AC626" s="4">
        <v>8</v>
      </c>
      <c r="AD626" s="4">
        <v>4</v>
      </c>
      <c r="AE626" s="4">
        <v>34</v>
      </c>
      <c r="AF626" s="4">
        <v>2</v>
      </c>
      <c r="AG626" s="4">
        <v>13</v>
      </c>
      <c r="AH626" s="4">
        <v>1</v>
      </c>
      <c r="AI626" s="4">
        <v>9</v>
      </c>
      <c r="AJ626" s="4">
        <v>2</v>
      </c>
      <c r="AK626" s="4">
        <v>12</v>
      </c>
      <c r="AL626" s="4">
        <v>1</v>
      </c>
      <c r="AM626" s="4">
        <v>6</v>
      </c>
      <c r="AN626" s="4">
        <v>0</v>
      </c>
      <c r="AO626" s="4">
        <v>1</v>
      </c>
      <c r="AP626" s="3" t="s">
        <v>59</v>
      </c>
      <c r="AQ626" s="3" t="s">
        <v>59</v>
      </c>
      <c r="AS626" s="6" t="str">
        <f>HYPERLINK("https://creighton-primo.hosted.exlibrisgroup.com/primo-explore/search?tab=default_tab&amp;search_scope=EVERYTHING&amp;vid=01CRU&amp;lang=en_US&amp;offset=0&amp;query=any,contains,991003586539702656","Catalog Record")</f>
        <v>Catalog Record</v>
      </c>
      <c r="AT626" s="6" t="str">
        <f>HYPERLINK("http://www.worldcat.org/oclc/1167303","WorldCat Record")</f>
        <v>WorldCat Record</v>
      </c>
      <c r="AU626" s="3" t="s">
        <v>7527</v>
      </c>
      <c r="AV626" s="3" t="s">
        <v>7528</v>
      </c>
      <c r="AW626" s="3" t="s">
        <v>7529</v>
      </c>
      <c r="AX626" s="3" t="s">
        <v>7529</v>
      </c>
      <c r="AY626" s="3" t="s">
        <v>7530</v>
      </c>
      <c r="AZ626" s="3" t="s">
        <v>74</v>
      </c>
      <c r="BC626" s="3" t="s">
        <v>7531</v>
      </c>
      <c r="BD626" s="3" t="s">
        <v>7532</v>
      </c>
    </row>
    <row r="627" spans="1:56" ht="57.75" customHeight="1" x14ac:dyDescent="0.25">
      <c r="A627" s="7" t="s">
        <v>59</v>
      </c>
      <c r="B627" s="2" t="s">
        <v>7533</v>
      </c>
      <c r="C627" s="2" t="s">
        <v>7534</v>
      </c>
      <c r="D627" s="2" t="s">
        <v>7535</v>
      </c>
      <c r="E627" s="3" t="s">
        <v>7536</v>
      </c>
      <c r="F627" s="3" t="s">
        <v>59</v>
      </c>
      <c r="G627" s="3" t="s">
        <v>60</v>
      </c>
      <c r="H627" s="3" t="s">
        <v>59</v>
      </c>
      <c r="I627" s="3" t="s">
        <v>59</v>
      </c>
      <c r="J627" s="3" t="s">
        <v>61</v>
      </c>
      <c r="K627" s="2" t="s">
        <v>7537</v>
      </c>
      <c r="L627" s="2" t="s">
        <v>7538</v>
      </c>
      <c r="M627" s="3" t="s">
        <v>3095</v>
      </c>
      <c r="O627" s="3" t="s">
        <v>64</v>
      </c>
      <c r="P627" s="3" t="s">
        <v>7539</v>
      </c>
      <c r="Q627" s="2" t="s">
        <v>7540</v>
      </c>
      <c r="R627" s="3" t="s">
        <v>67</v>
      </c>
      <c r="S627" s="4">
        <v>3</v>
      </c>
      <c r="T627" s="4">
        <v>3</v>
      </c>
      <c r="U627" s="5" t="s">
        <v>7541</v>
      </c>
      <c r="V627" s="5" t="s">
        <v>7541</v>
      </c>
      <c r="W627" s="5" t="s">
        <v>7221</v>
      </c>
      <c r="X627" s="5" t="s">
        <v>7221</v>
      </c>
      <c r="Y627" s="4">
        <v>13</v>
      </c>
      <c r="Z627" s="4">
        <v>13</v>
      </c>
      <c r="AA627" s="4">
        <v>13</v>
      </c>
      <c r="AB627" s="4">
        <v>7</v>
      </c>
      <c r="AC627" s="4">
        <v>7</v>
      </c>
      <c r="AD627" s="4">
        <v>5</v>
      </c>
      <c r="AE627" s="4">
        <v>5</v>
      </c>
      <c r="AF627" s="4">
        <v>0</v>
      </c>
      <c r="AG627" s="4">
        <v>0</v>
      </c>
      <c r="AH627" s="4">
        <v>0</v>
      </c>
      <c r="AI627" s="4">
        <v>0</v>
      </c>
      <c r="AJ627" s="4">
        <v>0</v>
      </c>
      <c r="AK627" s="4">
        <v>0</v>
      </c>
      <c r="AL627" s="4">
        <v>5</v>
      </c>
      <c r="AM627" s="4">
        <v>5</v>
      </c>
      <c r="AN627" s="4">
        <v>0</v>
      </c>
      <c r="AO627" s="4">
        <v>0</v>
      </c>
      <c r="AP627" s="3" t="s">
        <v>59</v>
      </c>
      <c r="AQ627" s="3" t="s">
        <v>59</v>
      </c>
      <c r="AS627" s="6" t="str">
        <f>HYPERLINK("https://creighton-primo.hosted.exlibrisgroup.com/primo-explore/search?tab=default_tab&amp;search_scope=EVERYTHING&amp;vid=01CRU&amp;lang=en_US&amp;offset=0&amp;query=any,contains,991004464979702656","Catalog Record")</f>
        <v>Catalog Record</v>
      </c>
      <c r="AT627" s="6" t="str">
        <f>HYPERLINK("http://www.worldcat.org/oclc/3562805","WorldCat Record")</f>
        <v>WorldCat Record</v>
      </c>
      <c r="AU627" s="3" t="s">
        <v>7542</v>
      </c>
      <c r="AV627" s="3" t="s">
        <v>7543</v>
      </c>
      <c r="AW627" s="3" t="s">
        <v>7544</v>
      </c>
      <c r="AX627" s="3" t="s">
        <v>7544</v>
      </c>
      <c r="AY627" s="3" t="s">
        <v>7545</v>
      </c>
      <c r="AZ627" s="3" t="s">
        <v>74</v>
      </c>
      <c r="BC627" s="3" t="s">
        <v>7546</v>
      </c>
      <c r="BD627" s="3" t="s">
        <v>7547</v>
      </c>
    </row>
    <row r="628" spans="1:56" ht="57.75" customHeight="1" x14ac:dyDescent="0.25">
      <c r="A628" s="7" t="s">
        <v>59</v>
      </c>
      <c r="B628" s="2" t="s">
        <v>7548</v>
      </c>
      <c r="C628" s="2" t="s">
        <v>7549</v>
      </c>
      <c r="D628" s="2" t="s">
        <v>7550</v>
      </c>
      <c r="E628" s="3" t="s">
        <v>7551</v>
      </c>
      <c r="F628" s="3" t="s">
        <v>59</v>
      </c>
      <c r="G628" s="3" t="s">
        <v>60</v>
      </c>
      <c r="H628" s="3" t="s">
        <v>59</v>
      </c>
      <c r="I628" s="3" t="s">
        <v>59</v>
      </c>
      <c r="J628" s="3" t="s">
        <v>61</v>
      </c>
      <c r="L628" s="2" t="s">
        <v>7552</v>
      </c>
      <c r="M628" s="3" t="s">
        <v>1701</v>
      </c>
      <c r="O628" s="3" t="s">
        <v>64</v>
      </c>
      <c r="P628" s="3" t="s">
        <v>7370</v>
      </c>
      <c r="Q628" s="2" t="s">
        <v>7553</v>
      </c>
      <c r="R628" s="3" t="s">
        <v>67</v>
      </c>
      <c r="S628" s="4">
        <v>2</v>
      </c>
      <c r="T628" s="4">
        <v>2</v>
      </c>
      <c r="U628" s="5" t="s">
        <v>7554</v>
      </c>
      <c r="V628" s="5" t="s">
        <v>7554</v>
      </c>
      <c r="W628" s="5" t="s">
        <v>7221</v>
      </c>
      <c r="X628" s="5" t="s">
        <v>7221</v>
      </c>
      <c r="Y628" s="4">
        <v>11</v>
      </c>
      <c r="Z628" s="4">
        <v>11</v>
      </c>
      <c r="AA628" s="4">
        <v>11</v>
      </c>
      <c r="AB628" s="4">
        <v>6</v>
      </c>
      <c r="AC628" s="4">
        <v>6</v>
      </c>
      <c r="AD628" s="4">
        <v>3</v>
      </c>
      <c r="AE628" s="4">
        <v>3</v>
      </c>
      <c r="AF628" s="4">
        <v>0</v>
      </c>
      <c r="AG628" s="4">
        <v>0</v>
      </c>
      <c r="AH628" s="4">
        <v>0</v>
      </c>
      <c r="AI628" s="4">
        <v>0</v>
      </c>
      <c r="AJ628" s="4">
        <v>0</v>
      </c>
      <c r="AK628" s="4">
        <v>0</v>
      </c>
      <c r="AL628" s="4">
        <v>3</v>
      </c>
      <c r="AM628" s="4">
        <v>3</v>
      </c>
      <c r="AN628" s="4">
        <v>0</v>
      </c>
      <c r="AO628" s="4">
        <v>0</v>
      </c>
      <c r="AP628" s="3" t="s">
        <v>59</v>
      </c>
      <c r="AQ628" s="3" t="s">
        <v>59</v>
      </c>
      <c r="AS628" s="6" t="str">
        <f>HYPERLINK("https://creighton-primo.hosted.exlibrisgroup.com/primo-explore/search?tab=default_tab&amp;search_scope=EVERYTHING&amp;vid=01CRU&amp;lang=en_US&amp;offset=0&amp;query=any,contains,991004615039702656","Catalog Record")</f>
        <v>Catalog Record</v>
      </c>
      <c r="AT628" s="6" t="str">
        <f>HYPERLINK("http://www.worldcat.org/oclc/4245363","WorldCat Record")</f>
        <v>WorldCat Record</v>
      </c>
      <c r="AU628" s="3" t="s">
        <v>7555</v>
      </c>
      <c r="AV628" s="3" t="s">
        <v>7556</v>
      </c>
      <c r="AW628" s="3" t="s">
        <v>7557</v>
      </c>
      <c r="AX628" s="3" t="s">
        <v>7557</v>
      </c>
      <c r="AY628" s="3" t="s">
        <v>7558</v>
      </c>
      <c r="AZ628" s="3" t="s">
        <v>74</v>
      </c>
      <c r="BC628" s="3" t="s">
        <v>7559</v>
      </c>
      <c r="BD628" s="3" t="s">
        <v>7560</v>
      </c>
    </row>
    <row r="629" spans="1:56" ht="57.75" customHeight="1" x14ac:dyDescent="0.25">
      <c r="A629" s="7" t="s">
        <v>59</v>
      </c>
      <c r="B629" s="2" t="s">
        <v>7561</v>
      </c>
      <c r="C629" s="2" t="s">
        <v>7562</v>
      </c>
      <c r="D629" s="2" t="s">
        <v>7563</v>
      </c>
      <c r="E629" s="3" t="s">
        <v>7564</v>
      </c>
      <c r="F629" s="3" t="s">
        <v>59</v>
      </c>
      <c r="G629" s="3" t="s">
        <v>60</v>
      </c>
      <c r="H629" s="3" t="s">
        <v>59</v>
      </c>
      <c r="I629" s="3" t="s">
        <v>59</v>
      </c>
      <c r="J629" s="3" t="s">
        <v>61</v>
      </c>
      <c r="K629" s="2" t="s">
        <v>7565</v>
      </c>
      <c r="L629" s="2" t="s">
        <v>7566</v>
      </c>
      <c r="M629" s="3" t="s">
        <v>1701</v>
      </c>
      <c r="O629" s="3" t="s">
        <v>64</v>
      </c>
      <c r="P629" s="3" t="s">
        <v>7539</v>
      </c>
      <c r="Q629" s="2" t="s">
        <v>7567</v>
      </c>
      <c r="R629" s="3" t="s">
        <v>67</v>
      </c>
      <c r="S629" s="4">
        <v>2</v>
      </c>
      <c r="T629" s="4">
        <v>2</v>
      </c>
      <c r="U629" s="5" t="s">
        <v>7568</v>
      </c>
      <c r="V629" s="5" t="s">
        <v>7568</v>
      </c>
      <c r="W629" s="5" t="s">
        <v>7569</v>
      </c>
      <c r="X629" s="5" t="s">
        <v>7569</v>
      </c>
      <c r="Y629" s="4">
        <v>10</v>
      </c>
      <c r="Z629" s="4">
        <v>10</v>
      </c>
      <c r="AA629" s="4">
        <v>10</v>
      </c>
      <c r="AB629" s="4">
        <v>5</v>
      </c>
      <c r="AC629" s="4">
        <v>5</v>
      </c>
      <c r="AD629" s="4">
        <v>3</v>
      </c>
      <c r="AE629" s="4">
        <v>3</v>
      </c>
      <c r="AF629" s="4">
        <v>0</v>
      </c>
      <c r="AG629" s="4">
        <v>0</v>
      </c>
      <c r="AH629" s="4">
        <v>0</v>
      </c>
      <c r="AI629" s="4">
        <v>0</v>
      </c>
      <c r="AJ629" s="4">
        <v>0</v>
      </c>
      <c r="AK629" s="4">
        <v>0</v>
      </c>
      <c r="AL629" s="4">
        <v>3</v>
      </c>
      <c r="AM629" s="4">
        <v>3</v>
      </c>
      <c r="AN629" s="4">
        <v>0</v>
      </c>
      <c r="AO629" s="4">
        <v>0</v>
      </c>
      <c r="AP629" s="3" t="s">
        <v>59</v>
      </c>
      <c r="AQ629" s="3" t="s">
        <v>59</v>
      </c>
      <c r="AS629" s="6" t="str">
        <f>HYPERLINK("https://creighton-primo.hosted.exlibrisgroup.com/primo-explore/search?tab=default_tab&amp;search_scope=EVERYTHING&amp;vid=01CRU&amp;lang=en_US&amp;offset=0&amp;query=any,contains,991004465009702656","Catalog Record")</f>
        <v>Catalog Record</v>
      </c>
      <c r="AT629" s="6" t="str">
        <f>HYPERLINK("http://www.worldcat.org/oclc/3562916","WorldCat Record")</f>
        <v>WorldCat Record</v>
      </c>
      <c r="AU629" s="3" t="s">
        <v>7570</v>
      </c>
      <c r="AV629" s="3" t="s">
        <v>7571</v>
      </c>
      <c r="AW629" s="3" t="s">
        <v>7572</v>
      </c>
      <c r="AX629" s="3" t="s">
        <v>7572</v>
      </c>
      <c r="AY629" s="3" t="s">
        <v>7573</v>
      </c>
      <c r="AZ629" s="3" t="s">
        <v>74</v>
      </c>
      <c r="BC629" s="3" t="s">
        <v>7574</v>
      </c>
      <c r="BD629" s="3" t="s">
        <v>7575</v>
      </c>
    </row>
    <row r="630" spans="1:56" ht="57.75" customHeight="1" x14ac:dyDescent="0.25">
      <c r="A630" s="7" t="s">
        <v>59</v>
      </c>
      <c r="B630" s="2" t="s">
        <v>7576</v>
      </c>
      <c r="C630" s="2" t="s">
        <v>7577</v>
      </c>
      <c r="D630" s="2" t="s">
        <v>7578</v>
      </c>
      <c r="F630" s="3" t="s">
        <v>59</v>
      </c>
      <c r="G630" s="3" t="s">
        <v>60</v>
      </c>
      <c r="H630" s="3" t="s">
        <v>59</v>
      </c>
      <c r="I630" s="3" t="s">
        <v>59</v>
      </c>
      <c r="J630" s="3" t="s">
        <v>61</v>
      </c>
      <c r="L630" s="2" t="s">
        <v>7579</v>
      </c>
      <c r="M630" s="3" t="s">
        <v>763</v>
      </c>
      <c r="O630" s="3" t="s">
        <v>64</v>
      </c>
      <c r="P630" s="3" t="s">
        <v>7370</v>
      </c>
      <c r="Q630" s="2" t="s">
        <v>7580</v>
      </c>
      <c r="R630" s="3" t="s">
        <v>67</v>
      </c>
      <c r="S630" s="4">
        <v>12</v>
      </c>
      <c r="T630" s="4">
        <v>12</v>
      </c>
      <c r="U630" s="5" t="s">
        <v>7514</v>
      </c>
      <c r="V630" s="5" t="s">
        <v>7514</v>
      </c>
      <c r="W630" s="5" t="s">
        <v>7581</v>
      </c>
      <c r="X630" s="5" t="s">
        <v>7581</v>
      </c>
      <c r="Y630" s="4">
        <v>38</v>
      </c>
      <c r="Z630" s="4">
        <v>36</v>
      </c>
      <c r="AA630" s="4">
        <v>36</v>
      </c>
      <c r="AB630" s="4">
        <v>29</v>
      </c>
      <c r="AC630" s="4">
        <v>29</v>
      </c>
      <c r="AD630" s="4">
        <v>4</v>
      </c>
      <c r="AE630" s="4">
        <v>4</v>
      </c>
      <c r="AF630" s="4">
        <v>0</v>
      </c>
      <c r="AG630" s="4">
        <v>0</v>
      </c>
      <c r="AH630" s="4">
        <v>0</v>
      </c>
      <c r="AI630" s="4">
        <v>0</v>
      </c>
      <c r="AJ630" s="4">
        <v>0</v>
      </c>
      <c r="AK630" s="4">
        <v>0</v>
      </c>
      <c r="AL630" s="4">
        <v>4</v>
      </c>
      <c r="AM630" s="4">
        <v>4</v>
      </c>
      <c r="AN630" s="4">
        <v>0</v>
      </c>
      <c r="AO630" s="4">
        <v>0</v>
      </c>
      <c r="AP630" s="3" t="s">
        <v>59</v>
      </c>
      <c r="AQ630" s="3" t="s">
        <v>59</v>
      </c>
      <c r="AS630" s="6" t="str">
        <f>HYPERLINK("https://creighton-primo.hosted.exlibrisgroup.com/primo-explore/search?tab=default_tab&amp;search_scope=EVERYTHING&amp;vid=01CRU&amp;lang=en_US&amp;offset=0&amp;query=any,contains,991001030729702656","Catalog Record")</f>
        <v>Catalog Record</v>
      </c>
      <c r="AT630" s="6" t="str">
        <f>HYPERLINK("http://www.worldcat.org/oclc/15514171","WorldCat Record")</f>
        <v>WorldCat Record</v>
      </c>
      <c r="AU630" s="3" t="s">
        <v>7582</v>
      </c>
      <c r="AV630" s="3" t="s">
        <v>7583</v>
      </c>
      <c r="AW630" s="3" t="s">
        <v>7584</v>
      </c>
      <c r="AX630" s="3" t="s">
        <v>7584</v>
      </c>
      <c r="AY630" s="3" t="s">
        <v>7585</v>
      </c>
      <c r="AZ630" s="3" t="s">
        <v>74</v>
      </c>
      <c r="BC630" s="3" t="s">
        <v>7586</v>
      </c>
      <c r="BD630" s="3" t="s">
        <v>7587</v>
      </c>
    </row>
    <row r="631" spans="1:56" ht="57.75" customHeight="1" x14ac:dyDescent="0.25">
      <c r="A631" s="7" t="s">
        <v>59</v>
      </c>
      <c r="B631" s="2" t="s">
        <v>7588</v>
      </c>
      <c r="C631" s="2" t="s">
        <v>7589</v>
      </c>
      <c r="D631" s="2" t="s">
        <v>7590</v>
      </c>
      <c r="F631" s="3" t="s">
        <v>59</v>
      </c>
      <c r="G631" s="3" t="s">
        <v>60</v>
      </c>
      <c r="H631" s="3" t="s">
        <v>59</v>
      </c>
      <c r="I631" s="3" t="s">
        <v>59</v>
      </c>
      <c r="J631" s="3" t="s">
        <v>61</v>
      </c>
      <c r="K631" s="2" t="s">
        <v>7591</v>
      </c>
      <c r="L631" s="2" t="s">
        <v>7592</v>
      </c>
      <c r="M631" s="3" t="s">
        <v>224</v>
      </c>
      <c r="O631" s="3" t="s">
        <v>64</v>
      </c>
      <c r="P631" s="3" t="s">
        <v>65</v>
      </c>
      <c r="Q631" s="2" t="s">
        <v>7593</v>
      </c>
      <c r="R631" s="3" t="s">
        <v>67</v>
      </c>
      <c r="S631" s="4">
        <v>1</v>
      </c>
      <c r="T631" s="4">
        <v>1</v>
      </c>
      <c r="U631" s="5" t="s">
        <v>7594</v>
      </c>
      <c r="V631" s="5" t="s">
        <v>7594</v>
      </c>
      <c r="W631" s="5" t="s">
        <v>7594</v>
      </c>
      <c r="X631" s="5" t="s">
        <v>7594</v>
      </c>
      <c r="Y631" s="4">
        <v>118</v>
      </c>
      <c r="Z631" s="4">
        <v>97</v>
      </c>
      <c r="AA631" s="4">
        <v>98</v>
      </c>
      <c r="AB631" s="4">
        <v>2</v>
      </c>
      <c r="AC631" s="4">
        <v>2</v>
      </c>
      <c r="AD631" s="4">
        <v>3</v>
      </c>
      <c r="AE631" s="4">
        <v>3</v>
      </c>
      <c r="AF631" s="4">
        <v>2</v>
      </c>
      <c r="AG631" s="4">
        <v>2</v>
      </c>
      <c r="AH631" s="4">
        <v>0</v>
      </c>
      <c r="AI631" s="4">
        <v>0</v>
      </c>
      <c r="AJ631" s="4">
        <v>1</v>
      </c>
      <c r="AK631" s="4">
        <v>1</v>
      </c>
      <c r="AL631" s="4">
        <v>1</v>
      </c>
      <c r="AM631" s="4">
        <v>1</v>
      </c>
      <c r="AN631" s="4">
        <v>0</v>
      </c>
      <c r="AO631" s="4">
        <v>0</v>
      </c>
      <c r="AP631" s="3" t="s">
        <v>59</v>
      </c>
      <c r="AQ631" s="3" t="s">
        <v>69</v>
      </c>
      <c r="AR631" s="6" t="str">
        <f>HYPERLINK("http://catalog.hathitrust.org/Record/005649556","HathiTrust Record")</f>
        <v>HathiTrust Record</v>
      </c>
      <c r="AS631" s="6" t="str">
        <f>HYPERLINK("https://creighton-primo.hosted.exlibrisgroup.com/primo-explore/search?tab=default_tab&amp;search_scope=EVERYTHING&amp;vid=01CRU&amp;lang=en_US&amp;offset=0&amp;query=any,contains,991005183989702656","Catalog Record")</f>
        <v>Catalog Record</v>
      </c>
      <c r="AT631" s="6" t="str">
        <f>HYPERLINK("http://www.worldcat.org/oclc/169899729","WorldCat Record")</f>
        <v>WorldCat Record</v>
      </c>
      <c r="AU631" s="3" t="s">
        <v>7595</v>
      </c>
      <c r="AV631" s="3" t="s">
        <v>7596</v>
      </c>
      <c r="AW631" s="3" t="s">
        <v>7597</v>
      </c>
      <c r="AX631" s="3" t="s">
        <v>7597</v>
      </c>
      <c r="AY631" s="3" t="s">
        <v>7598</v>
      </c>
      <c r="AZ631" s="3" t="s">
        <v>74</v>
      </c>
      <c r="BB631" s="3" t="s">
        <v>7599</v>
      </c>
      <c r="BC631" s="3" t="s">
        <v>7600</v>
      </c>
      <c r="BD631" s="3" t="s">
        <v>7601</v>
      </c>
    </row>
    <row r="632" spans="1:56" ht="57.75" customHeight="1" x14ac:dyDescent="0.25">
      <c r="A632" s="7" t="s">
        <v>59</v>
      </c>
      <c r="B632" s="2" t="s">
        <v>7602</v>
      </c>
      <c r="C632" s="2" t="s">
        <v>7603</v>
      </c>
      <c r="D632" s="2" t="s">
        <v>7604</v>
      </c>
      <c r="F632" s="3" t="s">
        <v>59</v>
      </c>
      <c r="G632" s="3" t="s">
        <v>60</v>
      </c>
      <c r="H632" s="3" t="s">
        <v>59</v>
      </c>
      <c r="I632" s="3" t="s">
        <v>59</v>
      </c>
      <c r="J632" s="3" t="s">
        <v>61</v>
      </c>
      <c r="K632" s="2" t="s">
        <v>7605</v>
      </c>
      <c r="L632" s="2" t="s">
        <v>7606</v>
      </c>
      <c r="M632" s="3" t="s">
        <v>144</v>
      </c>
      <c r="O632" s="3" t="s">
        <v>64</v>
      </c>
      <c r="P632" s="3" t="s">
        <v>821</v>
      </c>
      <c r="R632" s="3" t="s">
        <v>67</v>
      </c>
      <c r="S632" s="4">
        <v>1</v>
      </c>
      <c r="T632" s="4">
        <v>1</v>
      </c>
      <c r="U632" s="5" t="s">
        <v>7607</v>
      </c>
      <c r="V632" s="5" t="s">
        <v>7607</v>
      </c>
      <c r="W632" s="5" t="s">
        <v>7607</v>
      </c>
      <c r="X632" s="5" t="s">
        <v>7607</v>
      </c>
      <c r="Y632" s="4">
        <v>285</v>
      </c>
      <c r="Z632" s="4">
        <v>253</v>
      </c>
      <c r="AA632" s="4">
        <v>258</v>
      </c>
      <c r="AB632" s="4">
        <v>2</v>
      </c>
      <c r="AC632" s="4">
        <v>2</v>
      </c>
      <c r="AD632" s="4">
        <v>8</v>
      </c>
      <c r="AE632" s="4">
        <v>8</v>
      </c>
      <c r="AF632" s="4">
        <v>4</v>
      </c>
      <c r="AG632" s="4">
        <v>4</v>
      </c>
      <c r="AH632" s="4">
        <v>1</v>
      </c>
      <c r="AI632" s="4">
        <v>1</v>
      </c>
      <c r="AJ632" s="4">
        <v>5</v>
      </c>
      <c r="AK632" s="4">
        <v>5</v>
      </c>
      <c r="AL632" s="4">
        <v>1</v>
      </c>
      <c r="AM632" s="4">
        <v>1</v>
      </c>
      <c r="AN632" s="4">
        <v>0</v>
      </c>
      <c r="AO632" s="4">
        <v>0</v>
      </c>
      <c r="AP632" s="3" t="s">
        <v>59</v>
      </c>
      <c r="AQ632" s="3" t="s">
        <v>59</v>
      </c>
      <c r="AS632" s="6" t="str">
        <f>HYPERLINK("https://creighton-primo.hosted.exlibrisgroup.com/primo-explore/search?tab=default_tab&amp;search_scope=EVERYTHING&amp;vid=01CRU&amp;lang=en_US&amp;offset=0&amp;query=any,contains,991005202759702656","Catalog Record")</f>
        <v>Catalog Record</v>
      </c>
      <c r="AT632" s="6" t="str">
        <f>HYPERLINK("http://www.worldcat.org/oclc/55960747","WorldCat Record")</f>
        <v>WorldCat Record</v>
      </c>
      <c r="AU632" s="3" t="s">
        <v>7608</v>
      </c>
      <c r="AV632" s="3" t="s">
        <v>7609</v>
      </c>
      <c r="AW632" s="3" t="s">
        <v>7610</v>
      </c>
      <c r="AX632" s="3" t="s">
        <v>7610</v>
      </c>
      <c r="AY632" s="3" t="s">
        <v>7611</v>
      </c>
      <c r="AZ632" s="3" t="s">
        <v>74</v>
      </c>
      <c r="BB632" s="3" t="s">
        <v>7612</v>
      </c>
      <c r="BC632" s="3" t="s">
        <v>7613</v>
      </c>
      <c r="BD632" s="3" t="s">
        <v>7614</v>
      </c>
    </row>
    <row r="633" spans="1:56" ht="57.75" customHeight="1" x14ac:dyDescent="0.25">
      <c r="A633" s="7" t="s">
        <v>59</v>
      </c>
      <c r="B633" s="2" t="s">
        <v>7615</v>
      </c>
      <c r="C633" s="2" t="s">
        <v>7616</v>
      </c>
      <c r="D633" s="2" t="s">
        <v>7617</v>
      </c>
      <c r="F633" s="3" t="s">
        <v>59</v>
      </c>
      <c r="G633" s="3" t="s">
        <v>60</v>
      </c>
      <c r="H633" s="3" t="s">
        <v>59</v>
      </c>
      <c r="I633" s="3" t="s">
        <v>59</v>
      </c>
      <c r="J633" s="3" t="s">
        <v>61</v>
      </c>
      <c r="K633" s="2" t="s">
        <v>7618</v>
      </c>
      <c r="L633" s="2" t="s">
        <v>834</v>
      </c>
      <c r="M633" s="3" t="s">
        <v>835</v>
      </c>
      <c r="O633" s="3" t="s">
        <v>64</v>
      </c>
      <c r="P633" s="3" t="s">
        <v>467</v>
      </c>
      <c r="R633" s="3" t="s">
        <v>67</v>
      </c>
      <c r="S633" s="4">
        <v>19</v>
      </c>
      <c r="T633" s="4">
        <v>19</v>
      </c>
      <c r="U633" s="5" t="s">
        <v>1540</v>
      </c>
      <c r="V633" s="5" t="s">
        <v>1540</v>
      </c>
      <c r="W633" s="5" t="s">
        <v>7221</v>
      </c>
      <c r="X633" s="5" t="s">
        <v>7221</v>
      </c>
      <c r="Y633" s="4">
        <v>285</v>
      </c>
      <c r="Z633" s="4">
        <v>235</v>
      </c>
      <c r="AA633" s="4">
        <v>342</v>
      </c>
      <c r="AB633" s="4">
        <v>2</v>
      </c>
      <c r="AC633" s="4">
        <v>2</v>
      </c>
      <c r="AD633" s="4">
        <v>3</v>
      </c>
      <c r="AE633" s="4">
        <v>4</v>
      </c>
      <c r="AF633" s="4">
        <v>1</v>
      </c>
      <c r="AG633" s="4">
        <v>1</v>
      </c>
      <c r="AH633" s="4">
        <v>0</v>
      </c>
      <c r="AI633" s="4">
        <v>0</v>
      </c>
      <c r="AJ633" s="4">
        <v>2</v>
      </c>
      <c r="AK633" s="4">
        <v>3</v>
      </c>
      <c r="AL633" s="4">
        <v>1</v>
      </c>
      <c r="AM633" s="4">
        <v>1</v>
      </c>
      <c r="AN633" s="4">
        <v>0</v>
      </c>
      <c r="AO633" s="4">
        <v>0</v>
      </c>
      <c r="AP633" s="3" t="s">
        <v>59</v>
      </c>
      <c r="AQ633" s="3" t="s">
        <v>59</v>
      </c>
      <c r="AS633" s="6" t="str">
        <f>HYPERLINK("https://creighton-primo.hosted.exlibrisgroup.com/primo-explore/search?tab=default_tab&amp;search_scope=EVERYTHING&amp;vid=01CRU&amp;lang=en_US&amp;offset=0&amp;query=any,contains,991004550039702656","Catalog Record")</f>
        <v>Catalog Record</v>
      </c>
      <c r="AT633" s="6" t="str">
        <f>HYPERLINK("http://www.worldcat.org/oclc/3933231","WorldCat Record")</f>
        <v>WorldCat Record</v>
      </c>
      <c r="AU633" s="3" t="s">
        <v>7619</v>
      </c>
      <c r="AV633" s="3" t="s">
        <v>7620</v>
      </c>
      <c r="AW633" s="3" t="s">
        <v>7621</v>
      </c>
      <c r="AX633" s="3" t="s">
        <v>7621</v>
      </c>
      <c r="AY633" s="3" t="s">
        <v>7622</v>
      </c>
      <c r="AZ633" s="3" t="s">
        <v>74</v>
      </c>
      <c r="BB633" s="3" t="s">
        <v>7623</v>
      </c>
      <c r="BC633" s="3" t="s">
        <v>7624</v>
      </c>
      <c r="BD633" s="3" t="s">
        <v>7625</v>
      </c>
    </row>
    <row r="634" spans="1:56" ht="57.75" customHeight="1" x14ac:dyDescent="0.25">
      <c r="A634" s="7" t="s">
        <v>59</v>
      </c>
      <c r="B634" s="2" t="s">
        <v>7626</v>
      </c>
      <c r="C634" s="2" t="s">
        <v>7627</v>
      </c>
      <c r="D634" s="2" t="s">
        <v>7628</v>
      </c>
      <c r="F634" s="3" t="s">
        <v>59</v>
      </c>
      <c r="G634" s="3" t="s">
        <v>60</v>
      </c>
      <c r="H634" s="3" t="s">
        <v>59</v>
      </c>
      <c r="I634" s="3" t="s">
        <v>59</v>
      </c>
      <c r="J634" s="3" t="s">
        <v>61</v>
      </c>
      <c r="K634" s="2" t="s">
        <v>7629</v>
      </c>
      <c r="L634" s="2" t="s">
        <v>7630</v>
      </c>
      <c r="M634" s="3" t="s">
        <v>130</v>
      </c>
      <c r="N634" s="2" t="s">
        <v>556</v>
      </c>
      <c r="O634" s="3" t="s">
        <v>64</v>
      </c>
      <c r="P634" s="3" t="s">
        <v>2362</v>
      </c>
      <c r="R634" s="3" t="s">
        <v>67</v>
      </c>
      <c r="S634" s="4">
        <v>4</v>
      </c>
      <c r="T634" s="4">
        <v>4</v>
      </c>
      <c r="U634" s="5" t="s">
        <v>7631</v>
      </c>
      <c r="V634" s="5" t="s">
        <v>7631</v>
      </c>
      <c r="W634" s="5" t="s">
        <v>7632</v>
      </c>
      <c r="X634" s="5" t="s">
        <v>7632</v>
      </c>
      <c r="Y634" s="4">
        <v>95</v>
      </c>
      <c r="Z634" s="4">
        <v>90</v>
      </c>
      <c r="AA634" s="4">
        <v>92</v>
      </c>
      <c r="AB634" s="4">
        <v>2</v>
      </c>
      <c r="AC634" s="4">
        <v>2</v>
      </c>
      <c r="AD634" s="4">
        <v>8</v>
      </c>
      <c r="AE634" s="4">
        <v>8</v>
      </c>
      <c r="AF634" s="4">
        <v>6</v>
      </c>
      <c r="AG634" s="4">
        <v>6</v>
      </c>
      <c r="AH634" s="4">
        <v>1</v>
      </c>
      <c r="AI634" s="4">
        <v>1</v>
      </c>
      <c r="AJ634" s="4">
        <v>3</v>
      </c>
      <c r="AK634" s="4">
        <v>3</v>
      </c>
      <c r="AL634" s="4">
        <v>1</v>
      </c>
      <c r="AM634" s="4">
        <v>1</v>
      </c>
      <c r="AN634" s="4">
        <v>0</v>
      </c>
      <c r="AO634" s="4">
        <v>0</v>
      </c>
      <c r="AP634" s="3" t="s">
        <v>59</v>
      </c>
      <c r="AQ634" s="3" t="s">
        <v>69</v>
      </c>
      <c r="AR634" s="6" t="str">
        <f>HYPERLINK("http://catalog.hathitrust.org/Record/005222448","HathiTrust Record")</f>
        <v>HathiTrust Record</v>
      </c>
      <c r="AS634" s="6" t="str">
        <f>HYPERLINK("https://creighton-primo.hosted.exlibrisgroup.com/primo-explore/search?tab=default_tab&amp;search_scope=EVERYTHING&amp;vid=01CRU&amp;lang=en_US&amp;offset=0&amp;query=any,contains,991004627539702656","Catalog Record")</f>
        <v>Catalog Record</v>
      </c>
      <c r="AT634" s="6" t="str">
        <f>HYPERLINK("http://www.worldcat.org/oclc/56980668","WorldCat Record")</f>
        <v>WorldCat Record</v>
      </c>
      <c r="AU634" s="3" t="s">
        <v>7633</v>
      </c>
      <c r="AV634" s="3" t="s">
        <v>7634</v>
      </c>
      <c r="AW634" s="3" t="s">
        <v>7635</v>
      </c>
      <c r="AX634" s="3" t="s">
        <v>7635</v>
      </c>
      <c r="AY634" s="3" t="s">
        <v>7636</v>
      </c>
      <c r="AZ634" s="3" t="s">
        <v>74</v>
      </c>
      <c r="BB634" s="3" t="s">
        <v>7637</v>
      </c>
      <c r="BC634" s="3" t="s">
        <v>7638</v>
      </c>
      <c r="BD634" s="3" t="s">
        <v>7639</v>
      </c>
    </row>
    <row r="635" spans="1:56" ht="57.75" customHeight="1" x14ac:dyDescent="0.25">
      <c r="A635" s="7" t="s">
        <v>59</v>
      </c>
      <c r="B635" s="2" t="s">
        <v>7640</v>
      </c>
      <c r="C635" s="2" t="s">
        <v>7641</v>
      </c>
      <c r="D635" s="2" t="s">
        <v>7642</v>
      </c>
      <c r="F635" s="3" t="s">
        <v>59</v>
      </c>
      <c r="G635" s="3" t="s">
        <v>60</v>
      </c>
      <c r="H635" s="3" t="s">
        <v>59</v>
      </c>
      <c r="I635" s="3" t="s">
        <v>59</v>
      </c>
      <c r="J635" s="3" t="s">
        <v>61</v>
      </c>
      <c r="K635" s="2" t="s">
        <v>7643</v>
      </c>
      <c r="L635" s="2" t="s">
        <v>6856</v>
      </c>
      <c r="M635" s="3" t="s">
        <v>617</v>
      </c>
      <c r="O635" s="3" t="s">
        <v>64</v>
      </c>
      <c r="P635" s="3" t="s">
        <v>1078</v>
      </c>
      <c r="R635" s="3" t="s">
        <v>67</v>
      </c>
      <c r="S635" s="4">
        <v>10</v>
      </c>
      <c r="T635" s="4">
        <v>10</v>
      </c>
      <c r="U635" s="5" t="s">
        <v>7644</v>
      </c>
      <c r="V635" s="5" t="s">
        <v>7644</v>
      </c>
      <c r="W635" s="5" t="s">
        <v>7645</v>
      </c>
      <c r="X635" s="5" t="s">
        <v>7645</v>
      </c>
      <c r="Y635" s="4">
        <v>446</v>
      </c>
      <c r="Z635" s="4">
        <v>362</v>
      </c>
      <c r="AA635" s="4">
        <v>374</v>
      </c>
      <c r="AB635" s="4">
        <v>3</v>
      </c>
      <c r="AC635" s="4">
        <v>3</v>
      </c>
      <c r="AD635" s="4">
        <v>11</v>
      </c>
      <c r="AE635" s="4">
        <v>11</v>
      </c>
      <c r="AF635" s="4">
        <v>2</v>
      </c>
      <c r="AG635" s="4">
        <v>2</v>
      </c>
      <c r="AH635" s="4">
        <v>3</v>
      </c>
      <c r="AI635" s="4">
        <v>3</v>
      </c>
      <c r="AJ635" s="4">
        <v>6</v>
      </c>
      <c r="AK635" s="4">
        <v>6</v>
      </c>
      <c r="AL635" s="4">
        <v>2</v>
      </c>
      <c r="AM635" s="4">
        <v>2</v>
      </c>
      <c r="AN635" s="4">
        <v>0</v>
      </c>
      <c r="AO635" s="4">
        <v>0</v>
      </c>
      <c r="AP635" s="3" t="s">
        <v>59</v>
      </c>
      <c r="AQ635" s="3" t="s">
        <v>59</v>
      </c>
      <c r="AS635" s="6" t="str">
        <f>HYPERLINK("https://creighton-primo.hosted.exlibrisgroup.com/primo-explore/search?tab=default_tab&amp;search_scope=EVERYTHING&amp;vid=01CRU&amp;lang=en_US&amp;offset=0&amp;query=any,contains,991004985709702656","Catalog Record")</f>
        <v>Catalog Record</v>
      </c>
      <c r="AT635" s="6" t="str">
        <f>HYPERLINK("http://www.worldcat.org/oclc/6447800","WorldCat Record")</f>
        <v>WorldCat Record</v>
      </c>
      <c r="AU635" s="3" t="s">
        <v>7646</v>
      </c>
      <c r="AV635" s="3" t="s">
        <v>7647</v>
      </c>
      <c r="AW635" s="3" t="s">
        <v>7648</v>
      </c>
      <c r="AX635" s="3" t="s">
        <v>7648</v>
      </c>
      <c r="AY635" s="3" t="s">
        <v>7649</v>
      </c>
      <c r="AZ635" s="3" t="s">
        <v>74</v>
      </c>
      <c r="BB635" s="3" t="s">
        <v>7650</v>
      </c>
      <c r="BC635" s="3" t="s">
        <v>7651</v>
      </c>
      <c r="BD635" s="3" t="s">
        <v>7652</v>
      </c>
    </row>
    <row r="636" spans="1:56" ht="57.75" customHeight="1" x14ac:dyDescent="0.25">
      <c r="A636" s="7" t="s">
        <v>59</v>
      </c>
      <c r="B636" s="2" t="s">
        <v>7653</v>
      </c>
      <c r="C636" s="2" t="s">
        <v>7654</v>
      </c>
      <c r="D636" s="2" t="s">
        <v>7655</v>
      </c>
      <c r="F636" s="3" t="s">
        <v>59</v>
      </c>
      <c r="G636" s="3" t="s">
        <v>60</v>
      </c>
      <c r="H636" s="3" t="s">
        <v>59</v>
      </c>
      <c r="I636" s="3" t="s">
        <v>59</v>
      </c>
      <c r="J636" s="3" t="s">
        <v>61</v>
      </c>
      <c r="K636" s="2" t="s">
        <v>7656</v>
      </c>
      <c r="L636" s="2" t="s">
        <v>3682</v>
      </c>
      <c r="M636" s="3" t="s">
        <v>738</v>
      </c>
      <c r="O636" s="3" t="s">
        <v>64</v>
      </c>
      <c r="P636" s="3" t="s">
        <v>3297</v>
      </c>
      <c r="R636" s="3" t="s">
        <v>67</v>
      </c>
      <c r="S636" s="4">
        <v>2</v>
      </c>
      <c r="T636" s="4">
        <v>2</v>
      </c>
      <c r="U636" s="5" t="s">
        <v>7514</v>
      </c>
      <c r="V636" s="5" t="s">
        <v>7514</v>
      </c>
      <c r="W636" s="5" t="s">
        <v>6631</v>
      </c>
      <c r="X636" s="5" t="s">
        <v>6631</v>
      </c>
      <c r="Y636" s="4">
        <v>217</v>
      </c>
      <c r="Z636" s="4">
        <v>192</v>
      </c>
      <c r="AA636" s="4">
        <v>194</v>
      </c>
      <c r="AB636" s="4">
        <v>2</v>
      </c>
      <c r="AC636" s="4">
        <v>2</v>
      </c>
      <c r="AD636" s="4">
        <v>6</v>
      </c>
      <c r="AE636" s="4">
        <v>6</v>
      </c>
      <c r="AF636" s="4">
        <v>0</v>
      </c>
      <c r="AG636" s="4">
        <v>0</v>
      </c>
      <c r="AH636" s="4">
        <v>2</v>
      </c>
      <c r="AI636" s="4">
        <v>2</v>
      </c>
      <c r="AJ636" s="4">
        <v>4</v>
      </c>
      <c r="AK636" s="4">
        <v>4</v>
      </c>
      <c r="AL636" s="4">
        <v>1</v>
      </c>
      <c r="AM636" s="4">
        <v>1</v>
      </c>
      <c r="AN636" s="4">
        <v>0</v>
      </c>
      <c r="AO636" s="4">
        <v>0</v>
      </c>
      <c r="AP636" s="3" t="s">
        <v>59</v>
      </c>
      <c r="AQ636" s="3" t="s">
        <v>69</v>
      </c>
      <c r="AR636" s="6" t="str">
        <f>HYPERLINK("http://catalog.hathitrust.org/Record/002012810","HathiTrust Record")</f>
        <v>HathiTrust Record</v>
      </c>
      <c r="AS636" s="6" t="str">
        <f>HYPERLINK("https://creighton-primo.hosted.exlibrisgroup.com/primo-explore/search?tab=default_tab&amp;search_scope=EVERYTHING&amp;vid=01CRU&amp;lang=en_US&amp;offset=0&amp;query=any,contains,991003923679702656","Catalog Record")</f>
        <v>Catalog Record</v>
      </c>
      <c r="AT636" s="6" t="str">
        <f>HYPERLINK("http://www.worldcat.org/oclc/1877847","WorldCat Record")</f>
        <v>WorldCat Record</v>
      </c>
      <c r="AU636" s="3" t="s">
        <v>7657</v>
      </c>
      <c r="AV636" s="3" t="s">
        <v>7658</v>
      </c>
      <c r="AW636" s="3" t="s">
        <v>7659</v>
      </c>
      <c r="AX636" s="3" t="s">
        <v>7659</v>
      </c>
      <c r="AY636" s="3" t="s">
        <v>7660</v>
      </c>
      <c r="AZ636" s="3" t="s">
        <v>74</v>
      </c>
      <c r="BC636" s="3" t="s">
        <v>7661</v>
      </c>
      <c r="BD636" s="3" t="s">
        <v>7662</v>
      </c>
    </row>
    <row r="637" spans="1:56" ht="57.75" customHeight="1" x14ac:dyDescent="0.25">
      <c r="A637" s="7" t="s">
        <v>59</v>
      </c>
      <c r="B637" s="2" t="s">
        <v>7663</v>
      </c>
      <c r="C637" s="2" t="s">
        <v>7664</v>
      </c>
      <c r="D637" s="2" t="s">
        <v>7665</v>
      </c>
      <c r="E637" s="3" t="s">
        <v>917</v>
      </c>
      <c r="F637" s="3" t="s">
        <v>69</v>
      </c>
      <c r="G637" s="3" t="s">
        <v>60</v>
      </c>
      <c r="H637" s="3" t="s">
        <v>59</v>
      </c>
      <c r="I637" s="3" t="s">
        <v>59</v>
      </c>
      <c r="J637" s="3" t="s">
        <v>61</v>
      </c>
      <c r="K637" s="2" t="s">
        <v>7666</v>
      </c>
      <c r="L637" s="2" t="s">
        <v>7667</v>
      </c>
      <c r="M637" s="3" t="s">
        <v>656</v>
      </c>
      <c r="N637" s="2" t="s">
        <v>7668</v>
      </c>
      <c r="O637" s="3" t="s">
        <v>64</v>
      </c>
      <c r="P637" s="3" t="s">
        <v>3297</v>
      </c>
      <c r="R637" s="3" t="s">
        <v>67</v>
      </c>
      <c r="S637" s="4">
        <v>0</v>
      </c>
      <c r="T637" s="4">
        <v>1</v>
      </c>
      <c r="V637" s="5" t="s">
        <v>7346</v>
      </c>
      <c r="W637" s="5" t="s">
        <v>4124</v>
      </c>
      <c r="X637" s="5" t="s">
        <v>4124</v>
      </c>
      <c r="Y637" s="4">
        <v>249</v>
      </c>
      <c r="Z637" s="4">
        <v>218</v>
      </c>
      <c r="AA637" s="4">
        <v>242</v>
      </c>
      <c r="AB637" s="4">
        <v>2</v>
      </c>
      <c r="AC637" s="4">
        <v>2</v>
      </c>
      <c r="AD637" s="4">
        <v>5</v>
      </c>
      <c r="AE637" s="4">
        <v>5</v>
      </c>
      <c r="AF637" s="4">
        <v>0</v>
      </c>
      <c r="AG637" s="4">
        <v>0</v>
      </c>
      <c r="AH637" s="4">
        <v>1</v>
      </c>
      <c r="AI637" s="4">
        <v>1</v>
      </c>
      <c r="AJ637" s="4">
        <v>3</v>
      </c>
      <c r="AK637" s="4">
        <v>3</v>
      </c>
      <c r="AL637" s="4">
        <v>1</v>
      </c>
      <c r="AM637" s="4">
        <v>1</v>
      </c>
      <c r="AN637" s="4">
        <v>0</v>
      </c>
      <c r="AO637" s="4">
        <v>0</v>
      </c>
      <c r="AP637" s="3" t="s">
        <v>59</v>
      </c>
      <c r="AQ637" s="3" t="s">
        <v>69</v>
      </c>
      <c r="AR637" s="6" t="str">
        <f>HYPERLINK("http://catalog.hathitrust.org/Record/000837910","HathiTrust Record")</f>
        <v>HathiTrust Record</v>
      </c>
      <c r="AS637" s="6" t="str">
        <f>HYPERLINK("https://creighton-primo.hosted.exlibrisgroup.com/primo-explore/search?tab=default_tab&amp;search_scope=EVERYTHING&amp;vid=01CRU&amp;lang=en_US&amp;offset=0&amp;query=any,contains,991002983929702656","Catalog Record")</f>
        <v>Catalog Record</v>
      </c>
      <c r="AT637" s="6" t="str">
        <f>HYPERLINK("http://www.worldcat.org/oclc/556373","WorldCat Record")</f>
        <v>WorldCat Record</v>
      </c>
      <c r="AU637" s="3" t="s">
        <v>7669</v>
      </c>
      <c r="AV637" s="3" t="s">
        <v>7670</v>
      </c>
      <c r="AW637" s="3" t="s">
        <v>7671</v>
      </c>
      <c r="AX637" s="3" t="s">
        <v>7671</v>
      </c>
      <c r="AY637" s="3" t="s">
        <v>7672</v>
      </c>
      <c r="AZ637" s="3" t="s">
        <v>74</v>
      </c>
      <c r="BC637" s="3" t="s">
        <v>7673</v>
      </c>
      <c r="BD637" s="3" t="s">
        <v>7674</v>
      </c>
    </row>
    <row r="638" spans="1:56" ht="57.75" customHeight="1" x14ac:dyDescent="0.25">
      <c r="A638" s="7" t="s">
        <v>59</v>
      </c>
      <c r="B638" s="2" t="s">
        <v>7663</v>
      </c>
      <c r="C638" s="2" t="s">
        <v>7664</v>
      </c>
      <c r="D638" s="2" t="s">
        <v>7665</v>
      </c>
      <c r="E638" s="3" t="s">
        <v>904</v>
      </c>
      <c r="F638" s="3" t="s">
        <v>69</v>
      </c>
      <c r="G638" s="3" t="s">
        <v>60</v>
      </c>
      <c r="H638" s="3" t="s">
        <v>59</v>
      </c>
      <c r="I638" s="3" t="s">
        <v>59</v>
      </c>
      <c r="J638" s="3" t="s">
        <v>61</v>
      </c>
      <c r="K638" s="2" t="s">
        <v>7666</v>
      </c>
      <c r="L638" s="2" t="s">
        <v>7667</v>
      </c>
      <c r="M638" s="3" t="s">
        <v>656</v>
      </c>
      <c r="N638" s="2" t="s">
        <v>7668</v>
      </c>
      <c r="O638" s="3" t="s">
        <v>64</v>
      </c>
      <c r="P638" s="3" t="s">
        <v>3297</v>
      </c>
      <c r="R638" s="3" t="s">
        <v>67</v>
      </c>
      <c r="S638" s="4">
        <v>1</v>
      </c>
      <c r="T638" s="4">
        <v>1</v>
      </c>
      <c r="U638" s="5" t="s">
        <v>7346</v>
      </c>
      <c r="V638" s="5" t="s">
        <v>7346</v>
      </c>
      <c r="W638" s="5" t="s">
        <v>4124</v>
      </c>
      <c r="X638" s="5" t="s">
        <v>4124</v>
      </c>
      <c r="Y638" s="4">
        <v>249</v>
      </c>
      <c r="Z638" s="4">
        <v>218</v>
      </c>
      <c r="AA638" s="4">
        <v>242</v>
      </c>
      <c r="AB638" s="4">
        <v>2</v>
      </c>
      <c r="AC638" s="4">
        <v>2</v>
      </c>
      <c r="AD638" s="4">
        <v>5</v>
      </c>
      <c r="AE638" s="4">
        <v>5</v>
      </c>
      <c r="AF638" s="4">
        <v>0</v>
      </c>
      <c r="AG638" s="4">
        <v>0</v>
      </c>
      <c r="AH638" s="4">
        <v>1</v>
      </c>
      <c r="AI638" s="4">
        <v>1</v>
      </c>
      <c r="AJ638" s="4">
        <v>3</v>
      </c>
      <c r="AK638" s="4">
        <v>3</v>
      </c>
      <c r="AL638" s="4">
        <v>1</v>
      </c>
      <c r="AM638" s="4">
        <v>1</v>
      </c>
      <c r="AN638" s="4">
        <v>0</v>
      </c>
      <c r="AO638" s="4">
        <v>0</v>
      </c>
      <c r="AP638" s="3" t="s">
        <v>59</v>
      </c>
      <c r="AQ638" s="3" t="s">
        <v>69</v>
      </c>
      <c r="AR638" s="6" t="str">
        <f>HYPERLINK("http://catalog.hathitrust.org/Record/000837910","HathiTrust Record")</f>
        <v>HathiTrust Record</v>
      </c>
      <c r="AS638" s="6" t="str">
        <f>HYPERLINK("https://creighton-primo.hosted.exlibrisgroup.com/primo-explore/search?tab=default_tab&amp;search_scope=EVERYTHING&amp;vid=01CRU&amp;lang=en_US&amp;offset=0&amp;query=any,contains,991002983929702656","Catalog Record")</f>
        <v>Catalog Record</v>
      </c>
      <c r="AT638" s="6" t="str">
        <f>HYPERLINK("http://www.worldcat.org/oclc/556373","WorldCat Record")</f>
        <v>WorldCat Record</v>
      </c>
      <c r="AU638" s="3" t="s">
        <v>7669</v>
      </c>
      <c r="AV638" s="3" t="s">
        <v>7670</v>
      </c>
      <c r="AW638" s="3" t="s">
        <v>7671</v>
      </c>
      <c r="AX638" s="3" t="s">
        <v>7671</v>
      </c>
      <c r="AY638" s="3" t="s">
        <v>7672</v>
      </c>
      <c r="AZ638" s="3" t="s">
        <v>74</v>
      </c>
      <c r="BC638" s="3" t="s">
        <v>7675</v>
      </c>
      <c r="BD638" s="3" t="s">
        <v>7676</v>
      </c>
    </row>
    <row r="639" spans="1:56" ht="57.75" customHeight="1" x14ac:dyDescent="0.25">
      <c r="A639" s="7" t="s">
        <v>59</v>
      </c>
      <c r="B639" s="2" t="s">
        <v>7663</v>
      </c>
      <c r="C639" s="2" t="s">
        <v>7664</v>
      </c>
      <c r="D639" s="2" t="s">
        <v>7665</v>
      </c>
      <c r="E639" s="3" t="s">
        <v>923</v>
      </c>
      <c r="F639" s="3" t="s">
        <v>69</v>
      </c>
      <c r="G639" s="3" t="s">
        <v>60</v>
      </c>
      <c r="H639" s="3" t="s">
        <v>59</v>
      </c>
      <c r="I639" s="3" t="s">
        <v>59</v>
      </c>
      <c r="J639" s="3" t="s">
        <v>61</v>
      </c>
      <c r="K639" s="2" t="s">
        <v>7666</v>
      </c>
      <c r="L639" s="2" t="s">
        <v>7667</v>
      </c>
      <c r="M639" s="3" t="s">
        <v>656</v>
      </c>
      <c r="N639" s="2" t="s">
        <v>7668</v>
      </c>
      <c r="O639" s="3" t="s">
        <v>64</v>
      </c>
      <c r="P639" s="3" t="s">
        <v>3297</v>
      </c>
      <c r="R639" s="3" t="s">
        <v>67</v>
      </c>
      <c r="S639" s="4">
        <v>0</v>
      </c>
      <c r="T639" s="4">
        <v>1</v>
      </c>
      <c r="V639" s="5" t="s">
        <v>7346</v>
      </c>
      <c r="W639" s="5" t="s">
        <v>4124</v>
      </c>
      <c r="X639" s="5" t="s">
        <v>4124</v>
      </c>
      <c r="Y639" s="4">
        <v>249</v>
      </c>
      <c r="Z639" s="4">
        <v>218</v>
      </c>
      <c r="AA639" s="4">
        <v>242</v>
      </c>
      <c r="AB639" s="4">
        <v>2</v>
      </c>
      <c r="AC639" s="4">
        <v>2</v>
      </c>
      <c r="AD639" s="4">
        <v>5</v>
      </c>
      <c r="AE639" s="4">
        <v>5</v>
      </c>
      <c r="AF639" s="4">
        <v>0</v>
      </c>
      <c r="AG639" s="4">
        <v>0</v>
      </c>
      <c r="AH639" s="4">
        <v>1</v>
      </c>
      <c r="AI639" s="4">
        <v>1</v>
      </c>
      <c r="AJ639" s="4">
        <v>3</v>
      </c>
      <c r="AK639" s="4">
        <v>3</v>
      </c>
      <c r="AL639" s="4">
        <v>1</v>
      </c>
      <c r="AM639" s="4">
        <v>1</v>
      </c>
      <c r="AN639" s="4">
        <v>0</v>
      </c>
      <c r="AO639" s="4">
        <v>0</v>
      </c>
      <c r="AP639" s="3" t="s">
        <v>59</v>
      </c>
      <c r="AQ639" s="3" t="s">
        <v>69</v>
      </c>
      <c r="AR639" s="6" t="str">
        <f>HYPERLINK("http://catalog.hathitrust.org/Record/000837910","HathiTrust Record")</f>
        <v>HathiTrust Record</v>
      </c>
      <c r="AS639" s="6" t="str">
        <f>HYPERLINK("https://creighton-primo.hosted.exlibrisgroup.com/primo-explore/search?tab=default_tab&amp;search_scope=EVERYTHING&amp;vid=01CRU&amp;lang=en_US&amp;offset=0&amp;query=any,contains,991002983929702656","Catalog Record")</f>
        <v>Catalog Record</v>
      </c>
      <c r="AT639" s="6" t="str">
        <f>HYPERLINK("http://www.worldcat.org/oclc/556373","WorldCat Record")</f>
        <v>WorldCat Record</v>
      </c>
      <c r="AU639" s="3" t="s">
        <v>7669</v>
      </c>
      <c r="AV639" s="3" t="s">
        <v>7670</v>
      </c>
      <c r="AW639" s="3" t="s">
        <v>7671</v>
      </c>
      <c r="AX639" s="3" t="s">
        <v>7671</v>
      </c>
      <c r="AY639" s="3" t="s">
        <v>7672</v>
      </c>
      <c r="AZ639" s="3" t="s">
        <v>74</v>
      </c>
      <c r="BC639" s="3" t="s">
        <v>7677</v>
      </c>
      <c r="BD639" s="3" t="s">
        <v>7678</v>
      </c>
    </row>
    <row r="640" spans="1:56" ht="57.75" customHeight="1" x14ac:dyDescent="0.25">
      <c r="A640" s="7" t="s">
        <v>59</v>
      </c>
      <c r="B640" s="2" t="s">
        <v>7679</v>
      </c>
      <c r="C640" s="2" t="s">
        <v>7680</v>
      </c>
      <c r="D640" s="2" t="s">
        <v>7681</v>
      </c>
      <c r="F640" s="3" t="s">
        <v>59</v>
      </c>
      <c r="G640" s="3" t="s">
        <v>60</v>
      </c>
      <c r="H640" s="3" t="s">
        <v>59</v>
      </c>
      <c r="I640" s="3" t="s">
        <v>59</v>
      </c>
      <c r="J640" s="3" t="s">
        <v>61</v>
      </c>
      <c r="K640" s="2" t="s">
        <v>7682</v>
      </c>
      <c r="L640" s="2" t="s">
        <v>7683</v>
      </c>
      <c r="M640" s="3" t="s">
        <v>436</v>
      </c>
      <c r="O640" s="3" t="s">
        <v>64</v>
      </c>
      <c r="P640" s="3" t="s">
        <v>1687</v>
      </c>
      <c r="Q640" s="2" t="s">
        <v>7684</v>
      </c>
      <c r="R640" s="3" t="s">
        <v>67</v>
      </c>
      <c r="S640" s="4">
        <v>4</v>
      </c>
      <c r="T640" s="4">
        <v>4</v>
      </c>
      <c r="U640" s="5" t="s">
        <v>7685</v>
      </c>
      <c r="V640" s="5" t="s">
        <v>7685</v>
      </c>
      <c r="W640" s="5" t="s">
        <v>7686</v>
      </c>
      <c r="X640" s="5" t="s">
        <v>7686</v>
      </c>
      <c r="Y640" s="4">
        <v>32</v>
      </c>
      <c r="Z640" s="4">
        <v>9</v>
      </c>
      <c r="AA640" s="4">
        <v>9</v>
      </c>
      <c r="AB640" s="4">
        <v>1</v>
      </c>
      <c r="AC640" s="4">
        <v>1</v>
      </c>
      <c r="AD640" s="4">
        <v>0</v>
      </c>
      <c r="AE640" s="4">
        <v>0</v>
      </c>
      <c r="AF640" s="4">
        <v>0</v>
      </c>
      <c r="AG640" s="4">
        <v>0</v>
      </c>
      <c r="AH640" s="4">
        <v>0</v>
      </c>
      <c r="AI640" s="4">
        <v>0</v>
      </c>
      <c r="AJ640" s="4">
        <v>0</v>
      </c>
      <c r="AK640" s="4">
        <v>0</v>
      </c>
      <c r="AL640" s="4">
        <v>0</v>
      </c>
      <c r="AM640" s="4">
        <v>0</v>
      </c>
      <c r="AN640" s="4">
        <v>0</v>
      </c>
      <c r="AO640" s="4">
        <v>0</v>
      </c>
      <c r="AP640" s="3" t="s">
        <v>59</v>
      </c>
      <c r="AQ640" s="3" t="s">
        <v>59</v>
      </c>
      <c r="AS640" s="6" t="str">
        <f>HYPERLINK("https://creighton-primo.hosted.exlibrisgroup.com/primo-explore/search?tab=default_tab&amp;search_scope=EVERYTHING&amp;vid=01CRU&amp;lang=en_US&amp;offset=0&amp;query=any,contains,991004787859702656","Catalog Record")</f>
        <v>Catalog Record</v>
      </c>
      <c r="AT640" s="6" t="str">
        <f>HYPERLINK("http://www.worldcat.org/oclc/5156889","WorldCat Record")</f>
        <v>WorldCat Record</v>
      </c>
      <c r="AU640" s="3" t="s">
        <v>7687</v>
      </c>
      <c r="AV640" s="3" t="s">
        <v>7688</v>
      </c>
      <c r="AW640" s="3" t="s">
        <v>7689</v>
      </c>
      <c r="AX640" s="3" t="s">
        <v>7689</v>
      </c>
      <c r="AY640" s="3" t="s">
        <v>7690</v>
      </c>
      <c r="AZ640" s="3" t="s">
        <v>74</v>
      </c>
      <c r="BB640" s="3" t="s">
        <v>7691</v>
      </c>
      <c r="BC640" s="3" t="s">
        <v>7692</v>
      </c>
      <c r="BD640" s="3" t="s">
        <v>7693</v>
      </c>
    </row>
    <row r="641" spans="1:56" ht="57.75" customHeight="1" x14ac:dyDescent="0.25">
      <c r="A641" s="7" t="s">
        <v>59</v>
      </c>
      <c r="B641" s="2" t="s">
        <v>7694</v>
      </c>
      <c r="C641" s="2" t="s">
        <v>7695</v>
      </c>
      <c r="D641" s="2" t="s">
        <v>7696</v>
      </c>
      <c r="F641" s="3" t="s">
        <v>59</v>
      </c>
      <c r="G641" s="3" t="s">
        <v>60</v>
      </c>
      <c r="H641" s="3" t="s">
        <v>59</v>
      </c>
      <c r="I641" s="3" t="s">
        <v>59</v>
      </c>
      <c r="J641" s="3" t="s">
        <v>61</v>
      </c>
      <c r="K641" s="2" t="s">
        <v>7697</v>
      </c>
      <c r="L641" s="2" t="s">
        <v>7698</v>
      </c>
      <c r="M641" s="3" t="s">
        <v>835</v>
      </c>
      <c r="O641" s="3" t="s">
        <v>64</v>
      </c>
      <c r="P641" s="3" t="s">
        <v>405</v>
      </c>
      <c r="R641" s="3" t="s">
        <v>67</v>
      </c>
      <c r="S641" s="4">
        <v>3</v>
      </c>
      <c r="T641" s="4">
        <v>3</v>
      </c>
      <c r="U641" s="5" t="s">
        <v>7699</v>
      </c>
      <c r="V641" s="5" t="s">
        <v>7699</v>
      </c>
      <c r="W641" s="5" t="s">
        <v>7221</v>
      </c>
      <c r="X641" s="5" t="s">
        <v>7221</v>
      </c>
      <c r="Y641" s="4">
        <v>345</v>
      </c>
      <c r="Z641" s="4">
        <v>247</v>
      </c>
      <c r="AA641" s="4">
        <v>266</v>
      </c>
      <c r="AB641" s="4">
        <v>3</v>
      </c>
      <c r="AC641" s="4">
        <v>3</v>
      </c>
      <c r="AD641" s="4">
        <v>8</v>
      </c>
      <c r="AE641" s="4">
        <v>9</v>
      </c>
      <c r="AF641" s="4">
        <v>1</v>
      </c>
      <c r="AG641" s="4">
        <v>2</v>
      </c>
      <c r="AH641" s="4">
        <v>4</v>
      </c>
      <c r="AI641" s="4">
        <v>4</v>
      </c>
      <c r="AJ641" s="4">
        <v>4</v>
      </c>
      <c r="AK641" s="4">
        <v>5</v>
      </c>
      <c r="AL641" s="4">
        <v>2</v>
      </c>
      <c r="AM641" s="4">
        <v>2</v>
      </c>
      <c r="AN641" s="4">
        <v>0</v>
      </c>
      <c r="AO641" s="4">
        <v>0</v>
      </c>
      <c r="AP641" s="3" t="s">
        <v>59</v>
      </c>
      <c r="AQ641" s="3" t="s">
        <v>69</v>
      </c>
      <c r="AR641" s="6" t="str">
        <f>HYPERLINK("http://catalog.hathitrust.org/Record/000712066","HathiTrust Record")</f>
        <v>HathiTrust Record</v>
      </c>
      <c r="AS641" s="6" t="str">
        <f>HYPERLINK("https://creighton-primo.hosted.exlibrisgroup.com/primo-explore/search?tab=default_tab&amp;search_scope=EVERYTHING&amp;vid=01CRU&amp;lang=en_US&amp;offset=0&amp;query=any,contains,991004851489702656","Catalog Record")</f>
        <v>Catalog Record</v>
      </c>
      <c r="AT641" s="6" t="str">
        <f>HYPERLINK("http://www.worldcat.org/oclc/5614145","WorldCat Record")</f>
        <v>WorldCat Record</v>
      </c>
      <c r="AU641" s="3" t="s">
        <v>7700</v>
      </c>
      <c r="AV641" s="3" t="s">
        <v>7701</v>
      </c>
      <c r="AW641" s="3" t="s">
        <v>7702</v>
      </c>
      <c r="AX641" s="3" t="s">
        <v>7702</v>
      </c>
      <c r="AY641" s="3" t="s">
        <v>7703</v>
      </c>
      <c r="AZ641" s="3" t="s">
        <v>74</v>
      </c>
      <c r="BB641" s="3" t="s">
        <v>7704</v>
      </c>
      <c r="BC641" s="3" t="s">
        <v>7705</v>
      </c>
      <c r="BD641" s="3" t="s">
        <v>7706</v>
      </c>
    </row>
    <row r="642" spans="1:56" ht="57.75" customHeight="1" x14ac:dyDescent="0.25">
      <c r="A642" s="7" t="s">
        <v>59</v>
      </c>
      <c r="B642" s="2" t="s">
        <v>7707</v>
      </c>
      <c r="C642" s="2" t="s">
        <v>7708</v>
      </c>
      <c r="D642" s="2" t="s">
        <v>7709</v>
      </c>
      <c r="F642" s="3" t="s">
        <v>59</v>
      </c>
      <c r="G642" s="3" t="s">
        <v>60</v>
      </c>
      <c r="H642" s="3" t="s">
        <v>59</v>
      </c>
      <c r="I642" s="3" t="s">
        <v>59</v>
      </c>
      <c r="J642" s="3" t="s">
        <v>61</v>
      </c>
      <c r="K642" s="2" t="s">
        <v>7710</v>
      </c>
      <c r="L642" s="2" t="s">
        <v>7711</v>
      </c>
      <c r="M642" s="3" t="s">
        <v>7712</v>
      </c>
      <c r="O642" s="3" t="s">
        <v>64</v>
      </c>
      <c r="P642" s="3" t="s">
        <v>1078</v>
      </c>
      <c r="R642" s="3" t="s">
        <v>67</v>
      </c>
      <c r="S642" s="4">
        <v>5</v>
      </c>
      <c r="T642" s="4">
        <v>5</v>
      </c>
      <c r="U642" s="5" t="s">
        <v>7713</v>
      </c>
      <c r="V642" s="5" t="s">
        <v>7713</v>
      </c>
      <c r="W642" s="5" t="s">
        <v>6631</v>
      </c>
      <c r="X642" s="5" t="s">
        <v>6631</v>
      </c>
      <c r="Y642" s="4">
        <v>102</v>
      </c>
      <c r="Z642" s="4">
        <v>90</v>
      </c>
      <c r="AA642" s="4">
        <v>335</v>
      </c>
      <c r="AB642" s="4">
        <v>1</v>
      </c>
      <c r="AC642" s="4">
        <v>2</v>
      </c>
      <c r="AD642" s="4">
        <v>3</v>
      </c>
      <c r="AE642" s="4">
        <v>16</v>
      </c>
      <c r="AF642" s="4">
        <v>2</v>
      </c>
      <c r="AG642" s="4">
        <v>7</v>
      </c>
      <c r="AH642" s="4">
        <v>0</v>
      </c>
      <c r="AI642" s="4">
        <v>1</v>
      </c>
      <c r="AJ642" s="4">
        <v>1</v>
      </c>
      <c r="AK642" s="4">
        <v>10</v>
      </c>
      <c r="AL642" s="4">
        <v>0</v>
      </c>
      <c r="AM642" s="4">
        <v>1</v>
      </c>
      <c r="AN642" s="4">
        <v>0</v>
      </c>
      <c r="AO642" s="4">
        <v>0</v>
      </c>
      <c r="AP642" s="3" t="s">
        <v>69</v>
      </c>
      <c r="AQ642" s="3" t="s">
        <v>59</v>
      </c>
      <c r="AR642" s="6" t="str">
        <f>HYPERLINK("http://catalog.hathitrust.org/Record/001500996","HathiTrust Record")</f>
        <v>HathiTrust Record</v>
      </c>
      <c r="AS642" s="6" t="str">
        <f>HYPERLINK("https://creighton-primo.hosted.exlibrisgroup.com/primo-explore/search?tab=default_tab&amp;search_scope=EVERYTHING&amp;vid=01CRU&amp;lang=en_US&amp;offset=0&amp;query=any,contains,991004164619702656","Catalog Record")</f>
        <v>Catalog Record</v>
      </c>
      <c r="AT642" s="6" t="str">
        <f>HYPERLINK("http://www.worldcat.org/oclc/2562822","WorldCat Record")</f>
        <v>WorldCat Record</v>
      </c>
      <c r="AU642" s="3" t="s">
        <v>7714</v>
      </c>
      <c r="AV642" s="3" t="s">
        <v>7715</v>
      </c>
      <c r="AW642" s="3" t="s">
        <v>7716</v>
      </c>
      <c r="AX642" s="3" t="s">
        <v>7716</v>
      </c>
      <c r="AY642" s="3" t="s">
        <v>7717</v>
      </c>
      <c r="AZ642" s="3" t="s">
        <v>74</v>
      </c>
      <c r="BC642" s="3" t="s">
        <v>7718</v>
      </c>
      <c r="BD642" s="3" t="s">
        <v>7719</v>
      </c>
    </row>
    <row r="643" spans="1:56" ht="57.75" customHeight="1" x14ac:dyDescent="0.25">
      <c r="A643" s="7" t="s">
        <v>59</v>
      </c>
      <c r="B643" s="2" t="s">
        <v>7720</v>
      </c>
      <c r="C643" s="2" t="s">
        <v>7721</v>
      </c>
      <c r="D643" s="2" t="s">
        <v>7722</v>
      </c>
      <c r="F643" s="3" t="s">
        <v>59</v>
      </c>
      <c r="G643" s="3" t="s">
        <v>60</v>
      </c>
      <c r="H643" s="3" t="s">
        <v>59</v>
      </c>
      <c r="I643" s="3" t="s">
        <v>59</v>
      </c>
      <c r="J643" s="3" t="s">
        <v>61</v>
      </c>
      <c r="K643" s="2" t="s">
        <v>7723</v>
      </c>
      <c r="L643" s="2" t="s">
        <v>7724</v>
      </c>
      <c r="M643" s="3" t="s">
        <v>4353</v>
      </c>
      <c r="O643" s="3" t="s">
        <v>64</v>
      </c>
      <c r="P643" s="3" t="s">
        <v>932</v>
      </c>
      <c r="R643" s="3" t="s">
        <v>67</v>
      </c>
      <c r="S643" s="4">
        <v>4</v>
      </c>
      <c r="T643" s="4">
        <v>4</v>
      </c>
      <c r="U643" s="5" t="s">
        <v>2046</v>
      </c>
      <c r="V643" s="5" t="s">
        <v>2046</v>
      </c>
      <c r="W643" s="5" t="s">
        <v>7725</v>
      </c>
      <c r="X643" s="5" t="s">
        <v>7725</v>
      </c>
      <c r="Y643" s="4">
        <v>95</v>
      </c>
      <c r="Z643" s="4">
        <v>86</v>
      </c>
      <c r="AA643" s="4">
        <v>97</v>
      </c>
      <c r="AB643" s="4">
        <v>1</v>
      </c>
      <c r="AC643" s="4">
        <v>1</v>
      </c>
      <c r="AD643" s="4">
        <v>5</v>
      </c>
      <c r="AE643" s="4">
        <v>6</v>
      </c>
      <c r="AF643" s="4">
        <v>1</v>
      </c>
      <c r="AG643" s="4">
        <v>1</v>
      </c>
      <c r="AH643" s="4">
        <v>1</v>
      </c>
      <c r="AI643" s="4">
        <v>2</v>
      </c>
      <c r="AJ643" s="4">
        <v>4</v>
      </c>
      <c r="AK643" s="4">
        <v>4</v>
      </c>
      <c r="AL643" s="4">
        <v>0</v>
      </c>
      <c r="AM643" s="4">
        <v>0</v>
      </c>
      <c r="AN643" s="4">
        <v>0</v>
      </c>
      <c r="AO643" s="4">
        <v>0</v>
      </c>
      <c r="AP643" s="3" t="s">
        <v>59</v>
      </c>
      <c r="AQ643" s="3" t="s">
        <v>69</v>
      </c>
      <c r="AR643" s="6" t="str">
        <f>HYPERLINK("http://catalog.hathitrust.org/Record/007232361","HathiTrust Record")</f>
        <v>HathiTrust Record</v>
      </c>
      <c r="AS643" s="6" t="str">
        <f>HYPERLINK("https://creighton-primo.hosted.exlibrisgroup.com/primo-explore/search?tab=default_tab&amp;search_scope=EVERYTHING&amp;vid=01CRU&amp;lang=en_US&amp;offset=0&amp;query=any,contains,991003815529702656","Catalog Record")</f>
        <v>Catalog Record</v>
      </c>
      <c r="AT643" s="6" t="str">
        <f>HYPERLINK("http://www.worldcat.org/oclc/1547695","WorldCat Record")</f>
        <v>WorldCat Record</v>
      </c>
      <c r="AU643" s="3" t="s">
        <v>7726</v>
      </c>
      <c r="AV643" s="3" t="s">
        <v>7727</v>
      </c>
      <c r="AW643" s="3" t="s">
        <v>7728</v>
      </c>
      <c r="AX643" s="3" t="s">
        <v>7728</v>
      </c>
      <c r="AY643" s="3" t="s">
        <v>7729</v>
      </c>
      <c r="AZ643" s="3" t="s">
        <v>74</v>
      </c>
      <c r="BC643" s="3" t="s">
        <v>7730</v>
      </c>
      <c r="BD643" s="3" t="s">
        <v>7731</v>
      </c>
    </row>
    <row r="644" spans="1:56" ht="57.75" customHeight="1" x14ac:dyDescent="0.25">
      <c r="A644" s="7" t="s">
        <v>59</v>
      </c>
      <c r="B644" s="2" t="s">
        <v>7732</v>
      </c>
      <c r="C644" s="2" t="s">
        <v>7733</v>
      </c>
      <c r="D644" s="2" t="s">
        <v>7734</v>
      </c>
      <c r="F644" s="3" t="s">
        <v>59</v>
      </c>
      <c r="G644" s="3" t="s">
        <v>60</v>
      </c>
      <c r="H644" s="3" t="s">
        <v>59</v>
      </c>
      <c r="I644" s="3" t="s">
        <v>59</v>
      </c>
      <c r="J644" s="3" t="s">
        <v>61</v>
      </c>
      <c r="K644" s="2" t="s">
        <v>7735</v>
      </c>
      <c r="L644" s="2" t="s">
        <v>7592</v>
      </c>
      <c r="M644" s="3" t="s">
        <v>224</v>
      </c>
      <c r="O644" s="3" t="s">
        <v>64</v>
      </c>
      <c r="P644" s="3" t="s">
        <v>65</v>
      </c>
      <c r="R644" s="3" t="s">
        <v>67</v>
      </c>
      <c r="S644" s="4">
        <v>1</v>
      </c>
      <c r="T644" s="4">
        <v>1</v>
      </c>
      <c r="U644" s="5" t="s">
        <v>7736</v>
      </c>
      <c r="V644" s="5" t="s">
        <v>7736</v>
      </c>
      <c r="W644" s="5" t="s">
        <v>7736</v>
      </c>
      <c r="X644" s="5" t="s">
        <v>7736</v>
      </c>
      <c r="Y644" s="4">
        <v>159</v>
      </c>
      <c r="Z644" s="4">
        <v>139</v>
      </c>
      <c r="AA644" s="4">
        <v>141</v>
      </c>
      <c r="AB644" s="4">
        <v>3</v>
      </c>
      <c r="AC644" s="4">
        <v>3</v>
      </c>
      <c r="AD644" s="4">
        <v>5</v>
      </c>
      <c r="AE644" s="4">
        <v>5</v>
      </c>
      <c r="AF644" s="4">
        <v>2</v>
      </c>
      <c r="AG644" s="4">
        <v>2</v>
      </c>
      <c r="AH644" s="4">
        <v>0</v>
      </c>
      <c r="AI644" s="4">
        <v>0</v>
      </c>
      <c r="AJ644" s="4">
        <v>1</v>
      </c>
      <c r="AK644" s="4">
        <v>1</v>
      </c>
      <c r="AL644" s="4">
        <v>2</v>
      </c>
      <c r="AM644" s="4">
        <v>2</v>
      </c>
      <c r="AN644" s="4">
        <v>0</v>
      </c>
      <c r="AO644" s="4">
        <v>0</v>
      </c>
      <c r="AP644" s="3" t="s">
        <v>59</v>
      </c>
      <c r="AQ644" s="3" t="s">
        <v>69</v>
      </c>
      <c r="AR644" s="6" t="str">
        <f>HYPERLINK("http://catalog.hathitrust.org/Record/008336916","HathiTrust Record")</f>
        <v>HathiTrust Record</v>
      </c>
      <c r="AS644" s="6" t="str">
        <f>HYPERLINK("https://creighton-primo.hosted.exlibrisgroup.com/primo-explore/search?tab=default_tab&amp;search_scope=EVERYTHING&amp;vid=01CRU&amp;lang=en_US&amp;offset=0&amp;query=any,contains,991005183579702656","Catalog Record")</f>
        <v>Catalog Record</v>
      </c>
      <c r="AT644" s="6" t="str">
        <f>HYPERLINK("http://www.worldcat.org/oclc/163126390","WorldCat Record")</f>
        <v>WorldCat Record</v>
      </c>
      <c r="AU644" s="3" t="s">
        <v>7737</v>
      </c>
      <c r="AV644" s="3" t="s">
        <v>7738</v>
      </c>
      <c r="AW644" s="3" t="s">
        <v>7739</v>
      </c>
      <c r="AX644" s="3" t="s">
        <v>7739</v>
      </c>
      <c r="AY644" s="3" t="s">
        <v>7740</v>
      </c>
      <c r="AZ644" s="3" t="s">
        <v>74</v>
      </c>
      <c r="BB644" s="3" t="s">
        <v>7741</v>
      </c>
      <c r="BC644" s="3" t="s">
        <v>7742</v>
      </c>
      <c r="BD644" s="3" t="s">
        <v>7743</v>
      </c>
    </row>
    <row r="645" spans="1:56" ht="57.75" customHeight="1" x14ac:dyDescent="0.25">
      <c r="A645" s="7" t="s">
        <v>59</v>
      </c>
      <c r="B645" s="2" t="s">
        <v>7744</v>
      </c>
      <c r="C645" s="2" t="s">
        <v>7745</v>
      </c>
      <c r="D645" s="2" t="s">
        <v>7746</v>
      </c>
      <c r="F645" s="3" t="s">
        <v>59</v>
      </c>
      <c r="G645" s="3" t="s">
        <v>60</v>
      </c>
      <c r="H645" s="3" t="s">
        <v>59</v>
      </c>
      <c r="I645" s="3" t="s">
        <v>59</v>
      </c>
      <c r="J645" s="3" t="s">
        <v>61</v>
      </c>
      <c r="K645" s="2" t="s">
        <v>7747</v>
      </c>
      <c r="L645" s="2" t="s">
        <v>7748</v>
      </c>
      <c r="M645" s="3" t="s">
        <v>684</v>
      </c>
      <c r="O645" s="3" t="s">
        <v>64</v>
      </c>
      <c r="P645" s="3" t="s">
        <v>630</v>
      </c>
      <c r="R645" s="3" t="s">
        <v>67</v>
      </c>
      <c r="S645" s="4">
        <v>6</v>
      </c>
      <c r="T645" s="4">
        <v>6</v>
      </c>
      <c r="U645" s="5" t="s">
        <v>7749</v>
      </c>
      <c r="V645" s="5" t="s">
        <v>7749</v>
      </c>
      <c r="W645" s="5" t="s">
        <v>6182</v>
      </c>
      <c r="X645" s="5" t="s">
        <v>6182</v>
      </c>
      <c r="Y645" s="4">
        <v>801</v>
      </c>
      <c r="Z645" s="4">
        <v>722</v>
      </c>
      <c r="AA645" s="4">
        <v>1026</v>
      </c>
      <c r="AB645" s="4">
        <v>7</v>
      </c>
      <c r="AC645" s="4">
        <v>9</v>
      </c>
      <c r="AD645" s="4">
        <v>20</v>
      </c>
      <c r="AE645" s="4">
        <v>23</v>
      </c>
      <c r="AF645" s="4">
        <v>8</v>
      </c>
      <c r="AG645" s="4">
        <v>9</v>
      </c>
      <c r="AH645" s="4">
        <v>2</v>
      </c>
      <c r="AI645" s="4">
        <v>2</v>
      </c>
      <c r="AJ645" s="4">
        <v>9</v>
      </c>
      <c r="AK645" s="4">
        <v>9</v>
      </c>
      <c r="AL645" s="4">
        <v>5</v>
      </c>
      <c r="AM645" s="4">
        <v>7</v>
      </c>
      <c r="AN645" s="4">
        <v>0</v>
      </c>
      <c r="AO645" s="4">
        <v>0</v>
      </c>
      <c r="AP645" s="3" t="s">
        <v>59</v>
      </c>
      <c r="AQ645" s="3" t="s">
        <v>69</v>
      </c>
      <c r="AR645" s="6" t="str">
        <f>HYPERLINK("http://catalog.hathitrust.org/Record/004159501","HathiTrust Record")</f>
        <v>HathiTrust Record</v>
      </c>
      <c r="AS645" s="6" t="str">
        <f>HYPERLINK("https://creighton-primo.hosted.exlibrisgroup.com/primo-explore/search?tab=default_tab&amp;search_scope=EVERYTHING&amp;vid=01CRU&amp;lang=en_US&amp;offset=0&amp;query=any,contains,991003666169702656","Catalog Record")</f>
        <v>Catalog Record</v>
      </c>
      <c r="AT645" s="6" t="str">
        <f>HYPERLINK("http://www.worldcat.org/oclc/59522242","WorldCat Record")</f>
        <v>WorldCat Record</v>
      </c>
      <c r="AU645" s="3" t="s">
        <v>7750</v>
      </c>
      <c r="AV645" s="3" t="s">
        <v>7751</v>
      </c>
      <c r="AW645" s="3" t="s">
        <v>7752</v>
      </c>
      <c r="AX645" s="3" t="s">
        <v>7752</v>
      </c>
      <c r="AY645" s="3" t="s">
        <v>7753</v>
      </c>
      <c r="AZ645" s="3" t="s">
        <v>74</v>
      </c>
      <c r="BB645" s="3" t="s">
        <v>7754</v>
      </c>
      <c r="BC645" s="3" t="s">
        <v>7755</v>
      </c>
      <c r="BD645" s="3" t="s">
        <v>7756</v>
      </c>
    </row>
    <row r="646" spans="1:56" ht="57.75" customHeight="1" x14ac:dyDescent="0.25">
      <c r="A646" s="7" t="s">
        <v>59</v>
      </c>
      <c r="B646" s="2" t="s">
        <v>7757</v>
      </c>
      <c r="C646" s="2" t="s">
        <v>7758</v>
      </c>
      <c r="D646" s="2" t="s">
        <v>7759</v>
      </c>
      <c r="F646" s="3" t="s">
        <v>59</v>
      </c>
      <c r="G646" s="3" t="s">
        <v>60</v>
      </c>
      <c r="H646" s="3" t="s">
        <v>59</v>
      </c>
      <c r="I646" s="3" t="s">
        <v>59</v>
      </c>
      <c r="J646" s="3" t="s">
        <v>61</v>
      </c>
      <c r="K646" s="2" t="s">
        <v>7760</v>
      </c>
      <c r="L646" s="2" t="s">
        <v>7761</v>
      </c>
      <c r="M646" s="3" t="s">
        <v>481</v>
      </c>
      <c r="O646" s="3" t="s">
        <v>64</v>
      </c>
      <c r="P646" s="3" t="s">
        <v>2726</v>
      </c>
      <c r="Q646" s="2" t="s">
        <v>7762</v>
      </c>
      <c r="R646" s="3" t="s">
        <v>67</v>
      </c>
      <c r="S646" s="4">
        <v>4</v>
      </c>
      <c r="T646" s="4">
        <v>4</v>
      </c>
      <c r="U646" s="5" t="s">
        <v>7763</v>
      </c>
      <c r="V646" s="5" t="s">
        <v>7763</v>
      </c>
      <c r="W646" s="5" t="s">
        <v>7062</v>
      </c>
      <c r="X646" s="5" t="s">
        <v>7062</v>
      </c>
      <c r="Y646" s="4">
        <v>167</v>
      </c>
      <c r="Z646" s="4">
        <v>121</v>
      </c>
      <c r="AA646" s="4">
        <v>134</v>
      </c>
      <c r="AB646" s="4">
        <v>2</v>
      </c>
      <c r="AC646" s="4">
        <v>2</v>
      </c>
      <c r="AD646" s="4">
        <v>4</v>
      </c>
      <c r="AE646" s="4">
        <v>4</v>
      </c>
      <c r="AF646" s="4">
        <v>0</v>
      </c>
      <c r="AG646" s="4">
        <v>0</v>
      </c>
      <c r="AH646" s="4">
        <v>1</v>
      </c>
      <c r="AI646" s="4">
        <v>1</v>
      </c>
      <c r="AJ646" s="4">
        <v>2</v>
      </c>
      <c r="AK646" s="4">
        <v>2</v>
      </c>
      <c r="AL646" s="4">
        <v>1</v>
      </c>
      <c r="AM646" s="4">
        <v>1</v>
      </c>
      <c r="AN646" s="4">
        <v>0</v>
      </c>
      <c r="AO646" s="4">
        <v>0</v>
      </c>
      <c r="AP646" s="3" t="s">
        <v>59</v>
      </c>
      <c r="AQ646" s="3" t="s">
        <v>69</v>
      </c>
      <c r="AR646" s="6" t="str">
        <f>HYPERLINK("http://catalog.hathitrust.org/Record/001515815","HathiTrust Record")</f>
        <v>HathiTrust Record</v>
      </c>
      <c r="AS646" s="6" t="str">
        <f>HYPERLINK("https://creighton-primo.hosted.exlibrisgroup.com/primo-explore/search?tab=default_tab&amp;search_scope=EVERYTHING&amp;vid=01CRU&amp;lang=en_US&amp;offset=0&amp;query=any,contains,991002818129702656","Catalog Record")</f>
        <v>Catalog Record</v>
      </c>
      <c r="AT646" s="6" t="str">
        <f>HYPERLINK("http://www.worldcat.org/oclc/463290","WorldCat Record")</f>
        <v>WorldCat Record</v>
      </c>
      <c r="AU646" s="3" t="s">
        <v>7764</v>
      </c>
      <c r="AV646" s="3" t="s">
        <v>7765</v>
      </c>
      <c r="AW646" s="3" t="s">
        <v>7766</v>
      </c>
      <c r="AX646" s="3" t="s">
        <v>7766</v>
      </c>
      <c r="AY646" s="3" t="s">
        <v>7767</v>
      </c>
      <c r="AZ646" s="3" t="s">
        <v>74</v>
      </c>
      <c r="BC646" s="3" t="s">
        <v>7768</v>
      </c>
      <c r="BD646" s="3" t="s">
        <v>7769</v>
      </c>
    </row>
    <row r="647" spans="1:56" ht="57.75" customHeight="1" x14ac:dyDescent="0.25">
      <c r="A647" s="7" t="s">
        <v>59</v>
      </c>
      <c r="B647" s="2" t="s">
        <v>7770</v>
      </c>
      <c r="C647" s="2" t="s">
        <v>7771</v>
      </c>
      <c r="D647" s="2" t="s">
        <v>7772</v>
      </c>
      <c r="F647" s="3" t="s">
        <v>59</v>
      </c>
      <c r="G647" s="3" t="s">
        <v>60</v>
      </c>
      <c r="H647" s="3" t="s">
        <v>59</v>
      </c>
      <c r="I647" s="3" t="s">
        <v>59</v>
      </c>
      <c r="J647" s="3" t="s">
        <v>61</v>
      </c>
      <c r="L647" s="2" t="s">
        <v>6129</v>
      </c>
      <c r="M647" s="3" t="s">
        <v>712</v>
      </c>
      <c r="O647" s="3" t="s">
        <v>64</v>
      </c>
      <c r="P647" s="3" t="s">
        <v>405</v>
      </c>
      <c r="Q647" s="2" t="s">
        <v>2019</v>
      </c>
      <c r="R647" s="3" t="s">
        <v>67</v>
      </c>
      <c r="S647" s="4">
        <v>5</v>
      </c>
      <c r="T647" s="4">
        <v>5</v>
      </c>
      <c r="U647" s="5" t="s">
        <v>7773</v>
      </c>
      <c r="V647" s="5" t="s">
        <v>7773</v>
      </c>
      <c r="W647" s="5" t="s">
        <v>4628</v>
      </c>
      <c r="X647" s="5" t="s">
        <v>4628</v>
      </c>
      <c r="Y647" s="4">
        <v>311</v>
      </c>
      <c r="Z647" s="4">
        <v>229</v>
      </c>
      <c r="AA647" s="4">
        <v>229</v>
      </c>
      <c r="AB647" s="4">
        <v>3</v>
      </c>
      <c r="AC647" s="4">
        <v>3</v>
      </c>
      <c r="AD647" s="4">
        <v>10</v>
      </c>
      <c r="AE647" s="4">
        <v>10</v>
      </c>
      <c r="AF647" s="4">
        <v>1</v>
      </c>
      <c r="AG647" s="4">
        <v>1</v>
      </c>
      <c r="AH647" s="4">
        <v>1</v>
      </c>
      <c r="AI647" s="4">
        <v>1</v>
      </c>
      <c r="AJ647" s="4">
        <v>6</v>
      </c>
      <c r="AK647" s="4">
        <v>6</v>
      </c>
      <c r="AL647" s="4">
        <v>2</v>
      </c>
      <c r="AM647" s="4">
        <v>2</v>
      </c>
      <c r="AN647" s="4">
        <v>0</v>
      </c>
      <c r="AO647" s="4">
        <v>0</v>
      </c>
      <c r="AP647" s="3" t="s">
        <v>59</v>
      </c>
      <c r="AQ647" s="3" t="s">
        <v>59</v>
      </c>
      <c r="AS647" s="6" t="str">
        <f>HYPERLINK("https://creighton-primo.hosted.exlibrisgroup.com/primo-explore/search?tab=default_tab&amp;search_scope=EVERYTHING&amp;vid=01CRU&amp;lang=en_US&amp;offset=0&amp;query=any,contains,991002092629702656","Catalog Record")</f>
        <v>Catalog Record</v>
      </c>
      <c r="AT647" s="6" t="str">
        <f>HYPERLINK("http://www.worldcat.org/oclc/26852765","WorldCat Record")</f>
        <v>WorldCat Record</v>
      </c>
      <c r="AU647" s="3" t="s">
        <v>7774</v>
      </c>
      <c r="AV647" s="3" t="s">
        <v>7775</v>
      </c>
      <c r="AW647" s="3" t="s">
        <v>7776</v>
      </c>
      <c r="AX647" s="3" t="s">
        <v>7776</v>
      </c>
      <c r="AY647" s="3" t="s">
        <v>7777</v>
      </c>
      <c r="AZ647" s="3" t="s">
        <v>74</v>
      </c>
      <c r="BB647" s="3" t="s">
        <v>7778</v>
      </c>
      <c r="BC647" s="3" t="s">
        <v>7779</v>
      </c>
      <c r="BD647" s="3" t="s">
        <v>7780</v>
      </c>
    </row>
    <row r="648" spans="1:56" ht="57.75" customHeight="1" x14ac:dyDescent="0.25">
      <c r="A648" s="7" t="s">
        <v>59</v>
      </c>
      <c r="B648" s="2" t="s">
        <v>7781</v>
      </c>
      <c r="C648" s="2" t="s">
        <v>7782</v>
      </c>
      <c r="D648" s="2" t="s">
        <v>7783</v>
      </c>
      <c r="F648" s="3" t="s">
        <v>59</v>
      </c>
      <c r="G648" s="3" t="s">
        <v>60</v>
      </c>
      <c r="H648" s="3" t="s">
        <v>59</v>
      </c>
      <c r="I648" s="3" t="s">
        <v>59</v>
      </c>
      <c r="J648" s="3" t="s">
        <v>61</v>
      </c>
      <c r="L648" s="2" t="s">
        <v>7784</v>
      </c>
      <c r="M648" s="3" t="s">
        <v>835</v>
      </c>
      <c r="O648" s="3" t="s">
        <v>64</v>
      </c>
      <c r="P648" s="3" t="s">
        <v>1078</v>
      </c>
      <c r="Q648" s="2" t="s">
        <v>7785</v>
      </c>
      <c r="R648" s="3" t="s">
        <v>67</v>
      </c>
      <c r="S648" s="4">
        <v>18</v>
      </c>
      <c r="T648" s="4">
        <v>18</v>
      </c>
      <c r="U648" s="5" t="s">
        <v>2938</v>
      </c>
      <c r="V648" s="5" t="s">
        <v>2938</v>
      </c>
      <c r="W648" s="5" t="s">
        <v>7221</v>
      </c>
      <c r="X648" s="5" t="s">
        <v>7221</v>
      </c>
      <c r="Y648" s="4">
        <v>155</v>
      </c>
      <c r="Z648" s="4">
        <v>120</v>
      </c>
      <c r="AA648" s="4">
        <v>120</v>
      </c>
      <c r="AB648" s="4">
        <v>1</v>
      </c>
      <c r="AC648" s="4">
        <v>1</v>
      </c>
      <c r="AD648" s="4">
        <v>2</v>
      </c>
      <c r="AE648" s="4">
        <v>2</v>
      </c>
      <c r="AF648" s="4">
        <v>2</v>
      </c>
      <c r="AG648" s="4">
        <v>2</v>
      </c>
      <c r="AH648" s="4">
        <v>0</v>
      </c>
      <c r="AI648" s="4">
        <v>0</v>
      </c>
      <c r="AJ648" s="4">
        <v>1</v>
      </c>
      <c r="AK648" s="4">
        <v>1</v>
      </c>
      <c r="AL648" s="4">
        <v>0</v>
      </c>
      <c r="AM648" s="4">
        <v>0</v>
      </c>
      <c r="AN648" s="4">
        <v>0</v>
      </c>
      <c r="AO648" s="4">
        <v>0</v>
      </c>
      <c r="AP648" s="3" t="s">
        <v>59</v>
      </c>
      <c r="AQ648" s="3" t="s">
        <v>59</v>
      </c>
      <c r="AS648" s="6" t="str">
        <f>HYPERLINK("https://creighton-primo.hosted.exlibrisgroup.com/primo-explore/search?tab=default_tab&amp;search_scope=EVERYTHING&amp;vid=01CRU&amp;lang=en_US&amp;offset=0&amp;query=any,contains,991004950199702656","Catalog Record")</f>
        <v>Catalog Record</v>
      </c>
      <c r="AT648" s="6" t="str">
        <f>HYPERLINK("http://www.worldcat.org/oclc/6237940","WorldCat Record")</f>
        <v>WorldCat Record</v>
      </c>
      <c r="AU648" s="3" t="s">
        <v>7786</v>
      </c>
      <c r="AV648" s="3" t="s">
        <v>7787</v>
      </c>
      <c r="AW648" s="3" t="s">
        <v>7788</v>
      </c>
      <c r="AX648" s="3" t="s">
        <v>7788</v>
      </c>
      <c r="AY648" s="3" t="s">
        <v>7789</v>
      </c>
      <c r="AZ648" s="3" t="s">
        <v>74</v>
      </c>
      <c r="BC648" s="3" t="s">
        <v>7790</v>
      </c>
      <c r="BD648" s="3" t="s">
        <v>7791</v>
      </c>
    </row>
    <row r="649" spans="1:56" ht="57.75" customHeight="1" x14ac:dyDescent="0.25">
      <c r="A649" s="7" t="s">
        <v>59</v>
      </c>
      <c r="B649" s="2" t="s">
        <v>7792</v>
      </c>
      <c r="C649" s="2" t="s">
        <v>7793</v>
      </c>
      <c r="D649" s="2" t="s">
        <v>7794</v>
      </c>
      <c r="F649" s="3" t="s">
        <v>59</v>
      </c>
      <c r="G649" s="3" t="s">
        <v>60</v>
      </c>
      <c r="H649" s="3" t="s">
        <v>59</v>
      </c>
      <c r="I649" s="3" t="s">
        <v>59</v>
      </c>
      <c r="J649" s="3" t="s">
        <v>61</v>
      </c>
      <c r="L649" s="2" t="s">
        <v>7795</v>
      </c>
      <c r="M649" s="3" t="s">
        <v>2244</v>
      </c>
      <c r="O649" s="3" t="s">
        <v>64</v>
      </c>
      <c r="P649" s="3" t="s">
        <v>2726</v>
      </c>
      <c r="Q649" s="2" t="s">
        <v>7796</v>
      </c>
      <c r="R649" s="3" t="s">
        <v>67</v>
      </c>
      <c r="S649" s="4">
        <v>16</v>
      </c>
      <c r="T649" s="4">
        <v>16</v>
      </c>
      <c r="U649" s="5" t="s">
        <v>2938</v>
      </c>
      <c r="V649" s="5" t="s">
        <v>2938</v>
      </c>
      <c r="W649" s="5" t="s">
        <v>3048</v>
      </c>
      <c r="X649" s="5" t="s">
        <v>3048</v>
      </c>
      <c r="Y649" s="4">
        <v>69</v>
      </c>
      <c r="Z649" s="4">
        <v>36</v>
      </c>
      <c r="AA649" s="4">
        <v>38</v>
      </c>
      <c r="AB649" s="4">
        <v>1</v>
      </c>
      <c r="AC649" s="4">
        <v>1</v>
      </c>
      <c r="AD649" s="4">
        <v>0</v>
      </c>
      <c r="AE649" s="4">
        <v>0</v>
      </c>
      <c r="AF649" s="4">
        <v>0</v>
      </c>
      <c r="AG649" s="4">
        <v>0</v>
      </c>
      <c r="AH649" s="4">
        <v>0</v>
      </c>
      <c r="AI649" s="4">
        <v>0</v>
      </c>
      <c r="AJ649" s="4">
        <v>0</v>
      </c>
      <c r="AK649" s="4">
        <v>0</v>
      </c>
      <c r="AL649" s="4">
        <v>0</v>
      </c>
      <c r="AM649" s="4">
        <v>0</v>
      </c>
      <c r="AN649" s="4">
        <v>0</v>
      </c>
      <c r="AO649" s="4">
        <v>0</v>
      </c>
      <c r="AP649" s="3" t="s">
        <v>59</v>
      </c>
      <c r="AQ649" s="3" t="s">
        <v>69</v>
      </c>
      <c r="AR649" s="6" t="str">
        <f>HYPERLINK("http://catalog.hathitrust.org/Record/002725866","HathiTrust Record")</f>
        <v>HathiTrust Record</v>
      </c>
      <c r="AS649" s="6" t="str">
        <f>HYPERLINK("https://creighton-primo.hosted.exlibrisgroup.com/primo-explore/search?tab=default_tab&amp;search_scope=EVERYTHING&amp;vid=01CRU&amp;lang=en_US&amp;offset=0&amp;query=any,contains,991001866509702656","Catalog Record")</f>
        <v>Catalog Record</v>
      </c>
      <c r="AT649" s="6" t="str">
        <f>HYPERLINK("http://www.worldcat.org/oclc/23463537","WorldCat Record")</f>
        <v>WorldCat Record</v>
      </c>
      <c r="AU649" s="3" t="s">
        <v>7797</v>
      </c>
      <c r="AV649" s="3" t="s">
        <v>7798</v>
      </c>
      <c r="AW649" s="3" t="s">
        <v>7799</v>
      </c>
      <c r="AX649" s="3" t="s">
        <v>7799</v>
      </c>
      <c r="AY649" s="3" t="s">
        <v>7800</v>
      </c>
      <c r="AZ649" s="3" t="s">
        <v>74</v>
      </c>
      <c r="BB649" s="3" t="s">
        <v>7801</v>
      </c>
      <c r="BC649" s="3" t="s">
        <v>7802</v>
      </c>
      <c r="BD649" s="3" t="s">
        <v>7803</v>
      </c>
    </row>
    <row r="650" spans="1:56" ht="57.75" customHeight="1" x14ac:dyDescent="0.25">
      <c r="A650" s="7" t="s">
        <v>59</v>
      </c>
      <c r="B650" s="2" t="s">
        <v>7804</v>
      </c>
      <c r="C650" s="2" t="s">
        <v>7805</v>
      </c>
      <c r="D650" s="2" t="s">
        <v>7806</v>
      </c>
      <c r="F650" s="3" t="s">
        <v>59</v>
      </c>
      <c r="G650" s="3" t="s">
        <v>60</v>
      </c>
      <c r="H650" s="3" t="s">
        <v>59</v>
      </c>
      <c r="I650" s="3" t="s">
        <v>59</v>
      </c>
      <c r="J650" s="3" t="s">
        <v>61</v>
      </c>
      <c r="K650" s="2" t="s">
        <v>7807</v>
      </c>
      <c r="L650" s="2" t="s">
        <v>7808</v>
      </c>
      <c r="M650" s="3" t="s">
        <v>2244</v>
      </c>
      <c r="O650" s="3" t="s">
        <v>64</v>
      </c>
      <c r="P650" s="3" t="s">
        <v>467</v>
      </c>
      <c r="R650" s="3" t="s">
        <v>67</v>
      </c>
      <c r="S650" s="4">
        <v>23</v>
      </c>
      <c r="T650" s="4">
        <v>23</v>
      </c>
      <c r="U650" s="5" t="s">
        <v>764</v>
      </c>
      <c r="V650" s="5" t="s">
        <v>764</v>
      </c>
      <c r="W650" s="5" t="s">
        <v>7809</v>
      </c>
      <c r="X650" s="5" t="s">
        <v>7809</v>
      </c>
      <c r="Y650" s="4">
        <v>931</v>
      </c>
      <c r="Z650" s="4">
        <v>860</v>
      </c>
      <c r="AA650" s="4">
        <v>891</v>
      </c>
      <c r="AB650" s="4">
        <v>5</v>
      </c>
      <c r="AC650" s="4">
        <v>5</v>
      </c>
      <c r="AD650" s="4">
        <v>24</v>
      </c>
      <c r="AE650" s="4">
        <v>24</v>
      </c>
      <c r="AF650" s="4">
        <v>12</v>
      </c>
      <c r="AG650" s="4">
        <v>12</v>
      </c>
      <c r="AH650" s="4">
        <v>5</v>
      </c>
      <c r="AI650" s="4">
        <v>5</v>
      </c>
      <c r="AJ650" s="4">
        <v>12</v>
      </c>
      <c r="AK650" s="4">
        <v>12</v>
      </c>
      <c r="AL650" s="4">
        <v>2</v>
      </c>
      <c r="AM650" s="4">
        <v>2</v>
      </c>
      <c r="AN650" s="4">
        <v>0</v>
      </c>
      <c r="AO650" s="4">
        <v>0</v>
      </c>
      <c r="AP650" s="3" t="s">
        <v>59</v>
      </c>
      <c r="AQ650" s="3" t="s">
        <v>59</v>
      </c>
      <c r="AS650" s="6" t="str">
        <f>HYPERLINK("https://creighton-primo.hosted.exlibrisgroup.com/primo-explore/search?tab=default_tab&amp;search_scope=EVERYTHING&amp;vid=01CRU&amp;lang=en_US&amp;offset=0&amp;query=any,contains,991001756599702656","Catalog Record")</f>
        <v>Catalog Record</v>
      </c>
      <c r="AT650" s="6" t="str">
        <f>HYPERLINK("http://www.worldcat.org/oclc/22210174","WorldCat Record")</f>
        <v>WorldCat Record</v>
      </c>
      <c r="AU650" s="3" t="s">
        <v>7810</v>
      </c>
      <c r="AV650" s="3" t="s">
        <v>7811</v>
      </c>
      <c r="AW650" s="3" t="s">
        <v>7812</v>
      </c>
      <c r="AX650" s="3" t="s">
        <v>7812</v>
      </c>
      <c r="AY650" s="3" t="s">
        <v>7813</v>
      </c>
      <c r="AZ650" s="3" t="s">
        <v>74</v>
      </c>
      <c r="BB650" s="3" t="s">
        <v>7814</v>
      </c>
      <c r="BC650" s="3" t="s">
        <v>7815</v>
      </c>
      <c r="BD650" s="3" t="s">
        <v>7816</v>
      </c>
    </row>
    <row r="651" spans="1:56" ht="57.75" customHeight="1" x14ac:dyDescent="0.25">
      <c r="A651" s="7" t="s">
        <v>59</v>
      </c>
      <c r="B651" s="2" t="s">
        <v>7817</v>
      </c>
      <c r="C651" s="2" t="s">
        <v>7818</v>
      </c>
      <c r="D651" s="2" t="s">
        <v>7819</v>
      </c>
      <c r="F651" s="3" t="s">
        <v>59</v>
      </c>
      <c r="G651" s="3" t="s">
        <v>60</v>
      </c>
      <c r="H651" s="3" t="s">
        <v>59</v>
      </c>
      <c r="I651" s="3" t="s">
        <v>59</v>
      </c>
      <c r="J651" s="3" t="s">
        <v>61</v>
      </c>
      <c r="K651" s="2" t="s">
        <v>7820</v>
      </c>
      <c r="L651" s="2" t="s">
        <v>7821</v>
      </c>
      <c r="M651" s="3" t="s">
        <v>684</v>
      </c>
      <c r="N651" s="2" t="s">
        <v>556</v>
      </c>
      <c r="O651" s="3" t="s">
        <v>64</v>
      </c>
      <c r="P651" s="3" t="s">
        <v>467</v>
      </c>
      <c r="R651" s="3" t="s">
        <v>67</v>
      </c>
      <c r="S651" s="4">
        <v>8</v>
      </c>
      <c r="T651" s="4">
        <v>8</v>
      </c>
      <c r="U651" s="5" t="s">
        <v>764</v>
      </c>
      <c r="V651" s="5" t="s">
        <v>764</v>
      </c>
      <c r="W651" s="5" t="s">
        <v>7822</v>
      </c>
      <c r="X651" s="5" t="s">
        <v>7822</v>
      </c>
      <c r="Y651" s="4">
        <v>1164</v>
      </c>
      <c r="Z651" s="4">
        <v>1115</v>
      </c>
      <c r="AA651" s="4">
        <v>1143</v>
      </c>
      <c r="AB651" s="4">
        <v>7</v>
      </c>
      <c r="AC651" s="4">
        <v>8</v>
      </c>
      <c r="AD651" s="4">
        <v>23</v>
      </c>
      <c r="AE651" s="4">
        <v>24</v>
      </c>
      <c r="AF651" s="4">
        <v>10</v>
      </c>
      <c r="AG651" s="4">
        <v>10</v>
      </c>
      <c r="AH651" s="4">
        <v>5</v>
      </c>
      <c r="AI651" s="4">
        <v>5</v>
      </c>
      <c r="AJ651" s="4">
        <v>11</v>
      </c>
      <c r="AK651" s="4">
        <v>11</v>
      </c>
      <c r="AL651" s="4">
        <v>5</v>
      </c>
      <c r="AM651" s="4">
        <v>6</v>
      </c>
      <c r="AN651" s="4">
        <v>0</v>
      </c>
      <c r="AO651" s="4">
        <v>0</v>
      </c>
      <c r="AP651" s="3" t="s">
        <v>59</v>
      </c>
      <c r="AQ651" s="3" t="s">
        <v>59</v>
      </c>
      <c r="AS651" s="6" t="str">
        <f>HYPERLINK("https://creighton-primo.hosted.exlibrisgroup.com/primo-explore/search?tab=default_tab&amp;search_scope=EVERYTHING&amp;vid=01CRU&amp;lang=en_US&amp;offset=0&amp;query=any,contains,991003262029702656","Catalog Record")</f>
        <v>Catalog Record</v>
      </c>
      <c r="AT651" s="6" t="str">
        <f>HYPERLINK("http://www.worldcat.org/oclc/42290224","WorldCat Record")</f>
        <v>WorldCat Record</v>
      </c>
      <c r="AU651" s="3" t="s">
        <v>7823</v>
      </c>
      <c r="AV651" s="3" t="s">
        <v>7824</v>
      </c>
      <c r="AW651" s="3" t="s">
        <v>7825</v>
      </c>
      <c r="AX651" s="3" t="s">
        <v>7825</v>
      </c>
      <c r="AY651" s="3" t="s">
        <v>7826</v>
      </c>
      <c r="AZ651" s="3" t="s">
        <v>74</v>
      </c>
      <c r="BB651" s="3" t="s">
        <v>7827</v>
      </c>
      <c r="BC651" s="3" t="s">
        <v>7828</v>
      </c>
      <c r="BD651" s="3" t="s">
        <v>7829</v>
      </c>
    </row>
    <row r="652" spans="1:56" ht="57.75" customHeight="1" x14ac:dyDescent="0.25">
      <c r="A652" s="7" t="s">
        <v>59</v>
      </c>
      <c r="B652" s="2" t="s">
        <v>7830</v>
      </c>
      <c r="C652" s="2" t="s">
        <v>7831</v>
      </c>
      <c r="D652" s="2" t="s">
        <v>7832</v>
      </c>
      <c r="F652" s="3" t="s">
        <v>59</v>
      </c>
      <c r="G652" s="3" t="s">
        <v>60</v>
      </c>
      <c r="H652" s="3" t="s">
        <v>59</v>
      </c>
      <c r="I652" s="3" t="s">
        <v>59</v>
      </c>
      <c r="J652" s="3" t="s">
        <v>61</v>
      </c>
      <c r="K652" s="2" t="s">
        <v>7833</v>
      </c>
      <c r="L652" s="2" t="s">
        <v>7834</v>
      </c>
      <c r="M652" s="3" t="s">
        <v>1757</v>
      </c>
      <c r="O652" s="3" t="s">
        <v>64</v>
      </c>
      <c r="P652" s="3" t="s">
        <v>1268</v>
      </c>
      <c r="Q652" s="2" t="s">
        <v>4250</v>
      </c>
      <c r="R652" s="3" t="s">
        <v>67</v>
      </c>
      <c r="S652" s="4">
        <v>6</v>
      </c>
      <c r="T652" s="4">
        <v>6</v>
      </c>
      <c r="U652" s="5" t="s">
        <v>454</v>
      </c>
      <c r="V652" s="5" t="s">
        <v>454</v>
      </c>
      <c r="W652" s="5" t="s">
        <v>7835</v>
      </c>
      <c r="X652" s="5" t="s">
        <v>7835</v>
      </c>
      <c r="Y652" s="4">
        <v>312</v>
      </c>
      <c r="Z652" s="4">
        <v>238</v>
      </c>
      <c r="AA652" s="4">
        <v>410</v>
      </c>
      <c r="AB652" s="4">
        <v>3</v>
      </c>
      <c r="AC652" s="4">
        <v>3</v>
      </c>
      <c r="AD652" s="4">
        <v>12</v>
      </c>
      <c r="AE652" s="4">
        <v>20</v>
      </c>
      <c r="AF652" s="4">
        <v>4</v>
      </c>
      <c r="AG652" s="4">
        <v>8</v>
      </c>
      <c r="AH652" s="4">
        <v>4</v>
      </c>
      <c r="AI652" s="4">
        <v>6</v>
      </c>
      <c r="AJ652" s="4">
        <v>5</v>
      </c>
      <c r="AK652" s="4">
        <v>10</v>
      </c>
      <c r="AL652" s="4">
        <v>2</v>
      </c>
      <c r="AM652" s="4">
        <v>2</v>
      </c>
      <c r="AN652" s="4">
        <v>0</v>
      </c>
      <c r="AO652" s="4">
        <v>0</v>
      </c>
      <c r="AP652" s="3" t="s">
        <v>59</v>
      </c>
      <c r="AQ652" s="3" t="s">
        <v>59</v>
      </c>
      <c r="AS652" s="6" t="str">
        <f>HYPERLINK("https://creighton-primo.hosted.exlibrisgroup.com/primo-explore/search?tab=default_tab&amp;search_scope=EVERYTHING&amp;vid=01CRU&amp;lang=en_US&amp;offset=0&amp;query=any,contains,991002743889702656","Catalog Record")</f>
        <v>Catalog Record</v>
      </c>
      <c r="AT652" s="6" t="str">
        <f>HYPERLINK("http://www.worldcat.org/oclc/36017152","WorldCat Record")</f>
        <v>WorldCat Record</v>
      </c>
      <c r="AU652" s="3" t="s">
        <v>7836</v>
      </c>
      <c r="AV652" s="3" t="s">
        <v>7837</v>
      </c>
      <c r="AW652" s="3" t="s">
        <v>7838</v>
      </c>
      <c r="AX652" s="3" t="s">
        <v>7838</v>
      </c>
      <c r="AY652" s="3" t="s">
        <v>7839</v>
      </c>
      <c r="AZ652" s="3" t="s">
        <v>74</v>
      </c>
      <c r="BB652" s="3" t="s">
        <v>7840</v>
      </c>
      <c r="BC652" s="3" t="s">
        <v>7841</v>
      </c>
      <c r="BD652" s="3" t="s">
        <v>7842</v>
      </c>
    </row>
    <row r="653" spans="1:56" ht="57.75" customHeight="1" x14ac:dyDescent="0.25">
      <c r="A653" s="7" t="s">
        <v>59</v>
      </c>
      <c r="B653" s="2" t="s">
        <v>7843</v>
      </c>
      <c r="C653" s="2" t="s">
        <v>7844</v>
      </c>
      <c r="D653" s="2" t="s">
        <v>7845</v>
      </c>
      <c r="F653" s="3" t="s">
        <v>59</v>
      </c>
      <c r="G653" s="3" t="s">
        <v>60</v>
      </c>
      <c r="H653" s="3" t="s">
        <v>59</v>
      </c>
      <c r="I653" s="3" t="s">
        <v>59</v>
      </c>
      <c r="J653" s="3" t="s">
        <v>61</v>
      </c>
      <c r="K653" s="2" t="s">
        <v>7846</v>
      </c>
      <c r="L653" s="2" t="s">
        <v>7847</v>
      </c>
      <c r="M653" s="3" t="s">
        <v>63</v>
      </c>
      <c r="N653" s="2" t="s">
        <v>7848</v>
      </c>
      <c r="O653" s="3" t="s">
        <v>64</v>
      </c>
      <c r="P653" s="3" t="s">
        <v>467</v>
      </c>
      <c r="R653" s="3" t="s">
        <v>67</v>
      </c>
      <c r="S653" s="4">
        <v>2</v>
      </c>
      <c r="T653" s="4">
        <v>2</v>
      </c>
      <c r="U653" s="5" t="s">
        <v>7849</v>
      </c>
      <c r="V653" s="5" t="s">
        <v>7849</v>
      </c>
      <c r="W653" s="5" t="s">
        <v>7850</v>
      </c>
      <c r="X653" s="5" t="s">
        <v>7850</v>
      </c>
      <c r="Y653" s="4">
        <v>903</v>
      </c>
      <c r="Z653" s="4">
        <v>852</v>
      </c>
      <c r="AA653" s="4">
        <v>852</v>
      </c>
      <c r="AB653" s="4">
        <v>4</v>
      </c>
      <c r="AC653" s="4">
        <v>4</v>
      </c>
      <c r="AD653" s="4">
        <v>12</v>
      </c>
      <c r="AE653" s="4">
        <v>12</v>
      </c>
      <c r="AF653" s="4">
        <v>5</v>
      </c>
      <c r="AG653" s="4">
        <v>5</v>
      </c>
      <c r="AH653" s="4">
        <v>2</v>
      </c>
      <c r="AI653" s="4">
        <v>2</v>
      </c>
      <c r="AJ653" s="4">
        <v>5</v>
      </c>
      <c r="AK653" s="4">
        <v>5</v>
      </c>
      <c r="AL653" s="4">
        <v>2</v>
      </c>
      <c r="AM653" s="4">
        <v>2</v>
      </c>
      <c r="AN653" s="4">
        <v>0</v>
      </c>
      <c r="AO653" s="4">
        <v>0</v>
      </c>
      <c r="AP653" s="3" t="s">
        <v>59</v>
      </c>
      <c r="AQ653" s="3" t="s">
        <v>59</v>
      </c>
      <c r="AS653" s="6" t="str">
        <f>HYPERLINK("https://creighton-primo.hosted.exlibrisgroup.com/primo-explore/search?tab=default_tab&amp;search_scope=EVERYTHING&amp;vid=01CRU&amp;lang=en_US&amp;offset=0&amp;query=any,contains,991005379399702656","Catalog Record")</f>
        <v>Catalog Record</v>
      </c>
      <c r="AT653" s="6" t="str">
        <f>HYPERLINK("http://www.worldcat.org/oclc/49626102","WorldCat Record")</f>
        <v>WorldCat Record</v>
      </c>
      <c r="AU653" s="3" t="s">
        <v>7851</v>
      </c>
      <c r="AV653" s="3" t="s">
        <v>7852</v>
      </c>
      <c r="AW653" s="3" t="s">
        <v>7853</v>
      </c>
      <c r="AX653" s="3" t="s">
        <v>7853</v>
      </c>
      <c r="AY653" s="3" t="s">
        <v>7854</v>
      </c>
      <c r="AZ653" s="3" t="s">
        <v>74</v>
      </c>
      <c r="BB653" s="3" t="s">
        <v>7855</v>
      </c>
      <c r="BC653" s="3" t="s">
        <v>7856</v>
      </c>
      <c r="BD653" s="3" t="s">
        <v>7857</v>
      </c>
    </row>
    <row r="654" spans="1:56" ht="57.75" customHeight="1" x14ac:dyDescent="0.25">
      <c r="A654" s="7" t="s">
        <v>59</v>
      </c>
      <c r="B654" s="2" t="s">
        <v>7858</v>
      </c>
      <c r="C654" s="2" t="s">
        <v>7859</v>
      </c>
      <c r="D654" s="2" t="s">
        <v>7860</v>
      </c>
      <c r="F654" s="3" t="s">
        <v>59</v>
      </c>
      <c r="G654" s="3" t="s">
        <v>60</v>
      </c>
      <c r="H654" s="3" t="s">
        <v>59</v>
      </c>
      <c r="I654" s="3" t="s">
        <v>59</v>
      </c>
      <c r="J654" s="3" t="s">
        <v>61</v>
      </c>
      <c r="K654" s="2" t="s">
        <v>7861</v>
      </c>
      <c r="L654" s="2" t="s">
        <v>7862</v>
      </c>
      <c r="M654" s="3" t="s">
        <v>670</v>
      </c>
      <c r="O654" s="3" t="s">
        <v>64</v>
      </c>
      <c r="P654" s="3" t="s">
        <v>467</v>
      </c>
      <c r="R654" s="3" t="s">
        <v>67</v>
      </c>
      <c r="S654" s="4">
        <v>3</v>
      </c>
      <c r="T654" s="4">
        <v>3</v>
      </c>
      <c r="U654" s="5" t="s">
        <v>953</v>
      </c>
      <c r="V654" s="5" t="s">
        <v>953</v>
      </c>
      <c r="W654" s="5" t="s">
        <v>7221</v>
      </c>
      <c r="X654" s="5" t="s">
        <v>7221</v>
      </c>
      <c r="Y654" s="4">
        <v>512</v>
      </c>
      <c r="Z654" s="4">
        <v>491</v>
      </c>
      <c r="AA654" s="4">
        <v>601</v>
      </c>
      <c r="AB654" s="4">
        <v>2</v>
      </c>
      <c r="AC654" s="4">
        <v>2</v>
      </c>
      <c r="AD654" s="4">
        <v>7</v>
      </c>
      <c r="AE654" s="4">
        <v>11</v>
      </c>
      <c r="AF654" s="4">
        <v>2</v>
      </c>
      <c r="AG654" s="4">
        <v>3</v>
      </c>
      <c r="AH654" s="4">
        <v>2</v>
      </c>
      <c r="AI654" s="4">
        <v>2</v>
      </c>
      <c r="AJ654" s="4">
        <v>3</v>
      </c>
      <c r="AK654" s="4">
        <v>6</v>
      </c>
      <c r="AL654" s="4">
        <v>1</v>
      </c>
      <c r="AM654" s="4">
        <v>1</v>
      </c>
      <c r="AN654" s="4">
        <v>0</v>
      </c>
      <c r="AO654" s="4">
        <v>0</v>
      </c>
      <c r="AP654" s="3" t="s">
        <v>59</v>
      </c>
      <c r="AQ654" s="3" t="s">
        <v>69</v>
      </c>
      <c r="AR654" s="6" t="str">
        <f>HYPERLINK("http://catalog.hathitrust.org/Record/000106980","HathiTrust Record")</f>
        <v>HathiTrust Record</v>
      </c>
      <c r="AS654" s="6" t="str">
        <f>HYPERLINK("https://creighton-primo.hosted.exlibrisgroup.com/primo-explore/search?tab=default_tab&amp;search_scope=EVERYTHING&amp;vid=01CRU&amp;lang=en_US&amp;offset=0&amp;query=any,contains,991005227279702656","Catalog Record")</f>
        <v>Catalog Record</v>
      </c>
      <c r="AT654" s="6" t="str">
        <f>HYPERLINK("http://www.worldcat.org/oclc/8283707","WorldCat Record")</f>
        <v>WorldCat Record</v>
      </c>
      <c r="AU654" s="3" t="s">
        <v>7863</v>
      </c>
      <c r="AV654" s="3" t="s">
        <v>7864</v>
      </c>
      <c r="AW654" s="3" t="s">
        <v>7865</v>
      </c>
      <c r="AX654" s="3" t="s">
        <v>7865</v>
      </c>
      <c r="AY654" s="3" t="s">
        <v>7866</v>
      </c>
      <c r="AZ654" s="3" t="s">
        <v>74</v>
      </c>
      <c r="BB654" s="3" t="s">
        <v>7867</v>
      </c>
      <c r="BC654" s="3" t="s">
        <v>7868</v>
      </c>
      <c r="BD654" s="3" t="s">
        <v>7869</v>
      </c>
    </row>
    <row r="655" spans="1:56" ht="57.75" customHeight="1" x14ac:dyDescent="0.25">
      <c r="A655" s="7" t="s">
        <v>59</v>
      </c>
      <c r="B655" s="2" t="s">
        <v>7870</v>
      </c>
      <c r="C655" s="2" t="s">
        <v>7871</v>
      </c>
      <c r="D655" s="2" t="s">
        <v>7872</v>
      </c>
      <c r="F655" s="3" t="s">
        <v>59</v>
      </c>
      <c r="G655" s="3" t="s">
        <v>60</v>
      </c>
      <c r="H655" s="3" t="s">
        <v>59</v>
      </c>
      <c r="I655" s="3" t="s">
        <v>59</v>
      </c>
      <c r="J655" s="3" t="s">
        <v>61</v>
      </c>
      <c r="K655" s="2" t="s">
        <v>7873</v>
      </c>
      <c r="L655" s="2" t="s">
        <v>7874</v>
      </c>
      <c r="M655" s="3" t="s">
        <v>404</v>
      </c>
      <c r="O655" s="3" t="s">
        <v>64</v>
      </c>
      <c r="P655" s="3" t="s">
        <v>5852</v>
      </c>
      <c r="Q655" s="2" t="s">
        <v>7875</v>
      </c>
      <c r="R655" s="3" t="s">
        <v>67</v>
      </c>
      <c r="S655" s="4">
        <v>1</v>
      </c>
      <c r="T655" s="4">
        <v>1</v>
      </c>
      <c r="U655" s="5" t="s">
        <v>7876</v>
      </c>
      <c r="V655" s="5" t="s">
        <v>7876</v>
      </c>
      <c r="W655" s="5" t="s">
        <v>4267</v>
      </c>
      <c r="X655" s="5" t="s">
        <v>4267</v>
      </c>
      <c r="Y655" s="4">
        <v>170</v>
      </c>
      <c r="Z655" s="4">
        <v>106</v>
      </c>
      <c r="AA655" s="4">
        <v>107</v>
      </c>
      <c r="AB655" s="4">
        <v>2</v>
      </c>
      <c r="AC655" s="4">
        <v>2</v>
      </c>
      <c r="AD655" s="4">
        <v>2</v>
      </c>
      <c r="AE655" s="4">
        <v>2</v>
      </c>
      <c r="AF655" s="4">
        <v>0</v>
      </c>
      <c r="AG655" s="4">
        <v>0</v>
      </c>
      <c r="AH655" s="4">
        <v>0</v>
      </c>
      <c r="AI655" s="4">
        <v>0</v>
      </c>
      <c r="AJ655" s="4">
        <v>1</v>
      </c>
      <c r="AK655" s="4">
        <v>1</v>
      </c>
      <c r="AL655" s="4">
        <v>1</v>
      </c>
      <c r="AM655" s="4">
        <v>1</v>
      </c>
      <c r="AN655" s="4">
        <v>0</v>
      </c>
      <c r="AO655" s="4">
        <v>0</v>
      </c>
      <c r="AP655" s="3" t="s">
        <v>59</v>
      </c>
      <c r="AQ655" s="3" t="s">
        <v>69</v>
      </c>
      <c r="AR655" s="6" t="str">
        <f>HYPERLINK("http://catalog.hathitrust.org/Record/001515819","HathiTrust Record")</f>
        <v>HathiTrust Record</v>
      </c>
      <c r="AS655" s="6" t="str">
        <f>HYPERLINK("https://creighton-primo.hosted.exlibrisgroup.com/primo-explore/search?tab=default_tab&amp;search_scope=EVERYTHING&amp;vid=01CRU&amp;lang=en_US&amp;offset=0&amp;query=any,contains,991000098909702656","Catalog Record")</f>
        <v>Catalog Record</v>
      </c>
      <c r="AT655" s="6" t="str">
        <f>HYPERLINK("http://www.worldcat.org/oclc/43957","WorldCat Record")</f>
        <v>WorldCat Record</v>
      </c>
      <c r="AU655" s="3" t="s">
        <v>7877</v>
      </c>
      <c r="AV655" s="3" t="s">
        <v>7878</v>
      </c>
      <c r="AW655" s="3" t="s">
        <v>7879</v>
      </c>
      <c r="AX655" s="3" t="s">
        <v>7879</v>
      </c>
      <c r="AY655" s="3" t="s">
        <v>7880</v>
      </c>
      <c r="AZ655" s="3" t="s">
        <v>74</v>
      </c>
      <c r="BC655" s="3" t="s">
        <v>7881</v>
      </c>
      <c r="BD655" s="3" t="s">
        <v>7882</v>
      </c>
    </row>
    <row r="656" spans="1:56" ht="57.75" customHeight="1" x14ac:dyDescent="0.25">
      <c r="A656" s="7" t="s">
        <v>59</v>
      </c>
      <c r="B656" s="2" t="s">
        <v>7883</v>
      </c>
      <c r="C656" s="2" t="s">
        <v>7884</v>
      </c>
      <c r="D656" s="2" t="s">
        <v>7885</v>
      </c>
      <c r="F656" s="3" t="s">
        <v>59</v>
      </c>
      <c r="G656" s="3" t="s">
        <v>60</v>
      </c>
      <c r="H656" s="3" t="s">
        <v>59</v>
      </c>
      <c r="I656" s="3" t="s">
        <v>59</v>
      </c>
      <c r="J656" s="3" t="s">
        <v>61</v>
      </c>
      <c r="K656" s="2" t="s">
        <v>7886</v>
      </c>
      <c r="L656" s="2" t="s">
        <v>7887</v>
      </c>
      <c r="M656" s="3" t="s">
        <v>511</v>
      </c>
      <c r="N656" s="2" t="s">
        <v>556</v>
      </c>
      <c r="O656" s="3" t="s">
        <v>64</v>
      </c>
      <c r="P656" s="3" t="s">
        <v>467</v>
      </c>
      <c r="R656" s="3" t="s">
        <v>67</v>
      </c>
      <c r="S656" s="4">
        <v>16</v>
      </c>
      <c r="T656" s="4">
        <v>16</v>
      </c>
      <c r="U656" s="5" t="s">
        <v>700</v>
      </c>
      <c r="V656" s="5" t="s">
        <v>700</v>
      </c>
      <c r="W656" s="5" t="s">
        <v>7888</v>
      </c>
      <c r="X656" s="5" t="s">
        <v>7888</v>
      </c>
      <c r="Y656" s="4">
        <v>318</v>
      </c>
      <c r="Z656" s="4">
        <v>292</v>
      </c>
      <c r="AA656" s="4">
        <v>362</v>
      </c>
      <c r="AB656" s="4">
        <v>3</v>
      </c>
      <c r="AC656" s="4">
        <v>3</v>
      </c>
      <c r="AD656" s="4">
        <v>10</v>
      </c>
      <c r="AE656" s="4">
        <v>12</v>
      </c>
      <c r="AF656" s="4">
        <v>2</v>
      </c>
      <c r="AG656" s="4">
        <v>3</v>
      </c>
      <c r="AH656" s="4">
        <v>0</v>
      </c>
      <c r="AI656" s="4">
        <v>0</v>
      </c>
      <c r="AJ656" s="4">
        <v>8</v>
      </c>
      <c r="AK656" s="4">
        <v>8</v>
      </c>
      <c r="AL656" s="4">
        <v>2</v>
      </c>
      <c r="AM656" s="4">
        <v>2</v>
      </c>
      <c r="AN656" s="4">
        <v>0</v>
      </c>
      <c r="AO656" s="4">
        <v>1</v>
      </c>
      <c r="AP656" s="3" t="s">
        <v>59</v>
      </c>
      <c r="AQ656" s="3" t="s">
        <v>59</v>
      </c>
      <c r="AS656" s="6" t="str">
        <f>HYPERLINK("https://creighton-primo.hosted.exlibrisgroup.com/primo-explore/search?tab=default_tab&amp;search_scope=EVERYTHING&amp;vid=01CRU&amp;lang=en_US&amp;offset=0&amp;query=any,contains,991002335629702656","Catalog Record")</f>
        <v>Catalog Record</v>
      </c>
      <c r="AT656" s="6" t="str">
        <f>HYPERLINK("http://www.worldcat.org/oclc/30399082","WorldCat Record")</f>
        <v>WorldCat Record</v>
      </c>
      <c r="AU656" s="3" t="s">
        <v>7889</v>
      </c>
      <c r="AV656" s="3" t="s">
        <v>7890</v>
      </c>
      <c r="AW656" s="3" t="s">
        <v>7891</v>
      </c>
      <c r="AX656" s="3" t="s">
        <v>7891</v>
      </c>
      <c r="AY656" s="3" t="s">
        <v>7892</v>
      </c>
      <c r="AZ656" s="3" t="s">
        <v>74</v>
      </c>
      <c r="BB656" s="3" t="s">
        <v>7893</v>
      </c>
      <c r="BC656" s="3" t="s">
        <v>7894</v>
      </c>
      <c r="BD656" s="3" t="s">
        <v>7895</v>
      </c>
    </row>
    <row r="657" spans="1:56" ht="57.75" customHeight="1" x14ac:dyDescent="0.25">
      <c r="A657" s="7" t="s">
        <v>59</v>
      </c>
      <c r="B657" s="2" t="s">
        <v>7896</v>
      </c>
      <c r="C657" s="2" t="s">
        <v>7897</v>
      </c>
      <c r="D657" s="2" t="s">
        <v>7898</v>
      </c>
      <c r="F657" s="3" t="s">
        <v>59</v>
      </c>
      <c r="G657" s="3" t="s">
        <v>60</v>
      </c>
      <c r="H657" s="3" t="s">
        <v>59</v>
      </c>
      <c r="I657" s="3" t="s">
        <v>59</v>
      </c>
      <c r="J657" s="3" t="s">
        <v>61</v>
      </c>
      <c r="K657" s="2" t="s">
        <v>7899</v>
      </c>
      <c r="L657" s="2" t="s">
        <v>4818</v>
      </c>
      <c r="M657" s="3" t="s">
        <v>2244</v>
      </c>
      <c r="N657" s="2" t="s">
        <v>7900</v>
      </c>
      <c r="O657" s="3" t="s">
        <v>64</v>
      </c>
      <c r="P657" s="3" t="s">
        <v>405</v>
      </c>
      <c r="R657" s="3" t="s">
        <v>67</v>
      </c>
      <c r="S657" s="4">
        <v>14</v>
      </c>
      <c r="T657" s="4">
        <v>14</v>
      </c>
      <c r="U657" s="5" t="s">
        <v>1907</v>
      </c>
      <c r="V657" s="5" t="s">
        <v>1907</v>
      </c>
      <c r="W657" s="5" t="s">
        <v>713</v>
      </c>
      <c r="X657" s="5" t="s">
        <v>713</v>
      </c>
      <c r="Y657" s="4">
        <v>28</v>
      </c>
      <c r="Z657" s="4">
        <v>18</v>
      </c>
      <c r="AA657" s="4">
        <v>165</v>
      </c>
      <c r="AB657" s="4">
        <v>1</v>
      </c>
      <c r="AC657" s="4">
        <v>2</v>
      </c>
      <c r="AD657" s="4">
        <v>1</v>
      </c>
      <c r="AE657" s="4">
        <v>5</v>
      </c>
      <c r="AF657" s="4">
        <v>1</v>
      </c>
      <c r="AG657" s="4">
        <v>2</v>
      </c>
      <c r="AH657" s="4">
        <v>0</v>
      </c>
      <c r="AI657" s="4">
        <v>1</v>
      </c>
      <c r="AJ657" s="4">
        <v>0</v>
      </c>
      <c r="AK657" s="4">
        <v>1</v>
      </c>
      <c r="AL657" s="4">
        <v>0</v>
      </c>
      <c r="AM657" s="4">
        <v>1</v>
      </c>
      <c r="AN657" s="4">
        <v>0</v>
      </c>
      <c r="AO657" s="4">
        <v>0</v>
      </c>
      <c r="AP657" s="3" t="s">
        <v>59</v>
      </c>
      <c r="AQ657" s="3" t="s">
        <v>59</v>
      </c>
      <c r="AS657" s="6" t="str">
        <f>HYPERLINK("https://creighton-primo.hosted.exlibrisgroup.com/primo-explore/search?tab=default_tab&amp;search_scope=EVERYTHING&amp;vid=01CRU&amp;lang=en_US&amp;offset=0&amp;query=any,contains,991002076259702656","Catalog Record")</f>
        <v>Catalog Record</v>
      </c>
      <c r="AT657" s="6" t="str">
        <f>HYPERLINK("http://www.worldcat.org/oclc/26628357","WorldCat Record")</f>
        <v>WorldCat Record</v>
      </c>
      <c r="AU657" s="3" t="s">
        <v>7901</v>
      </c>
      <c r="AV657" s="3" t="s">
        <v>7902</v>
      </c>
      <c r="AW657" s="3" t="s">
        <v>7903</v>
      </c>
      <c r="AX657" s="3" t="s">
        <v>7903</v>
      </c>
      <c r="AY657" s="3" t="s">
        <v>7904</v>
      </c>
      <c r="AZ657" s="3" t="s">
        <v>74</v>
      </c>
      <c r="BB657" s="3" t="s">
        <v>7905</v>
      </c>
      <c r="BC657" s="3" t="s">
        <v>7906</v>
      </c>
      <c r="BD657" s="3" t="s">
        <v>7907</v>
      </c>
    </row>
    <row r="658" spans="1:56" ht="57.75" customHeight="1" x14ac:dyDescent="0.25">
      <c r="A658" s="7" t="s">
        <v>59</v>
      </c>
      <c r="B658" s="2" t="s">
        <v>7908</v>
      </c>
      <c r="C658" s="2" t="s">
        <v>7909</v>
      </c>
      <c r="D658" s="2" t="s">
        <v>7910</v>
      </c>
      <c r="F658" s="3" t="s">
        <v>59</v>
      </c>
      <c r="G658" s="3" t="s">
        <v>60</v>
      </c>
      <c r="H658" s="3" t="s">
        <v>59</v>
      </c>
      <c r="I658" s="3" t="s">
        <v>59</v>
      </c>
      <c r="J658" s="3" t="s">
        <v>61</v>
      </c>
      <c r="K658" s="2" t="s">
        <v>804</v>
      </c>
      <c r="L658" s="2" t="s">
        <v>7911</v>
      </c>
      <c r="M658" s="3" t="s">
        <v>1267</v>
      </c>
      <c r="N658" s="2" t="s">
        <v>556</v>
      </c>
      <c r="O658" s="3" t="s">
        <v>64</v>
      </c>
      <c r="P658" s="3" t="s">
        <v>467</v>
      </c>
      <c r="R658" s="3" t="s">
        <v>67</v>
      </c>
      <c r="S658" s="4">
        <v>3</v>
      </c>
      <c r="T658" s="4">
        <v>3</v>
      </c>
      <c r="U658" s="5" t="s">
        <v>7912</v>
      </c>
      <c r="V658" s="5" t="s">
        <v>7912</v>
      </c>
      <c r="W658" s="5" t="s">
        <v>7913</v>
      </c>
      <c r="X658" s="5" t="s">
        <v>7913</v>
      </c>
      <c r="Y658" s="4">
        <v>838</v>
      </c>
      <c r="Z658" s="4">
        <v>783</v>
      </c>
      <c r="AA658" s="4">
        <v>809</v>
      </c>
      <c r="AB658" s="4">
        <v>7</v>
      </c>
      <c r="AC658" s="4">
        <v>7</v>
      </c>
      <c r="AD658" s="4">
        <v>17</v>
      </c>
      <c r="AE658" s="4">
        <v>17</v>
      </c>
      <c r="AF658" s="4">
        <v>5</v>
      </c>
      <c r="AG658" s="4">
        <v>5</v>
      </c>
      <c r="AH658" s="4">
        <v>3</v>
      </c>
      <c r="AI658" s="4">
        <v>3</v>
      </c>
      <c r="AJ658" s="4">
        <v>7</v>
      </c>
      <c r="AK658" s="4">
        <v>7</v>
      </c>
      <c r="AL658" s="4">
        <v>3</v>
      </c>
      <c r="AM658" s="4">
        <v>3</v>
      </c>
      <c r="AN658" s="4">
        <v>0</v>
      </c>
      <c r="AO658" s="4">
        <v>0</v>
      </c>
      <c r="AP658" s="3" t="s">
        <v>59</v>
      </c>
      <c r="AQ658" s="3" t="s">
        <v>59</v>
      </c>
      <c r="AS658" s="6" t="str">
        <f>HYPERLINK("https://creighton-primo.hosted.exlibrisgroup.com/primo-explore/search?tab=default_tab&amp;search_scope=EVERYTHING&amp;vid=01CRU&amp;lang=en_US&amp;offset=0&amp;query=any,contains,991005269129702656","Catalog Record")</f>
        <v>Catalog Record</v>
      </c>
      <c r="AT658" s="6" t="str">
        <f>HYPERLINK("http://www.worldcat.org/oclc/179833883","WorldCat Record")</f>
        <v>WorldCat Record</v>
      </c>
      <c r="AU658" s="3" t="s">
        <v>7914</v>
      </c>
      <c r="AV658" s="3" t="s">
        <v>7915</v>
      </c>
      <c r="AW658" s="3" t="s">
        <v>7916</v>
      </c>
      <c r="AX658" s="3" t="s">
        <v>7916</v>
      </c>
      <c r="AY658" s="3" t="s">
        <v>7917</v>
      </c>
      <c r="AZ658" s="3" t="s">
        <v>74</v>
      </c>
      <c r="BB658" s="3" t="s">
        <v>7918</v>
      </c>
      <c r="BC658" s="3" t="s">
        <v>7919</v>
      </c>
      <c r="BD658" s="3" t="s">
        <v>7920</v>
      </c>
    </row>
    <row r="659" spans="1:56" ht="57.75" customHeight="1" x14ac:dyDescent="0.25">
      <c r="A659" s="7" t="s">
        <v>59</v>
      </c>
      <c r="B659" s="2" t="s">
        <v>7921</v>
      </c>
      <c r="C659" s="2" t="s">
        <v>7922</v>
      </c>
      <c r="D659" s="2" t="s">
        <v>7923</v>
      </c>
      <c r="F659" s="3" t="s">
        <v>59</v>
      </c>
      <c r="G659" s="3" t="s">
        <v>60</v>
      </c>
      <c r="H659" s="3" t="s">
        <v>59</v>
      </c>
      <c r="I659" s="3" t="s">
        <v>59</v>
      </c>
      <c r="J659" s="3" t="s">
        <v>61</v>
      </c>
      <c r="K659" s="2" t="s">
        <v>7924</v>
      </c>
      <c r="L659" s="2" t="s">
        <v>7925</v>
      </c>
      <c r="M659" s="3" t="s">
        <v>2202</v>
      </c>
      <c r="O659" s="3" t="s">
        <v>64</v>
      </c>
      <c r="P659" s="3" t="s">
        <v>3297</v>
      </c>
      <c r="R659" s="3" t="s">
        <v>67</v>
      </c>
      <c r="S659" s="4">
        <v>8</v>
      </c>
      <c r="T659" s="4">
        <v>8</v>
      </c>
      <c r="U659" s="5" t="s">
        <v>949</v>
      </c>
      <c r="V659" s="5" t="s">
        <v>949</v>
      </c>
      <c r="W659" s="5" t="s">
        <v>498</v>
      </c>
      <c r="X659" s="5" t="s">
        <v>498</v>
      </c>
      <c r="Y659" s="4">
        <v>245</v>
      </c>
      <c r="Z659" s="4">
        <v>180</v>
      </c>
      <c r="AA659" s="4">
        <v>226</v>
      </c>
      <c r="AB659" s="4">
        <v>2</v>
      </c>
      <c r="AC659" s="4">
        <v>2</v>
      </c>
      <c r="AD659" s="4">
        <v>4</v>
      </c>
      <c r="AE659" s="4">
        <v>6</v>
      </c>
      <c r="AF659" s="4">
        <v>1</v>
      </c>
      <c r="AG659" s="4">
        <v>2</v>
      </c>
      <c r="AH659" s="4">
        <v>1</v>
      </c>
      <c r="AI659" s="4">
        <v>1</v>
      </c>
      <c r="AJ659" s="4">
        <v>1</v>
      </c>
      <c r="AK659" s="4">
        <v>2</v>
      </c>
      <c r="AL659" s="4">
        <v>1</v>
      </c>
      <c r="AM659" s="4">
        <v>1</v>
      </c>
      <c r="AN659" s="4">
        <v>0</v>
      </c>
      <c r="AO659" s="4">
        <v>0</v>
      </c>
      <c r="AP659" s="3" t="s">
        <v>59</v>
      </c>
      <c r="AQ659" s="3" t="s">
        <v>69</v>
      </c>
      <c r="AR659" s="6" t="str">
        <f>HYPERLINK("http://catalog.hathitrust.org/Record/000354670","HathiTrust Record")</f>
        <v>HathiTrust Record</v>
      </c>
      <c r="AS659" s="6" t="str">
        <f>HYPERLINK("https://creighton-primo.hosted.exlibrisgroup.com/primo-explore/search?tab=default_tab&amp;search_scope=EVERYTHING&amp;vid=01CRU&amp;lang=en_US&amp;offset=0&amp;query=any,contains,991004638339702656","Catalog Record")</f>
        <v>Catalog Record</v>
      </c>
      <c r="AT659" s="6" t="str">
        <f>HYPERLINK("http://www.worldcat.org/oclc/4436380","WorldCat Record")</f>
        <v>WorldCat Record</v>
      </c>
      <c r="AU659" s="3" t="s">
        <v>7926</v>
      </c>
      <c r="AV659" s="3" t="s">
        <v>7927</v>
      </c>
      <c r="AW659" s="3" t="s">
        <v>7928</v>
      </c>
      <c r="AX659" s="3" t="s">
        <v>7928</v>
      </c>
      <c r="AY659" s="3" t="s">
        <v>7929</v>
      </c>
      <c r="AZ659" s="3" t="s">
        <v>74</v>
      </c>
      <c r="BC659" s="3" t="s">
        <v>7930</v>
      </c>
      <c r="BD659" s="3" t="s">
        <v>7931</v>
      </c>
    </row>
    <row r="660" spans="1:56" ht="57.75" customHeight="1" x14ac:dyDescent="0.25">
      <c r="A660" s="7" t="s">
        <v>59</v>
      </c>
      <c r="B660" s="2" t="s">
        <v>7932</v>
      </c>
      <c r="C660" s="2" t="s">
        <v>7933</v>
      </c>
      <c r="D660" s="2" t="s">
        <v>7934</v>
      </c>
      <c r="E660" s="3" t="s">
        <v>2287</v>
      </c>
      <c r="F660" s="3" t="s">
        <v>69</v>
      </c>
      <c r="G660" s="3" t="s">
        <v>60</v>
      </c>
      <c r="H660" s="3" t="s">
        <v>59</v>
      </c>
      <c r="I660" s="3" t="s">
        <v>59</v>
      </c>
      <c r="J660" s="3" t="s">
        <v>61</v>
      </c>
      <c r="K660" s="2" t="s">
        <v>7935</v>
      </c>
      <c r="L660" s="2" t="s">
        <v>7936</v>
      </c>
      <c r="M660" s="3" t="s">
        <v>6157</v>
      </c>
      <c r="O660" s="3" t="s">
        <v>64</v>
      </c>
      <c r="P660" s="3" t="s">
        <v>467</v>
      </c>
      <c r="R660" s="3" t="s">
        <v>67</v>
      </c>
      <c r="S660" s="4">
        <v>3</v>
      </c>
      <c r="T660" s="4">
        <v>6</v>
      </c>
      <c r="U660" s="5" t="s">
        <v>2046</v>
      </c>
      <c r="V660" s="5" t="s">
        <v>2046</v>
      </c>
      <c r="W660" s="5" t="s">
        <v>2181</v>
      </c>
      <c r="X660" s="5" t="s">
        <v>2181</v>
      </c>
      <c r="Y660" s="4">
        <v>782</v>
      </c>
      <c r="Z660" s="4">
        <v>655</v>
      </c>
      <c r="AA660" s="4">
        <v>663</v>
      </c>
      <c r="AB660" s="4">
        <v>8</v>
      </c>
      <c r="AC660" s="4">
        <v>8</v>
      </c>
      <c r="AD660" s="4">
        <v>32</v>
      </c>
      <c r="AE660" s="4">
        <v>32</v>
      </c>
      <c r="AF660" s="4">
        <v>10</v>
      </c>
      <c r="AG660" s="4">
        <v>10</v>
      </c>
      <c r="AH660" s="4">
        <v>5</v>
      </c>
      <c r="AI660" s="4">
        <v>5</v>
      </c>
      <c r="AJ660" s="4">
        <v>16</v>
      </c>
      <c r="AK660" s="4">
        <v>16</v>
      </c>
      <c r="AL660" s="4">
        <v>7</v>
      </c>
      <c r="AM660" s="4">
        <v>7</v>
      </c>
      <c r="AN660" s="4">
        <v>0</v>
      </c>
      <c r="AO660" s="4">
        <v>0</v>
      </c>
      <c r="AP660" s="3" t="s">
        <v>59</v>
      </c>
      <c r="AQ660" s="3" t="s">
        <v>69</v>
      </c>
      <c r="AR660" s="6" t="str">
        <f>HYPERLINK("http://catalog.hathitrust.org/Record/000803897","HathiTrust Record")</f>
        <v>HathiTrust Record</v>
      </c>
      <c r="AS660" s="6" t="str">
        <f>HYPERLINK("https://creighton-primo.hosted.exlibrisgroup.com/primo-explore/search?tab=default_tab&amp;search_scope=EVERYTHING&amp;vid=01CRU&amp;lang=en_US&amp;offset=0&amp;query=any,contains,991002983959702656","Catalog Record")</f>
        <v>Catalog Record</v>
      </c>
      <c r="AT660" s="6" t="str">
        <f>HYPERLINK("http://www.worldcat.org/oclc/556377","WorldCat Record")</f>
        <v>WorldCat Record</v>
      </c>
      <c r="AU660" s="3" t="s">
        <v>7937</v>
      </c>
      <c r="AV660" s="3" t="s">
        <v>7938</v>
      </c>
      <c r="AW660" s="3" t="s">
        <v>7939</v>
      </c>
      <c r="AX660" s="3" t="s">
        <v>7939</v>
      </c>
      <c r="AY660" s="3" t="s">
        <v>7940</v>
      </c>
      <c r="AZ660" s="3" t="s">
        <v>74</v>
      </c>
      <c r="BC660" s="3" t="s">
        <v>7941</v>
      </c>
      <c r="BD660" s="3" t="s">
        <v>7942</v>
      </c>
    </row>
    <row r="661" spans="1:56" ht="57.75" customHeight="1" x14ac:dyDescent="0.25">
      <c r="A661" s="7" t="s">
        <v>59</v>
      </c>
      <c r="B661" s="2" t="s">
        <v>7932</v>
      </c>
      <c r="C661" s="2" t="s">
        <v>7933</v>
      </c>
      <c r="D661" s="2" t="s">
        <v>7934</v>
      </c>
      <c r="E661" s="3" t="s">
        <v>2296</v>
      </c>
      <c r="F661" s="3" t="s">
        <v>69</v>
      </c>
      <c r="G661" s="3" t="s">
        <v>60</v>
      </c>
      <c r="H661" s="3" t="s">
        <v>59</v>
      </c>
      <c r="I661" s="3" t="s">
        <v>59</v>
      </c>
      <c r="J661" s="3" t="s">
        <v>61</v>
      </c>
      <c r="K661" s="2" t="s">
        <v>7935</v>
      </c>
      <c r="L661" s="2" t="s">
        <v>7936</v>
      </c>
      <c r="M661" s="3" t="s">
        <v>6157</v>
      </c>
      <c r="O661" s="3" t="s">
        <v>64</v>
      </c>
      <c r="P661" s="3" t="s">
        <v>467</v>
      </c>
      <c r="R661" s="3" t="s">
        <v>67</v>
      </c>
      <c r="S661" s="4">
        <v>3</v>
      </c>
      <c r="T661" s="4">
        <v>6</v>
      </c>
      <c r="U661" s="5" t="s">
        <v>752</v>
      </c>
      <c r="V661" s="5" t="s">
        <v>2046</v>
      </c>
      <c r="W661" s="5" t="s">
        <v>3083</v>
      </c>
      <c r="X661" s="5" t="s">
        <v>2181</v>
      </c>
      <c r="Y661" s="4">
        <v>782</v>
      </c>
      <c r="Z661" s="4">
        <v>655</v>
      </c>
      <c r="AA661" s="4">
        <v>663</v>
      </c>
      <c r="AB661" s="4">
        <v>8</v>
      </c>
      <c r="AC661" s="4">
        <v>8</v>
      </c>
      <c r="AD661" s="4">
        <v>32</v>
      </c>
      <c r="AE661" s="4">
        <v>32</v>
      </c>
      <c r="AF661" s="4">
        <v>10</v>
      </c>
      <c r="AG661" s="4">
        <v>10</v>
      </c>
      <c r="AH661" s="4">
        <v>5</v>
      </c>
      <c r="AI661" s="4">
        <v>5</v>
      </c>
      <c r="AJ661" s="4">
        <v>16</v>
      </c>
      <c r="AK661" s="4">
        <v>16</v>
      </c>
      <c r="AL661" s="4">
        <v>7</v>
      </c>
      <c r="AM661" s="4">
        <v>7</v>
      </c>
      <c r="AN661" s="4">
        <v>0</v>
      </c>
      <c r="AO661" s="4">
        <v>0</v>
      </c>
      <c r="AP661" s="3" t="s">
        <v>59</v>
      </c>
      <c r="AQ661" s="3" t="s">
        <v>69</v>
      </c>
      <c r="AR661" s="6" t="str">
        <f>HYPERLINK("http://catalog.hathitrust.org/Record/000803897","HathiTrust Record")</f>
        <v>HathiTrust Record</v>
      </c>
      <c r="AS661" s="6" t="str">
        <f>HYPERLINK("https://creighton-primo.hosted.exlibrisgroup.com/primo-explore/search?tab=default_tab&amp;search_scope=EVERYTHING&amp;vid=01CRU&amp;lang=en_US&amp;offset=0&amp;query=any,contains,991002983959702656","Catalog Record")</f>
        <v>Catalog Record</v>
      </c>
      <c r="AT661" s="6" t="str">
        <f>HYPERLINK("http://www.worldcat.org/oclc/556377","WorldCat Record")</f>
        <v>WorldCat Record</v>
      </c>
      <c r="AU661" s="3" t="s">
        <v>7937</v>
      </c>
      <c r="AV661" s="3" t="s">
        <v>7938</v>
      </c>
      <c r="AW661" s="3" t="s">
        <v>7939</v>
      </c>
      <c r="AX661" s="3" t="s">
        <v>7939</v>
      </c>
      <c r="AY661" s="3" t="s">
        <v>7940</v>
      </c>
      <c r="AZ661" s="3" t="s">
        <v>74</v>
      </c>
      <c r="BC661" s="3" t="s">
        <v>7943</v>
      </c>
      <c r="BD661" s="3" t="s">
        <v>7944</v>
      </c>
    </row>
    <row r="662" spans="1:56" ht="57.75" customHeight="1" x14ac:dyDescent="0.25">
      <c r="A662" s="7" t="s">
        <v>59</v>
      </c>
      <c r="B662" s="2" t="s">
        <v>7945</v>
      </c>
      <c r="C662" s="2" t="s">
        <v>7946</v>
      </c>
      <c r="D662" s="2" t="s">
        <v>7947</v>
      </c>
      <c r="F662" s="3" t="s">
        <v>59</v>
      </c>
      <c r="G662" s="3" t="s">
        <v>60</v>
      </c>
      <c r="H662" s="3" t="s">
        <v>59</v>
      </c>
      <c r="I662" s="3" t="s">
        <v>59</v>
      </c>
      <c r="J662" s="3" t="s">
        <v>61</v>
      </c>
      <c r="K662" s="2" t="s">
        <v>7948</v>
      </c>
      <c r="L662" s="2" t="s">
        <v>7949</v>
      </c>
      <c r="M662" s="3" t="s">
        <v>698</v>
      </c>
      <c r="N662" s="2" t="s">
        <v>2005</v>
      </c>
      <c r="O662" s="3" t="s">
        <v>64</v>
      </c>
      <c r="P662" s="3" t="s">
        <v>932</v>
      </c>
      <c r="R662" s="3" t="s">
        <v>67</v>
      </c>
      <c r="S662" s="4">
        <v>3</v>
      </c>
      <c r="T662" s="4">
        <v>3</v>
      </c>
      <c r="U662" s="5" t="s">
        <v>2046</v>
      </c>
      <c r="V662" s="5" t="s">
        <v>2046</v>
      </c>
      <c r="W662" s="5" t="s">
        <v>6631</v>
      </c>
      <c r="X662" s="5" t="s">
        <v>6631</v>
      </c>
      <c r="Y662" s="4">
        <v>477</v>
      </c>
      <c r="Z662" s="4">
        <v>415</v>
      </c>
      <c r="AA662" s="4">
        <v>496</v>
      </c>
      <c r="AB662" s="4">
        <v>6</v>
      </c>
      <c r="AC662" s="4">
        <v>6</v>
      </c>
      <c r="AD662" s="4">
        <v>19</v>
      </c>
      <c r="AE662" s="4">
        <v>20</v>
      </c>
      <c r="AF662" s="4">
        <v>10</v>
      </c>
      <c r="AG662" s="4">
        <v>10</v>
      </c>
      <c r="AH662" s="4">
        <v>3</v>
      </c>
      <c r="AI662" s="4">
        <v>3</v>
      </c>
      <c r="AJ662" s="4">
        <v>5</v>
      </c>
      <c r="AK662" s="4">
        <v>6</v>
      </c>
      <c r="AL662" s="4">
        <v>5</v>
      </c>
      <c r="AM662" s="4">
        <v>5</v>
      </c>
      <c r="AN662" s="4">
        <v>0</v>
      </c>
      <c r="AO662" s="4">
        <v>0</v>
      </c>
      <c r="AP662" s="3" t="s">
        <v>59</v>
      </c>
      <c r="AQ662" s="3" t="s">
        <v>69</v>
      </c>
      <c r="AR662" s="6" t="str">
        <f>HYPERLINK("http://catalog.hathitrust.org/Record/001693937","HathiTrust Record")</f>
        <v>HathiTrust Record</v>
      </c>
      <c r="AS662" s="6" t="str">
        <f>HYPERLINK("https://creighton-primo.hosted.exlibrisgroup.com/primo-explore/search?tab=default_tab&amp;search_scope=EVERYTHING&amp;vid=01CRU&amp;lang=en_US&amp;offset=0&amp;query=any,contains,991003477609702656","Catalog Record")</f>
        <v>Catalog Record</v>
      </c>
      <c r="AT662" s="6" t="str">
        <f>HYPERLINK("http://www.worldcat.org/oclc/1023016","WorldCat Record")</f>
        <v>WorldCat Record</v>
      </c>
      <c r="AU662" s="3" t="s">
        <v>7950</v>
      </c>
      <c r="AV662" s="3" t="s">
        <v>7951</v>
      </c>
      <c r="AW662" s="3" t="s">
        <v>7952</v>
      </c>
      <c r="AX662" s="3" t="s">
        <v>7952</v>
      </c>
      <c r="AY662" s="3" t="s">
        <v>7953</v>
      </c>
      <c r="AZ662" s="3" t="s">
        <v>74</v>
      </c>
      <c r="BC662" s="3" t="s">
        <v>7954</v>
      </c>
      <c r="BD662" s="3" t="s">
        <v>7955</v>
      </c>
    </row>
    <row r="663" spans="1:56" ht="57.75" customHeight="1" x14ac:dyDescent="0.25">
      <c r="A663" s="7" t="s">
        <v>59</v>
      </c>
      <c r="B663" s="2" t="s">
        <v>7956</v>
      </c>
      <c r="C663" s="2" t="s">
        <v>7957</v>
      </c>
      <c r="D663" s="2" t="s">
        <v>7958</v>
      </c>
      <c r="E663" s="3" t="s">
        <v>2280</v>
      </c>
      <c r="F663" s="3" t="s">
        <v>59</v>
      </c>
      <c r="G663" s="3" t="s">
        <v>60</v>
      </c>
      <c r="H663" s="3" t="s">
        <v>59</v>
      </c>
      <c r="I663" s="3" t="s">
        <v>59</v>
      </c>
      <c r="J663" s="3" t="s">
        <v>61</v>
      </c>
      <c r="L663" s="2" t="s">
        <v>7959</v>
      </c>
      <c r="M663" s="3" t="s">
        <v>511</v>
      </c>
      <c r="O663" s="3" t="s">
        <v>64</v>
      </c>
      <c r="P663" s="3" t="s">
        <v>2726</v>
      </c>
      <c r="Q663" s="2" t="s">
        <v>7960</v>
      </c>
      <c r="R663" s="3" t="s">
        <v>67</v>
      </c>
      <c r="S663" s="4">
        <v>4</v>
      </c>
      <c r="T663" s="4">
        <v>4</v>
      </c>
      <c r="U663" s="5" t="s">
        <v>7961</v>
      </c>
      <c r="V663" s="5" t="s">
        <v>7961</v>
      </c>
      <c r="W663" s="5" t="s">
        <v>7962</v>
      </c>
      <c r="X663" s="5" t="s">
        <v>7962</v>
      </c>
      <c r="Y663" s="4">
        <v>116</v>
      </c>
      <c r="Z663" s="4">
        <v>68</v>
      </c>
      <c r="AA663" s="4">
        <v>111</v>
      </c>
      <c r="AB663" s="4">
        <v>1</v>
      </c>
      <c r="AC663" s="4">
        <v>1</v>
      </c>
      <c r="AD663" s="4">
        <v>1</v>
      </c>
      <c r="AE663" s="4">
        <v>3</v>
      </c>
      <c r="AF663" s="4">
        <v>0</v>
      </c>
      <c r="AG663" s="4">
        <v>1</v>
      </c>
      <c r="AH663" s="4">
        <v>1</v>
      </c>
      <c r="AI663" s="4">
        <v>2</v>
      </c>
      <c r="AJ663" s="4">
        <v>0</v>
      </c>
      <c r="AK663" s="4">
        <v>0</v>
      </c>
      <c r="AL663" s="4">
        <v>0</v>
      </c>
      <c r="AM663" s="4">
        <v>0</v>
      </c>
      <c r="AN663" s="4">
        <v>0</v>
      </c>
      <c r="AO663" s="4">
        <v>0</v>
      </c>
      <c r="AP663" s="3" t="s">
        <v>59</v>
      </c>
      <c r="AQ663" s="3" t="s">
        <v>69</v>
      </c>
      <c r="AR663" s="6" t="str">
        <f>HYPERLINK("http://catalog.hathitrust.org/Record/003031291","HathiTrust Record")</f>
        <v>HathiTrust Record</v>
      </c>
      <c r="AS663" s="6" t="str">
        <f>HYPERLINK("https://creighton-primo.hosted.exlibrisgroup.com/primo-explore/search?tab=default_tab&amp;search_scope=EVERYTHING&amp;vid=01CRU&amp;lang=en_US&amp;offset=0&amp;query=any,contains,991002569089702656","Catalog Record")</f>
        <v>Catalog Record</v>
      </c>
      <c r="AT663" s="6" t="str">
        <f>HYPERLINK("http://www.worldcat.org/oclc/33401132","WorldCat Record")</f>
        <v>WorldCat Record</v>
      </c>
      <c r="AU663" s="3" t="s">
        <v>7963</v>
      </c>
      <c r="AV663" s="3" t="s">
        <v>7964</v>
      </c>
      <c r="AW663" s="3" t="s">
        <v>7965</v>
      </c>
      <c r="AX663" s="3" t="s">
        <v>7965</v>
      </c>
      <c r="AY663" s="3" t="s">
        <v>7966</v>
      </c>
      <c r="AZ663" s="3" t="s">
        <v>74</v>
      </c>
      <c r="BB663" s="3" t="s">
        <v>7967</v>
      </c>
      <c r="BC663" s="3" t="s">
        <v>7968</v>
      </c>
      <c r="BD663" s="3" t="s">
        <v>7969</v>
      </c>
    </row>
    <row r="664" spans="1:56" ht="57.75" customHeight="1" x14ac:dyDescent="0.25">
      <c r="A664" s="7" t="s">
        <v>59</v>
      </c>
      <c r="B664" s="2" t="s">
        <v>7970</v>
      </c>
      <c r="C664" s="2" t="s">
        <v>7971</v>
      </c>
      <c r="D664" s="2" t="s">
        <v>7972</v>
      </c>
      <c r="F664" s="3" t="s">
        <v>59</v>
      </c>
      <c r="G664" s="3" t="s">
        <v>60</v>
      </c>
      <c r="H664" s="3" t="s">
        <v>59</v>
      </c>
      <c r="I664" s="3" t="s">
        <v>59</v>
      </c>
      <c r="J664" s="3" t="s">
        <v>61</v>
      </c>
      <c r="L664" s="2" t="s">
        <v>7973</v>
      </c>
      <c r="M664" s="3" t="s">
        <v>670</v>
      </c>
      <c r="O664" s="3" t="s">
        <v>64</v>
      </c>
      <c r="P664" s="3" t="s">
        <v>2726</v>
      </c>
      <c r="Q664" s="2" t="s">
        <v>7974</v>
      </c>
      <c r="R664" s="3" t="s">
        <v>67</v>
      </c>
      <c r="S664" s="4">
        <v>7</v>
      </c>
      <c r="T664" s="4">
        <v>7</v>
      </c>
      <c r="U664" s="5" t="s">
        <v>7975</v>
      </c>
      <c r="V664" s="5" t="s">
        <v>7975</v>
      </c>
      <c r="W664" s="5" t="s">
        <v>498</v>
      </c>
      <c r="X664" s="5" t="s">
        <v>498</v>
      </c>
      <c r="Y664" s="4">
        <v>234</v>
      </c>
      <c r="Z664" s="4">
        <v>143</v>
      </c>
      <c r="AA664" s="4">
        <v>150</v>
      </c>
      <c r="AB664" s="4">
        <v>2</v>
      </c>
      <c r="AC664" s="4">
        <v>2</v>
      </c>
      <c r="AD664" s="4">
        <v>3</v>
      </c>
      <c r="AE664" s="4">
        <v>3</v>
      </c>
      <c r="AF664" s="4">
        <v>1</v>
      </c>
      <c r="AG664" s="4">
        <v>1</v>
      </c>
      <c r="AH664" s="4">
        <v>1</v>
      </c>
      <c r="AI664" s="4">
        <v>1</v>
      </c>
      <c r="AJ664" s="4">
        <v>0</v>
      </c>
      <c r="AK664" s="4">
        <v>0</v>
      </c>
      <c r="AL664" s="4">
        <v>1</v>
      </c>
      <c r="AM664" s="4">
        <v>1</v>
      </c>
      <c r="AN664" s="4">
        <v>0</v>
      </c>
      <c r="AO664" s="4">
        <v>0</v>
      </c>
      <c r="AP664" s="3" t="s">
        <v>59</v>
      </c>
      <c r="AQ664" s="3" t="s">
        <v>69</v>
      </c>
      <c r="AR664" s="6" t="str">
        <f>HYPERLINK("http://catalog.hathitrust.org/Record/000264025","HathiTrust Record")</f>
        <v>HathiTrust Record</v>
      </c>
      <c r="AS664" s="6" t="str">
        <f>HYPERLINK("https://creighton-primo.hosted.exlibrisgroup.com/primo-explore/search?tab=default_tab&amp;search_scope=EVERYTHING&amp;vid=01CRU&amp;lang=en_US&amp;offset=0&amp;query=any,contains,991005177379702656","Catalog Record")</f>
        <v>Catalog Record</v>
      </c>
      <c r="AT664" s="6" t="str">
        <f>HYPERLINK("http://www.worldcat.org/oclc/7924755","WorldCat Record")</f>
        <v>WorldCat Record</v>
      </c>
      <c r="AU664" s="3" t="s">
        <v>7976</v>
      </c>
      <c r="AV664" s="3" t="s">
        <v>7977</v>
      </c>
      <c r="AW664" s="3" t="s">
        <v>7978</v>
      </c>
      <c r="AX664" s="3" t="s">
        <v>7978</v>
      </c>
      <c r="AY664" s="3" t="s">
        <v>7979</v>
      </c>
      <c r="AZ664" s="3" t="s">
        <v>74</v>
      </c>
      <c r="BB664" s="3" t="s">
        <v>7980</v>
      </c>
      <c r="BC664" s="3" t="s">
        <v>7981</v>
      </c>
      <c r="BD664" s="3" t="s">
        <v>7982</v>
      </c>
    </row>
    <row r="665" spans="1:56" ht="57.75" customHeight="1" x14ac:dyDescent="0.25">
      <c r="A665" s="7" t="s">
        <v>59</v>
      </c>
      <c r="B665" s="2" t="s">
        <v>7983</v>
      </c>
      <c r="C665" s="2" t="s">
        <v>7984</v>
      </c>
      <c r="D665" s="2" t="s">
        <v>7985</v>
      </c>
      <c r="F665" s="3" t="s">
        <v>59</v>
      </c>
      <c r="G665" s="3" t="s">
        <v>60</v>
      </c>
      <c r="H665" s="3" t="s">
        <v>59</v>
      </c>
      <c r="I665" s="3" t="s">
        <v>59</v>
      </c>
      <c r="J665" s="3" t="s">
        <v>61</v>
      </c>
      <c r="L665" s="2" t="s">
        <v>2509</v>
      </c>
      <c r="M665" s="3" t="s">
        <v>2510</v>
      </c>
      <c r="N665" s="2" t="s">
        <v>556</v>
      </c>
      <c r="O665" s="3" t="s">
        <v>64</v>
      </c>
      <c r="P665" s="3" t="s">
        <v>405</v>
      </c>
      <c r="Q665" s="2" t="s">
        <v>7986</v>
      </c>
      <c r="R665" s="3" t="s">
        <v>67</v>
      </c>
      <c r="S665" s="4">
        <v>13</v>
      </c>
      <c r="T665" s="4">
        <v>13</v>
      </c>
      <c r="U665" s="5" t="s">
        <v>3748</v>
      </c>
      <c r="V665" s="5" t="s">
        <v>3748</v>
      </c>
      <c r="W665" s="5" t="s">
        <v>7987</v>
      </c>
      <c r="X665" s="5" t="s">
        <v>7987</v>
      </c>
      <c r="Y665" s="4">
        <v>185</v>
      </c>
      <c r="Z665" s="4">
        <v>107</v>
      </c>
      <c r="AA665" s="4">
        <v>108</v>
      </c>
      <c r="AB665" s="4">
        <v>1</v>
      </c>
      <c r="AC665" s="4">
        <v>1</v>
      </c>
      <c r="AD665" s="4">
        <v>5</v>
      </c>
      <c r="AE665" s="4">
        <v>5</v>
      </c>
      <c r="AF665" s="4">
        <v>2</v>
      </c>
      <c r="AG665" s="4">
        <v>2</v>
      </c>
      <c r="AH665" s="4">
        <v>1</v>
      </c>
      <c r="AI665" s="4">
        <v>1</v>
      </c>
      <c r="AJ665" s="4">
        <v>2</v>
      </c>
      <c r="AK665" s="4">
        <v>2</v>
      </c>
      <c r="AL665" s="4">
        <v>0</v>
      </c>
      <c r="AM665" s="4">
        <v>0</v>
      </c>
      <c r="AN665" s="4">
        <v>0</v>
      </c>
      <c r="AO665" s="4">
        <v>0</v>
      </c>
      <c r="AP665" s="3" t="s">
        <v>59</v>
      </c>
      <c r="AQ665" s="3" t="s">
        <v>69</v>
      </c>
      <c r="AR665" s="6" t="str">
        <f>HYPERLINK("http://catalog.hathitrust.org/Record/002588627","HathiTrust Record")</f>
        <v>HathiTrust Record</v>
      </c>
      <c r="AS665" s="6" t="str">
        <f>HYPERLINK("https://creighton-primo.hosted.exlibrisgroup.com/primo-explore/search?tab=default_tab&amp;search_scope=EVERYTHING&amp;vid=01CRU&amp;lang=en_US&amp;offset=0&amp;query=any,contains,991002027069702656","Catalog Record")</f>
        <v>Catalog Record</v>
      </c>
      <c r="AT665" s="6" t="str">
        <f>HYPERLINK("http://www.worldcat.org/oclc/25788402","WorldCat Record")</f>
        <v>WorldCat Record</v>
      </c>
      <c r="AU665" s="3" t="s">
        <v>7988</v>
      </c>
      <c r="AV665" s="3" t="s">
        <v>7989</v>
      </c>
      <c r="AW665" s="3" t="s">
        <v>7990</v>
      </c>
      <c r="AX665" s="3" t="s">
        <v>7990</v>
      </c>
      <c r="AY665" s="3" t="s">
        <v>7991</v>
      </c>
      <c r="AZ665" s="3" t="s">
        <v>74</v>
      </c>
      <c r="BB665" s="3" t="s">
        <v>7992</v>
      </c>
      <c r="BC665" s="3" t="s">
        <v>7993</v>
      </c>
      <c r="BD665" s="3" t="s">
        <v>7994</v>
      </c>
    </row>
    <row r="666" spans="1:56" ht="57.75" customHeight="1" x14ac:dyDescent="0.25">
      <c r="A666" s="7" t="s">
        <v>59</v>
      </c>
      <c r="B666" s="2" t="s">
        <v>7995</v>
      </c>
      <c r="C666" s="2" t="s">
        <v>7996</v>
      </c>
      <c r="D666" s="2" t="s">
        <v>7997</v>
      </c>
      <c r="F666" s="3" t="s">
        <v>59</v>
      </c>
      <c r="G666" s="3" t="s">
        <v>60</v>
      </c>
      <c r="H666" s="3" t="s">
        <v>59</v>
      </c>
      <c r="I666" s="3" t="s">
        <v>59</v>
      </c>
      <c r="J666" s="3" t="s">
        <v>61</v>
      </c>
      <c r="L666" s="2" t="s">
        <v>7998</v>
      </c>
      <c r="M666" s="3" t="s">
        <v>820</v>
      </c>
      <c r="O666" s="3" t="s">
        <v>64</v>
      </c>
      <c r="P666" s="3" t="s">
        <v>65</v>
      </c>
      <c r="R666" s="3" t="s">
        <v>67</v>
      </c>
      <c r="S666" s="4">
        <v>3</v>
      </c>
      <c r="T666" s="4">
        <v>3</v>
      </c>
      <c r="U666" s="5" t="s">
        <v>7999</v>
      </c>
      <c r="V666" s="5" t="s">
        <v>7999</v>
      </c>
      <c r="W666" s="5" t="s">
        <v>8000</v>
      </c>
      <c r="X666" s="5" t="s">
        <v>8000</v>
      </c>
      <c r="Y666" s="4">
        <v>248</v>
      </c>
      <c r="Z666" s="4">
        <v>199</v>
      </c>
      <c r="AA666" s="4">
        <v>233</v>
      </c>
      <c r="AB666" s="4">
        <v>2</v>
      </c>
      <c r="AC666" s="4">
        <v>3</v>
      </c>
      <c r="AD666" s="4">
        <v>4</v>
      </c>
      <c r="AE666" s="4">
        <v>6</v>
      </c>
      <c r="AF666" s="4">
        <v>1</v>
      </c>
      <c r="AG666" s="4">
        <v>2</v>
      </c>
      <c r="AH666" s="4">
        <v>1</v>
      </c>
      <c r="AI666" s="4">
        <v>1</v>
      </c>
      <c r="AJ666" s="4">
        <v>2</v>
      </c>
      <c r="AK666" s="4">
        <v>3</v>
      </c>
      <c r="AL666" s="4">
        <v>1</v>
      </c>
      <c r="AM666" s="4">
        <v>2</v>
      </c>
      <c r="AN666" s="4">
        <v>0</v>
      </c>
      <c r="AO666" s="4">
        <v>0</v>
      </c>
      <c r="AP666" s="3" t="s">
        <v>59</v>
      </c>
      <c r="AQ666" s="3" t="s">
        <v>69</v>
      </c>
      <c r="AR666" s="6" t="str">
        <f>HYPERLINK("http://catalog.hathitrust.org/Record/008337350","HathiTrust Record")</f>
        <v>HathiTrust Record</v>
      </c>
      <c r="AS666" s="6" t="str">
        <f>HYPERLINK("https://creighton-primo.hosted.exlibrisgroup.com/primo-explore/search?tab=default_tab&amp;search_scope=EVERYTHING&amp;vid=01CRU&amp;lang=en_US&amp;offset=0&amp;query=any,contains,991000573629702656","Catalog Record")</f>
        <v>Catalog Record</v>
      </c>
      <c r="AT666" s="6" t="str">
        <f>HYPERLINK("http://www.worldcat.org/oclc/11676037","WorldCat Record")</f>
        <v>WorldCat Record</v>
      </c>
      <c r="AU666" s="3" t="s">
        <v>8001</v>
      </c>
      <c r="AV666" s="3" t="s">
        <v>8002</v>
      </c>
      <c r="AW666" s="3" t="s">
        <v>8003</v>
      </c>
      <c r="AX666" s="3" t="s">
        <v>8003</v>
      </c>
      <c r="AY666" s="3" t="s">
        <v>8004</v>
      </c>
      <c r="AZ666" s="3" t="s">
        <v>74</v>
      </c>
      <c r="BB666" s="3" t="s">
        <v>8005</v>
      </c>
      <c r="BC666" s="3" t="s">
        <v>8006</v>
      </c>
      <c r="BD666" s="3" t="s">
        <v>8007</v>
      </c>
    </row>
    <row r="667" spans="1:56" ht="57.75" customHeight="1" x14ac:dyDescent="0.25">
      <c r="A667" s="7" t="s">
        <v>59</v>
      </c>
      <c r="B667" s="2" t="s">
        <v>8008</v>
      </c>
      <c r="C667" s="2" t="s">
        <v>8009</v>
      </c>
      <c r="D667" s="2" t="s">
        <v>8010</v>
      </c>
      <c r="F667" s="3" t="s">
        <v>59</v>
      </c>
      <c r="G667" s="3" t="s">
        <v>60</v>
      </c>
      <c r="H667" s="3" t="s">
        <v>59</v>
      </c>
      <c r="I667" s="3" t="s">
        <v>59</v>
      </c>
      <c r="J667" s="3" t="s">
        <v>61</v>
      </c>
      <c r="K667" s="2" t="s">
        <v>8011</v>
      </c>
      <c r="L667" s="2" t="s">
        <v>8012</v>
      </c>
      <c r="M667" s="3" t="s">
        <v>712</v>
      </c>
      <c r="O667" s="3" t="s">
        <v>64</v>
      </c>
      <c r="P667" s="3" t="s">
        <v>1078</v>
      </c>
      <c r="R667" s="3" t="s">
        <v>67</v>
      </c>
      <c r="S667" s="4">
        <v>11</v>
      </c>
      <c r="T667" s="4">
        <v>11</v>
      </c>
      <c r="U667" s="5" t="s">
        <v>8013</v>
      </c>
      <c r="V667" s="5" t="s">
        <v>8013</v>
      </c>
      <c r="W667" s="5" t="s">
        <v>4187</v>
      </c>
      <c r="X667" s="5" t="s">
        <v>4187</v>
      </c>
      <c r="Y667" s="4">
        <v>409</v>
      </c>
      <c r="Z667" s="4">
        <v>303</v>
      </c>
      <c r="AA667" s="4">
        <v>337</v>
      </c>
      <c r="AB667" s="4">
        <v>5</v>
      </c>
      <c r="AC667" s="4">
        <v>5</v>
      </c>
      <c r="AD667" s="4">
        <v>13</v>
      </c>
      <c r="AE667" s="4">
        <v>16</v>
      </c>
      <c r="AF667" s="4">
        <v>6</v>
      </c>
      <c r="AG667" s="4">
        <v>8</v>
      </c>
      <c r="AH667" s="4">
        <v>2</v>
      </c>
      <c r="AI667" s="4">
        <v>4</v>
      </c>
      <c r="AJ667" s="4">
        <v>5</v>
      </c>
      <c r="AK667" s="4">
        <v>5</v>
      </c>
      <c r="AL667" s="4">
        <v>4</v>
      </c>
      <c r="AM667" s="4">
        <v>4</v>
      </c>
      <c r="AN667" s="4">
        <v>0</v>
      </c>
      <c r="AO667" s="4">
        <v>0</v>
      </c>
      <c r="AP667" s="3" t="s">
        <v>59</v>
      </c>
      <c r="AQ667" s="3" t="s">
        <v>69</v>
      </c>
      <c r="AR667" s="6" t="str">
        <f>HYPERLINK("http://catalog.hathitrust.org/Record/002866917","HathiTrust Record")</f>
        <v>HathiTrust Record</v>
      </c>
      <c r="AS667" s="6" t="str">
        <f>HYPERLINK("https://creighton-primo.hosted.exlibrisgroup.com/primo-explore/search?tab=default_tab&amp;search_scope=EVERYTHING&amp;vid=01CRU&amp;lang=en_US&amp;offset=0&amp;query=any,contains,991002266509702656","Catalog Record")</f>
        <v>Catalog Record</v>
      </c>
      <c r="AT667" s="6" t="str">
        <f>HYPERLINK("http://www.worldcat.org/oclc/29390160","WorldCat Record")</f>
        <v>WorldCat Record</v>
      </c>
      <c r="AU667" s="3" t="s">
        <v>8014</v>
      </c>
      <c r="AV667" s="3" t="s">
        <v>8015</v>
      </c>
      <c r="AW667" s="3" t="s">
        <v>8016</v>
      </c>
      <c r="AX667" s="3" t="s">
        <v>8016</v>
      </c>
      <c r="AY667" s="3" t="s">
        <v>8017</v>
      </c>
      <c r="AZ667" s="3" t="s">
        <v>74</v>
      </c>
      <c r="BB667" s="3" t="s">
        <v>8018</v>
      </c>
      <c r="BC667" s="3" t="s">
        <v>8019</v>
      </c>
      <c r="BD667" s="3" t="s">
        <v>8020</v>
      </c>
    </row>
    <row r="668" spans="1:56" ht="57.75" customHeight="1" x14ac:dyDescent="0.25">
      <c r="A668" s="7" t="s">
        <v>59</v>
      </c>
      <c r="B668" s="2" t="s">
        <v>8021</v>
      </c>
      <c r="C668" s="2" t="s">
        <v>8022</v>
      </c>
      <c r="D668" s="2" t="s">
        <v>8023</v>
      </c>
      <c r="F668" s="3" t="s">
        <v>59</v>
      </c>
      <c r="G668" s="3" t="s">
        <v>60</v>
      </c>
      <c r="H668" s="3" t="s">
        <v>59</v>
      </c>
      <c r="I668" s="3" t="s">
        <v>59</v>
      </c>
      <c r="J668" s="3" t="s">
        <v>61</v>
      </c>
      <c r="L668" s="2" t="s">
        <v>3875</v>
      </c>
      <c r="M668" s="3" t="s">
        <v>540</v>
      </c>
      <c r="O668" s="3" t="s">
        <v>64</v>
      </c>
      <c r="P668" s="3" t="s">
        <v>467</v>
      </c>
      <c r="Q668" s="2" t="s">
        <v>3735</v>
      </c>
      <c r="R668" s="3" t="s">
        <v>67</v>
      </c>
      <c r="S668" s="4">
        <v>6</v>
      </c>
      <c r="T668" s="4">
        <v>6</v>
      </c>
      <c r="U668" s="5" t="s">
        <v>7999</v>
      </c>
      <c r="V668" s="5" t="s">
        <v>7999</v>
      </c>
      <c r="W668" s="5" t="s">
        <v>8024</v>
      </c>
      <c r="X668" s="5" t="s">
        <v>8024</v>
      </c>
      <c r="Y668" s="4">
        <v>313</v>
      </c>
      <c r="Z668" s="4">
        <v>232</v>
      </c>
      <c r="AA668" s="4">
        <v>257</v>
      </c>
      <c r="AB668" s="4">
        <v>3</v>
      </c>
      <c r="AC668" s="4">
        <v>3</v>
      </c>
      <c r="AD668" s="4">
        <v>6</v>
      </c>
      <c r="AE668" s="4">
        <v>7</v>
      </c>
      <c r="AF668" s="4">
        <v>2</v>
      </c>
      <c r="AG668" s="4">
        <v>3</v>
      </c>
      <c r="AH668" s="4">
        <v>1</v>
      </c>
      <c r="AI668" s="4">
        <v>1</v>
      </c>
      <c r="AJ668" s="4">
        <v>3</v>
      </c>
      <c r="AK668" s="4">
        <v>4</v>
      </c>
      <c r="AL668" s="4">
        <v>2</v>
      </c>
      <c r="AM668" s="4">
        <v>2</v>
      </c>
      <c r="AN668" s="4">
        <v>0</v>
      </c>
      <c r="AO668" s="4">
        <v>0</v>
      </c>
      <c r="AP668" s="3" t="s">
        <v>59</v>
      </c>
      <c r="AQ668" s="3" t="s">
        <v>69</v>
      </c>
      <c r="AR668" s="6" t="str">
        <f>HYPERLINK("http://catalog.hathitrust.org/Record/000226001","HathiTrust Record")</f>
        <v>HathiTrust Record</v>
      </c>
      <c r="AS668" s="6" t="str">
        <f>HYPERLINK("https://creighton-primo.hosted.exlibrisgroup.com/primo-explore/search?tab=default_tab&amp;search_scope=EVERYTHING&amp;vid=01CRU&amp;lang=en_US&amp;offset=0&amp;query=any,contains,991005116479702656","Catalog Record")</f>
        <v>Catalog Record</v>
      </c>
      <c r="AT668" s="6" t="str">
        <f>HYPERLINK("http://www.worldcat.org/oclc/7462981","WorldCat Record")</f>
        <v>WorldCat Record</v>
      </c>
      <c r="AU668" s="3" t="s">
        <v>8025</v>
      </c>
      <c r="AV668" s="3" t="s">
        <v>8026</v>
      </c>
      <c r="AW668" s="3" t="s">
        <v>8027</v>
      </c>
      <c r="AX668" s="3" t="s">
        <v>8027</v>
      </c>
      <c r="AY668" s="3" t="s">
        <v>8028</v>
      </c>
      <c r="AZ668" s="3" t="s">
        <v>74</v>
      </c>
      <c r="BC668" s="3" t="s">
        <v>8029</v>
      </c>
      <c r="BD668" s="3" t="s">
        <v>8030</v>
      </c>
    </row>
    <row r="669" spans="1:56" ht="57.75" customHeight="1" x14ac:dyDescent="0.25">
      <c r="A669" s="7" t="s">
        <v>59</v>
      </c>
      <c r="B669" s="2" t="s">
        <v>8031</v>
      </c>
      <c r="C669" s="2" t="s">
        <v>8032</v>
      </c>
      <c r="D669" s="2" t="s">
        <v>8033</v>
      </c>
      <c r="E669" s="3" t="s">
        <v>2287</v>
      </c>
      <c r="F669" s="3" t="s">
        <v>59</v>
      </c>
      <c r="G669" s="3" t="s">
        <v>60</v>
      </c>
      <c r="H669" s="3" t="s">
        <v>59</v>
      </c>
      <c r="I669" s="3" t="s">
        <v>59</v>
      </c>
      <c r="J669" s="3" t="s">
        <v>61</v>
      </c>
      <c r="L669" s="2" t="s">
        <v>8034</v>
      </c>
      <c r="M669" s="3" t="s">
        <v>2202</v>
      </c>
      <c r="O669" s="3" t="s">
        <v>64</v>
      </c>
      <c r="P669" s="3" t="s">
        <v>8035</v>
      </c>
      <c r="Q669" s="2" t="s">
        <v>8036</v>
      </c>
      <c r="R669" s="3" t="s">
        <v>67</v>
      </c>
      <c r="S669" s="4">
        <v>1</v>
      </c>
      <c r="T669" s="4">
        <v>1</v>
      </c>
      <c r="U669" s="5" t="s">
        <v>8037</v>
      </c>
      <c r="V669" s="5" t="s">
        <v>8037</v>
      </c>
      <c r="W669" s="5" t="s">
        <v>408</v>
      </c>
      <c r="X669" s="5" t="s">
        <v>408</v>
      </c>
      <c r="Y669" s="4">
        <v>108</v>
      </c>
      <c r="Z669" s="4">
        <v>61</v>
      </c>
      <c r="AA669" s="4">
        <v>119</v>
      </c>
      <c r="AB669" s="4">
        <v>1</v>
      </c>
      <c r="AC669" s="4">
        <v>2</v>
      </c>
      <c r="AD669" s="4">
        <v>5</v>
      </c>
      <c r="AE669" s="4">
        <v>8</v>
      </c>
      <c r="AF669" s="4">
        <v>1</v>
      </c>
      <c r="AG669" s="4">
        <v>3</v>
      </c>
      <c r="AH669" s="4">
        <v>1</v>
      </c>
      <c r="AI669" s="4">
        <v>2</v>
      </c>
      <c r="AJ669" s="4">
        <v>4</v>
      </c>
      <c r="AK669" s="4">
        <v>4</v>
      </c>
      <c r="AL669" s="4">
        <v>0</v>
      </c>
      <c r="AM669" s="4">
        <v>1</v>
      </c>
      <c r="AN669" s="4">
        <v>0</v>
      </c>
      <c r="AO669" s="4">
        <v>0</v>
      </c>
      <c r="AP669" s="3" t="s">
        <v>59</v>
      </c>
      <c r="AQ669" s="3" t="s">
        <v>59</v>
      </c>
      <c r="AS669" s="6" t="str">
        <f>HYPERLINK("https://creighton-primo.hosted.exlibrisgroup.com/primo-explore/search?tab=default_tab&amp;search_scope=EVERYTHING&amp;vid=01CRU&amp;lang=en_US&amp;offset=0&amp;query=any,contains,991003185399702656","Catalog Record")</f>
        <v>Catalog Record</v>
      </c>
      <c r="AT669" s="6" t="str">
        <f>HYPERLINK("http://www.worldcat.org/oclc/24080560","WorldCat Record")</f>
        <v>WorldCat Record</v>
      </c>
      <c r="AU669" s="3" t="s">
        <v>8038</v>
      </c>
      <c r="AV669" s="3" t="s">
        <v>8039</v>
      </c>
      <c r="AW669" s="3" t="s">
        <v>8040</v>
      </c>
      <c r="AX669" s="3" t="s">
        <v>8040</v>
      </c>
      <c r="AY669" s="3" t="s">
        <v>8041</v>
      </c>
      <c r="AZ669" s="3" t="s">
        <v>74</v>
      </c>
      <c r="BC669" s="3" t="s">
        <v>8042</v>
      </c>
      <c r="BD669" s="3" t="s">
        <v>8043</v>
      </c>
    </row>
    <row r="670" spans="1:56" ht="57.75" customHeight="1" x14ac:dyDescent="0.25">
      <c r="A670" s="7" t="s">
        <v>59</v>
      </c>
      <c r="B670" s="2" t="s">
        <v>8044</v>
      </c>
      <c r="C670" s="2" t="s">
        <v>8045</v>
      </c>
      <c r="D670" s="2" t="s">
        <v>8046</v>
      </c>
      <c r="E670" s="3" t="s">
        <v>8047</v>
      </c>
      <c r="F670" s="3" t="s">
        <v>69</v>
      </c>
      <c r="G670" s="3" t="s">
        <v>60</v>
      </c>
      <c r="H670" s="3" t="s">
        <v>59</v>
      </c>
      <c r="I670" s="3" t="s">
        <v>59</v>
      </c>
      <c r="J670" s="3" t="s">
        <v>61</v>
      </c>
      <c r="L670" s="2" t="s">
        <v>4963</v>
      </c>
      <c r="M670" s="3" t="s">
        <v>1430</v>
      </c>
      <c r="O670" s="3" t="s">
        <v>64</v>
      </c>
      <c r="P670" s="3" t="s">
        <v>2362</v>
      </c>
      <c r="Q670" s="2" t="s">
        <v>8048</v>
      </c>
      <c r="R670" s="3" t="s">
        <v>67</v>
      </c>
      <c r="S670" s="4">
        <v>1</v>
      </c>
      <c r="T670" s="4">
        <v>1</v>
      </c>
      <c r="U670" s="5" t="s">
        <v>7594</v>
      </c>
      <c r="V670" s="5" t="s">
        <v>7594</v>
      </c>
      <c r="W670" s="5" t="s">
        <v>4553</v>
      </c>
      <c r="X670" s="5" t="s">
        <v>4553</v>
      </c>
      <c r="Y670" s="4">
        <v>65</v>
      </c>
      <c r="Z670" s="4">
        <v>47</v>
      </c>
      <c r="AA670" s="4">
        <v>49</v>
      </c>
      <c r="AB670" s="4">
        <v>1</v>
      </c>
      <c r="AC670" s="4">
        <v>1</v>
      </c>
      <c r="AD670" s="4">
        <v>4</v>
      </c>
      <c r="AE670" s="4">
        <v>4</v>
      </c>
      <c r="AF670" s="4">
        <v>1</v>
      </c>
      <c r="AG670" s="4">
        <v>1</v>
      </c>
      <c r="AH670" s="4">
        <v>1</v>
      </c>
      <c r="AI670" s="4">
        <v>1</v>
      </c>
      <c r="AJ670" s="4">
        <v>3</v>
      </c>
      <c r="AK670" s="4">
        <v>3</v>
      </c>
      <c r="AL670" s="4">
        <v>0</v>
      </c>
      <c r="AM670" s="4">
        <v>0</v>
      </c>
      <c r="AN670" s="4">
        <v>0</v>
      </c>
      <c r="AO670" s="4">
        <v>0</v>
      </c>
      <c r="AP670" s="3" t="s">
        <v>59</v>
      </c>
      <c r="AQ670" s="3" t="s">
        <v>59</v>
      </c>
      <c r="AS670" s="6" t="str">
        <f>HYPERLINK("https://creighton-primo.hosted.exlibrisgroup.com/primo-explore/search?tab=default_tab&amp;search_scope=EVERYTHING&amp;vid=01CRU&amp;lang=en_US&amp;offset=0&amp;query=any,contains,991003531799702656","Catalog Record")</f>
        <v>Catalog Record</v>
      </c>
      <c r="AT670" s="6" t="str">
        <f>HYPERLINK("http://www.worldcat.org/oclc/38318138","WorldCat Record")</f>
        <v>WorldCat Record</v>
      </c>
      <c r="AU670" s="3" t="s">
        <v>8049</v>
      </c>
      <c r="AV670" s="3" t="s">
        <v>8050</v>
      </c>
      <c r="AW670" s="3" t="s">
        <v>8051</v>
      </c>
      <c r="AX670" s="3" t="s">
        <v>8051</v>
      </c>
      <c r="AY670" s="3" t="s">
        <v>8052</v>
      </c>
      <c r="AZ670" s="3" t="s">
        <v>74</v>
      </c>
      <c r="BB670" s="3" t="s">
        <v>8053</v>
      </c>
      <c r="BC670" s="3" t="s">
        <v>8054</v>
      </c>
      <c r="BD670" s="3" t="s">
        <v>8055</v>
      </c>
    </row>
    <row r="671" spans="1:56" ht="57.75" customHeight="1" x14ac:dyDescent="0.25">
      <c r="A671" s="7" t="s">
        <v>59</v>
      </c>
      <c r="B671" s="2" t="s">
        <v>8044</v>
      </c>
      <c r="C671" s="2" t="s">
        <v>8045</v>
      </c>
      <c r="D671" s="2" t="s">
        <v>8046</v>
      </c>
      <c r="E671" s="3" t="s">
        <v>8056</v>
      </c>
      <c r="F671" s="3" t="s">
        <v>69</v>
      </c>
      <c r="G671" s="3" t="s">
        <v>60</v>
      </c>
      <c r="H671" s="3" t="s">
        <v>59</v>
      </c>
      <c r="I671" s="3" t="s">
        <v>59</v>
      </c>
      <c r="J671" s="3" t="s">
        <v>61</v>
      </c>
      <c r="L671" s="2" t="s">
        <v>4963</v>
      </c>
      <c r="M671" s="3" t="s">
        <v>1430</v>
      </c>
      <c r="O671" s="3" t="s">
        <v>64</v>
      </c>
      <c r="P671" s="3" t="s">
        <v>2362</v>
      </c>
      <c r="Q671" s="2" t="s">
        <v>8048</v>
      </c>
      <c r="R671" s="3" t="s">
        <v>67</v>
      </c>
      <c r="S671" s="4">
        <v>0</v>
      </c>
      <c r="T671" s="4">
        <v>1</v>
      </c>
      <c r="V671" s="5" t="s">
        <v>7594</v>
      </c>
      <c r="W671" s="5" t="s">
        <v>4553</v>
      </c>
      <c r="X671" s="5" t="s">
        <v>4553</v>
      </c>
      <c r="Y671" s="4">
        <v>65</v>
      </c>
      <c r="Z671" s="4">
        <v>47</v>
      </c>
      <c r="AA671" s="4">
        <v>49</v>
      </c>
      <c r="AB671" s="4">
        <v>1</v>
      </c>
      <c r="AC671" s="4">
        <v>1</v>
      </c>
      <c r="AD671" s="4">
        <v>4</v>
      </c>
      <c r="AE671" s="4">
        <v>4</v>
      </c>
      <c r="AF671" s="4">
        <v>1</v>
      </c>
      <c r="AG671" s="4">
        <v>1</v>
      </c>
      <c r="AH671" s="4">
        <v>1</v>
      </c>
      <c r="AI671" s="4">
        <v>1</v>
      </c>
      <c r="AJ671" s="4">
        <v>3</v>
      </c>
      <c r="AK671" s="4">
        <v>3</v>
      </c>
      <c r="AL671" s="4">
        <v>0</v>
      </c>
      <c r="AM671" s="4">
        <v>0</v>
      </c>
      <c r="AN671" s="4">
        <v>0</v>
      </c>
      <c r="AO671" s="4">
        <v>0</v>
      </c>
      <c r="AP671" s="3" t="s">
        <v>59</v>
      </c>
      <c r="AQ671" s="3" t="s">
        <v>59</v>
      </c>
      <c r="AS671" s="6" t="str">
        <f>HYPERLINK("https://creighton-primo.hosted.exlibrisgroup.com/primo-explore/search?tab=default_tab&amp;search_scope=EVERYTHING&amp;vid=01CRU&amp;lang=en_US&amp;offset=0&amp;query=any,contains,991003531799702656","Catalog Record")</f>
        <v>Catalog Record</v>
      </c>
      <c r="AT671" s="6" t="str">
        <f>HYPERLINK("http://www.worldcat.org/oclc/38318138","WorldCat Record")</f>
        <v>WorldCat Record</v>
      </c>
      <c r="AU671" s="3" t="s">
        <v>8049</v>
      </c>
      <c r="AV671" s="3" t="s">
        <v>8050</v>
      </c>
      <c r="AW671" s="3" t="s">
        <v>8051</v>
      </c>
      <c r="AX671" s="3" t="s">
        <v>8051</v>
      </c>
      <c r="AY671" s="3" t="s">
        <v>8052</v>
      </c>
      <c r="AZ671" s="3" t="s">
        <v>74</v>
      </c>
      <c r="BB671" s="3" t="s">
        <v>8053</v>
      </c>
      <c r="BC671" s="3" t="s">
        <v>8057</v>
      </c>
      <c r="BD671" s="3" t="s">
        <v>8058</v>
      </c>
    </row>
    <row r="672" spans="1:56" ht="57.75" customHeight="1" x14ac:dyDescent="0.25">
      <c r="A672" s="7" t="s">
        <v>59</v>
      </c>
      <c r="B672" s="2" t="s">
        <v>8059</v>
      </c>
      <c r="C672" s="2" t="s">
        <v>8060</v>
      </c>
      <c r="D672" s="2" t="s">
        <v>8061</v>
      </c>
      <c r="E672" s="3" t="s">
        <v>2242</v>
      </c>
      <c r="F672" s="3" t="s">
        <v>59</v>
      </c>
      <c r="G672" s="3" t="s">
        <v>60</v>
      </c>
      <c r="H672" s="3" t="s">
        <v>59</v>
      </c>
      <c r="I672" s="3" t="s">
        <v>59</v>
      </c>
      <c r="J672" s="3" t="s">
        <v>61</v>
      </c>
      <c r="L672" s="2" t="s">
        <v>8062</v>
      </c>
      <c r="M672" s="3" t="s">
        <v>511</v>
      </c>
      <c r="O672" s="3" t="s">
        <v>64</v>
      </c>
      <c r="P672" s="3" t="s">
        <v>1078</v>
      </c>
      <c r="Q672" s="2" t="s">
        <v>8063</v>
      </c>
      <c r="R672" s="3" t="s">
        <v>67</v>
      </c>
      <c r="S672" s="4">
        <v>4</v>
      </c>
      <c r="T672" s="4">
        <v>4</v>
      </c>
      <c r="U672" s="5" t="s">
        <v>8064</v>
      </c>
      <c r="V672" s="5" t="s">
        <v>8064</v>
      </c>
      <c r="W672" s="5" t="s">
        <v>8065</v>
      </c>
      <c r="X672" s="5" t="s">
        <v>8065</v>
      </c>
      <c r="Y672" s="4">
        <v>179</v>
      </c>
      <c r="Z672" s="4">
        <v>119</v>
      </c>
      <c r="AA672" s="4">
        <v>140</v>
      </c>
      <c r="AB672" s="4">
        <v>1</v>
      </c>
      <c r="AC672" s="4">
        <v>2</v>
      </c>
      <c r="AD672" s="4">
        <v>5</v>
      </c>
      <c r="AE672" s="4">
        <v>7</v>
      </c>
      <c r="AF672" s="4">
        <v>2</v>
      </c>
      <c r="AG672" s="4">
        <v>3</v>
      </c>
      <c r="AH672" s="4">
        <v>1</v>
      </c>
      <c r="AI672" s="4">
        <v>2</v>
      </c>
      <c r="AJ672" s="4">
        <v>3</v>
      </c>
      <c r="AK672" s="4">
        <v>3</v>
      </c>
      <c r="AL672" s="4">
        <v>0</v>
      </c>
      <c r="AM672" s="4">
        <v>1</v>
      </c>
      <c r="AN672" s="4">
        <v>0</v>
      </c>
      <c r="AO672" s="4">
        <v>0</v>
      </c>
      <c r="AP672" s="3" t="s">
        <v>59</v>
      </c>
      <c r="AQ672" s="3" t="s">
        <v>59</v>
      </c>
      <c r="AS672" s="6" t="str">
        <f>HYPERLINK("https://creighton-primo.hosted.exlibrisgroup.com/primo-explore/search?tab=default_tab&amp;search_scope=EVERYTHING&amp;vid=01CRU&amp;lang=en_US&amp;offset=0&amp;query=any,contains,991003188509702656","Catalog Record")</f>
        <v>Catalog Record</v>
      </c>
      <c r="AT672" s="6" t="str">
        <f>HYPERLINK("http://www.worldcat.org/oclc/32774118","WorldCat Record")</f>
        <v>WorldCat Record</v>
      </c>
      <c r="AU672" s="3" t="s">
        <v>8066</v>
      </c>
      <c r="AV672" s="3" t="s">
        <v>8067</v>
      </c>
      <c r="AW672" s="3" t="s">
        <v>8068</v>
      </c>
      <c r="AX672" s="3" t="s">
        <v>8068</v>
      </c>
      <c r="AY672" s="3" t="s">
        <v>8069</v>
      </c>
      <c r="AZ672" s="3" t="s">
        <v>74</v>
      </c>
      <c r="BB672" s="3" t="s">
        <v>8070</v>
      </c>
      <c r="BC672" s="3" t="s">
        <v>8071</v>
      </c>
      <c r="BD672" s="3" t="s">
        <v>8072</v>
      </c>
    </row>
    <row r="673" spans="1:56" ht="57.75" customHeight="1" x14ac:dyDescent="0.25">
      <c r="A673" s="7" t="s">
        <v>59</v>
      </c>
      <c r="B673" s="2" t="s">
        <v>8073</v>
      </c>
      <c r="C673" s="2" t="s">
        <v>8074</v>
      </c>
      <c r="D673" s="2" t="s">
        <v>8075</v>
      </c>
      <c r="E673" s="3" t="s">
        <v>2280</v>
      </c>
      <c r="F673" s="3" t="s">
        <v>59</v>
      </c>
      <c r="G673" s="3" t="s">
        <v>60</v>
      </c>
      <c r="H673" s="3" t="s">
        <v>59</v>
      </c>
      <c r="I673" s="3" t="s">
        <v>59</v>
      </c>
      <c r="J673" s="3" t="s">
        <v>61</v>
      </c>
      <c r="L673" s="2" t="s">
        <v>8076</v>
      </c>
      <c r="M673" s="3" t="s">
        <v>776</v>
      </c>
      <c r="O673" s="3" t="s">
        <v>64</v>
      </c>
      <c r="P673" s="3" t="s">
        <v>8035</v>
      </c>
      <c r="Q673" s="2" t="s">
        <v>8077</v>
      </c>
      <c r="R673" s="3" t="s">
        <v>67</v>
      </c>
      <c r="S673" s="4">
        <v>1</v>
      </c>
      <c r="T673" s="4">
        <v>1</v>
      </c>
      <c r="U673" s="5" t="s">
        <v>469</v>
      </c>
      <c r="V673" s="5" t="s">
        <v>469</v>
      </c>
      <c r="W673" s="5" t="s">
        <v>408</v>
      </c>
      <c r="X673" s="5" t="s">
        <v>408</v>
      </c>
      <c r="Y673" s="4">
        <v>100</v>
      </c>
      <c r="Z673" s="4">
        <v>60</v>
      </c>
      <c r="AA673" s="4">
        <v>120</v>
      </c>
      <c r="AB673" s="4">
        <v>1</v>
      </c>
      <c r="AC673" s="4">
        <v>3</v>
      </c>
      <c r="AD673" s="4">
        <v>4</v>
      </c>
      <c r="AE673" s="4">
        <v>8</v>
      </c>
      <c r="AF673" s="4">
        <v>1</v>
      </c>
      <c r="AG673" s="4">
        <v>3</v>
      </c>
      <c r="AH673" s="4">
        <v>1</v>
      </c>
      <c r="AI673" s="4">
        <v>2</v>
      </c>
      <c r="AJ673" s="4">
        <v>3</v>
      </c>
      <c r="AK673" s="4">
        <v>3</v>
      </c>
      <c r="AL673" s="4">
        <v>0</v>
      </c>
      <c r="AM673" s="4">
        <v>2</v>
      </c>
      <c r="AN673" s="4">
        <v>0</v>
      </c>
      <c r="AO673" s="4">
        <v>0</v>
      </c>
      <c r="AP673" s="3" t="s">
        <v>59</v>
      </c>
      <c r="AQ673" s="3" t="s">
        <v>59</v>
      </c>
      <c r="AS673" s="6" t="str">
        <f>HYPERLINK("https://creighton-primo.hosted.exlibrisgroup.com/primo-explore/search?tab=default_tab&amp;search_scope=EVERYTHING&amp;vid=01CRU&amp;lang=en_US&amp;offset=0&amp;query=any,contains,991003185489702656","Catalog Record")</f>
        <v>Catalog Record</v>
      </c>
      <c r="AT673" s="6" t="str">
        <f>HYPERLINK("http://www.worldcat.org/oclc/24152018","WorldCat Record")</f>
        <v>WorldCat Record</v>
      </c>
      <c r="AU673" s="3" t="s">
        <v>8078</v>
      </c>
      <c r="AV673" s="3" t="s">
        <v>8079</v>
      </c>
      <c r="AW673" s="3" t="s">
        <v>8080</v>
      </c>
      <c r="AX673" s="3" t="s">
        <v>8080</v>
      </c>
      <c r="AY673" s="3" t="s">
        <v>8081</v>
      </c>
      <c r="AZ673" s="3" t="s">
        <v>74</v>
      </c>
      <c r="BC673" s="3" t="s">
        <v>8082</v>
      </c>
      <c r="BD673" s="3" t="s">
        <v>8083</v>
      </c>
    </row>
    <row r="674" spans="1:56" ht="57.75" customHeight="1" x14ac:dyDescent="0.25">
      <c r="A674" s="7" t="s">
        <v>59</v>
      </c>
      <c r="B674" s="2" t="s">
        <v>8084</v>
      </c>
      <c r="C674" s="2" t="s">
        <v>8085</v>
      </c>
      <c r="D674" s="2" t="s">
        <v>8086</v>
      </c>
      <c r="E674" s="3" t="s">
        <v>2257</v>
      </c>
      <c r="F674" s="3" t="s">
        <v>59</v>
      </c>
      <c r="G674" s="3" t="s">
        <v>60</v>
      </c>
      <c r="H674" s="3" t="s">
        <v>59</v>
      </c>
      <c r="I674" s="3" t="s">
        <v>59</v>
      </c>
      <c r="J674" s="3" t="s">
        <v>61</v>
      </c>
      <c r="L674" s="2" t="s">
        <v>8087</v>
      </c>
      <c r="M674" s="3" t="s">
        <v>436</v>
      </c>
      <c r="O674" s="3" t="s">
        <v>64</v>
      </c>
      <c r="P674" s="3" t="s">
        <v>467</v>
      </c>
      <c r="Q674" s="2" t="s">
        <v>8088</v>
      </c>
      <c r="R674" s="3" t="s">
        <v>67</v>
      </c>
      <c r="S674" s="4">
        <v>2</v>
      </c>
      <c r="T674" s="4">
        <v>2</v>
      </c>
      <c r="U674" s="5" t="s">
        <v>8089</v>
      </c>
      <c r="V674" s="5" t="s">
        <v>8089</v>
      </c>
      <c r="W674" s="5" t="s">
        <v>408</v>
      </c>
      <c r="X674" s="5" t="s">
        <v>408</v>
      </c>
      <c r="Y674" s="4">
        <v>102</v>
      </c>
      <c r="Z674" s="4">
        <v>61</v>
      </c>
      <c r="AA674" s="4">
        <v>117</v>
      </c>
      <c r="AB674" s="4">
        <v>1</v>
      </c>
      <c r="AC674" s="4">
        <v>2</v>
      </c>
      <c r="AD674" s="4">
        <v>4</v>
      </c>
      <c r="AE674" s="4">
        <v>7</v>
      </c>
      <c r="AF674" s="4">
        <v>1</v>
      </c>
      <c r="AG674" s="4">
        <v>3</v>
      </c>
      <c r="AH674" s="4">
        <v>1</v>
      </c>
      <c r="AI674" s="4">
        <v>2</v>
      </c>
      <c r="AJ674" s="4">
        <v>3</v>
      </c>
      <c r="AK674" s="4">
        <v>3</v>
      </c>
      <c r="AL674" s="4">
        <v>0</v>
      </c>
      <c r="AM674" s="4">
        <v>1</v>
      </c>
      <c r="AN674" s="4">
        <v>0</v>
      </c>
      <c r="AO674" s="4">
        <v>0</v>
      </c>
      <c r="AP674" s="3" t="s">
        <v>59</v>
      </c>
      <c r="AQ674" s="3" t="s">
        <v>59</v>
      </c>
      <c r="AS674" s="6" t="str">
        <f>HYPERLINK("https://creighton-primo.hosted.exlibrisgroup.com/primo-explore/search?tab=default_tab&amp;search_scope=EVERYTHING&amp;vid=01CRU&amp;lang=en_US&amp;offset=0&amp;query=any,contains,991003185459702656","Catalog Record")</f>
        <v>Catalog Record</v>
      </c>
      <c r="AT674" s="6" t="str">
        <f>HYPERLINK("http://www.worldcat.org/oclc/24080825","WorldCat Record")</f>
        <v>WorldCat Record</v>
      </c>
      <c r="AU674" s="3" t="s">
        <v>8090</v>
      </c>
      <c r="AV674" s="3" t="s">
        <v>8091</v>
      </c>
      <c r="AW674" s="3" t="s">
        <v>8092</v>
      </c>
      <c r="AX674" s="3" t="s">
        <v>8092</v>
      </c>
      <c r="AY674" s="3" t="s">
        <v>8093</v>
      </c>
      <c r="AZ674" s="3" t="s">
        <v>74</v>
      </c>
      <c r="BB674" s="3" t="s">
        <v>8094</v>
      </c>
      <c r="BC674" s="3" t="s">
        <v>8095</v>
      </c>
      <c r="BD674" s="3" t="s">
        <v>8096</v>
      </c>
    </row>
    <row r="675" spans="1:56" ht="57.75" customHeight="1" x14ac:dyDescent="0.25">
      <c r="A675" s="7" t="s">
        <v>59</v>
      </c>
      <c r="B675" s="2" t="s">
        <v>8097</v>
      </c>
      <c r="C675" s="2" t="s">
        <v>8098</v>
      </c>
      <c r="D675" s="2" t="s">
        <v>8099</v>
      </c>
      <c r="F675" s="3" t="s">
        <v>59</v>
      </c>
      <c r="G675" s="3" t="s">
        <v>60</v>
      </c>
      <c r="H675" s="3" t="s">
        <v>59</v>
      </c>
      <c r="I675" s="3" t="s">
        <v>59</v>
      </c>
      <c r="J675" s="3" t="s">
        <v>61</v>
      </c>
      <c r="K675" s="2" t="s">
        <v>8100</v>
      </c>
      <c r="L675" s="2" t="s">
        <v>8101</v>
      </c>
      <c r="M675" s="3" t="s">
        <v>2202</v>
      </c>
      <c r="O675" s="3" t="s">
        <v>64</v>
      </c>
      <c r="P675" s="3" t="s">
        <v>3953</v>
      </c>
      <c r="R675" s="3" t="s">
        <v>67</v>
      </c>
      <c r="S675" s="4">
        <v>3</v>
      </c>
      <c r="T675" s="4">
        <v>3</v>
      </c>
      <c r="U675" s="5" t="s">
        <v>1787</v>
      </c>
      <c r="V675" s="5" t="s">
        <v>1787</v>
      </c>
      <c r="W675" s="5" t="s">
        <v>8102</v>
      </c>
      <c r="X675" s="5" t="s">
        <v>8102</v>
      </c>
      <c r="Y675" s="4">
        <v>436</v>
      </c>
      <c r="Z675" s="4">
        <v>363</v>
      </c>
      <c r="AA675" s="4">
        <v>373</v>
      </c>
      <c r="AB675" s="4">
        <v>2</v>
      </c>
      <c r="AC675" s="4">
        <v>2</v>
      </c>
      <c r="AD675" s="4">
        <v>9</v>
      </c>
      <c r="AE675" s="4">
        <v>10</v>
      </c>
      <c r="AF675" s="4">
        <v>4</v>
      </c>
      <c r="AG675" s="4">
        <v>4</v>
      </c>
      <c r="AH675" s="4">
        <v>2</v>
      </c>
      <c r="AI675" s="4">
        <v>2</v>
      </c>
      <c r="AJ675" s="4">
        <v>3</v>
      </c>
      <c r="AK675" s="4">
        <v>4</v>
      </c>
      <c r="AL675" s="4">
        <v>1</v>
      </c>
      <c r="AM675" s="4">
        <v>1</v>
      </c>
      <c r="AN675" s="4">
        <v>0</v>
      </c>
      <c r="AO675" s="4">
        <v>0</v>
      </c>
      <c r="AP675" s="3" t="s">
        <v>59</v>
      </c>
      <c r="AQ675" s="3" t="s">
        <v>69</v>
      </c>
      <c r="AR675" s="6" t="str">
        <f>HYPERLINK("http://catalog.hathitrust.org/Record/001501034","HathiTrust Record")</f>
        <v>HathiTrust Record</v>
      </c>
      <c r="AS675" s="6" t="str">
        <f>HYPERLINK("https://creighton-primo.hosted.exlibrisgroup.com/primo-explore/search?tab=default_tab&amp;search_scope=EVERYTHING&amp;vid=01CRU&amp;lang=en_US&amp;offset=0&amp;query=any,contains,991000004089702656","Catalog Record")</f>
        <v>Catalog Record</v>
      </c>
      <c r="AT675" s="6" t="str">
        <f>HYPERLINK("http://www.worldcat.org/oclc/12459","WorldCat Record")</f>
        <v>WorldCat Record</v>
      </c>
      <c r="AU675" s="3" t="s">
        <v>8103</v>
      </c>
      <c r="AV675" s="3" t="s">
        <v>8104</v>
      </c>
      <c r="AW675" s="3" t="s">
        <v>8105</v>
      </c>
      <c r="AX675" s="3" t="s">
        <v>8105</v>
      </c>
      <c r="AY675" s="3" t="s">
        <v>8106</v>
      </c>
      <c r="AZ675" s="3" t="s">
        <v>74</v>
      </c>
      <c r="BC675" s="3" t="s">
        <v>8107</v>
      </c>
      <c r="BD675" s="3" t="s">
        <v>8108</v>
      </c>
    </row>
    <row r="676" spans="1:56" ht="57.75" customHeight="1" x14ac:dyDescent="0.25">
      <c r="A676" s="7" t="s">
        <v>59</v>
      </c>
      <c r="B676" s="2" t="s">
        <v>8109</v>
      </c>
      <c r="C676" s="2" t="s">
        <v>8110</v>
      </c>
      <c r="D676" s="2" t="s">
        <v>8111</v>
      </c>
      <c r="F676" s="3" t="s">
        <v>59</v>
      </c>
      <c r="G676" s="3" t="s">
        <v>60</v>
      </c>
      <c r="H676" s="3" t="s">
        <v>59</v>
      </c>
      <c r="I676" s="3" t="s">
        <v>59</v>
      </c>
      <c r="J676" s="3" t="s">
        <v>61</v>
      </c>
      <c r="L676" s="2" t="s">
        <v>8112</v>
      </c>
      <c r="M676" s="3" t="s">
        <v>481</v>
      </c>
      <c r="O676" s="3" t="s">
        <v>64</v>
      </c>
      <c r="P676" s="3" t="s">
        <v>3953</v>
      </c>
      <c r="R676" s="3" t="s">
        <v>67</v>
      </c>
      <c r="S676" s="4">
        <v>1</v>
      </c>
      <c r="T676" s="4">
        <v>1</v>
      </c>
      <c r="U676" s="5" t="s">
        <v>8113</v>
      </c>
      <c r="V676" s="5" t="s">
        <v>8113</v>
      </c>
      <c r="W676" s="5" t="s">
        <v>6631</v>
      </c>
      <c r="X676" s="5" t="s">
        <v>6631</v>
      </c>
      <c r="Y676" s="4">
        <v>346</v>
      </c>
      <c r="Z676" s="4">
        <v>286</v>
      </c>
      <c r="AA676" s="4">
        <v>287</v>
      </c>
      <c r="AB676" s="4">
        <v>3</v>
      </c>
      <c r="AC676" s="4">
        <v>3</v>
      </c>
      <c r="AD676" s="4">
        <v>6</v>
      </c>
      <c r="AE676" s="4">
        <v>6</v>
      </c>
      <c r="AF676" s="4">
        <v>1</v>
      </c>
      <c r="AG676" s="4">
        <v>1</v>
      </c>
      <c r="AH676" s="4">
        <v>3</v>
      </c>
      <c r="AI676" s="4">
        <v>3</v>
      </c>
      <c r="AJ676" s="4">
        <v>2</v>
      </c>
      <c r="AK676" s="4">
        <v>2</v>
      </c>
      <c r="AL676" s="4">
        <v>2</v>
      </c>
      <c r="AM676" s="4">
        <v>2</v>
      </c>
      <c r="AN676" s="4">
        <v>0</v>
      </c>
      <c r="AO676" s="4">
        <v>0</v>
      </c>
      <c r="AP676" s="3" t="s">
        <v>59</v>
      </c>
      <c r="AQ676" s="3" t="s">
        <v>69</v>
      </c>
      <c r="AR676" s="6" t="str">
        <f>HYPERLINK("http://catalog.hathitrust.org/Record/001507085","HathiTrust Record")</f>
        <v>HathiTrust Record</v>
      </c>
      <c r="AS676" s="6" t="str">
        <f>HYPERLINK("https://creighton-primo.hosted.exlibrisgroup.com/primo-explore/search?tab=default_tab&amp;search_scope=EVERYTHING&amp;vid=01CRU&amp;lang=en_US&amp;offset=0&amp;query=any,contains,991003233339702656","Catalog Record")</f>
        <v>Catalog Record</v>
      </c>
      <c r="AT676" s="6" t="str">
        <f>HYPERLINK("http://www.worldcat.org/oclc/757732","WorldCat Record")</f>
        <v>WorldCat Record</v>
      </c>
      <c r="AU676" s="3" t="s">
        <v>8114</v>
      </c>
      <c r="AV676" s="3" t="s">
        <v>8115</v>
      </c>
      <c r="AW676" s="3" t="s">
        <v>8116</v>
      </c>
      <c r="AX676" s="3" t="s">
        <v>8116</v>
      </c>
      <c r="AY676" s="3" t="s">
        <v>8117</v>
      </c>
      <c r="AZ676" s="3" t="s">
        <v>74</v>
      </c>
      <c r="BC676" s="3" t="s">
        <v>8118</v>
      </c>
      <c r="BD676" s="3" t="s">
        <v>8119</v>
      </c>
    </row>
    <row r="677" spans="1:56" ht="57.75" customHeight="1" x14ac:dyDescent="0.25">
      <c r="A677" s="7" t="s">
        <v>59</v>
      </c>
      <c r="B677" s="2" t="s">
        <v>8120</v>
      </c>
      <c r="C677" s="2" t="s">
        <v>8121</v>
      </c>
      <c r="D677" s="2" t="s">
        <v>8122</v>
      </c>
      <c r="F677" s="3" t="s">
        <v>59</v>
      </c>
      <c r="G677" s="3" t="s">
        <v>60</v>
      </c>
      <c r="H677" s="3" t="s">
        <v>59</v>
      </c>
      <c r="I677" s="3" t="s">
        <v>59</v>
      </c>
      <c r="J677" s="3" t="s">
        <v>61</v>
      </c>
      <c r="K677" s="2" t="s">
        <v>8123</v>
      </c>
      <c r="L677" s="2" t="s">
        <v>4185</v>
      </c>
      <c r="M677" s="3" t="s">
        <v>511</v>
      </c>
      <c r="N677" s="2" t="s">
        <v>556</v>
      </c>
      <c r="O677" s="3" t="s">
        <v>64</v>
      </c>
      <c r="P677" s="3" t="s">
        <v>405</v>
      </c>
      <c r="Q677" s="2" t="s">
        <v>8124</v>
      </c>
      <c r="R677" s="3" t="s">
        <v>67</v>
      </c>
      <c r="S677" s="4">
        <v>11</v>
      </c>
      <c r="T677" s="4">
        <v>11</v>
      </c>
      <c r="U677" s="5" t="s">
        <v>469</v>
      </c>
      <c r="V677" s="5" t="s">
        <v>469</v>
      </c>
      <c r="W677" s="5" t="s">
        <v>8125</v>
      </c>
      <c r="X677" s="5" t="s">
        <v>8125</v>
      </c>
      <c r="Y677" s="4">
        <v>233</v>
      </c>
      <c r="Z677" s="4">
        <v>161</v>
      </c>
      <c r="AA677" s="4">
        <v>162</v>
      </c>
      <c r="AB677" s="4">
        <v>2</v>
      </c>
      <c r="AC677" s="4">
        <v>2</v>
      </c>
      <c r="AD677" s="4">
        <v>2</v>
      </c>
      <c r="AE677" s="4">
        <v>2</v>
      </c>
      <c r="AF677" s="4">
        <v>1</v>
      </c>
      <c r="AG677" s="4">
        <v>1</v>
      </c>
      <c r="AH677" s="4">
        <v>0</v>
      </c>
      <c r="AI677" s="4">
        <v>0</v>
      </c>
      <c r="AJ677" s="4">
        <v>0</v>
      </c>
      <c r="AK677" s="4">
        <v>0</v>
      </c>
      <c r="AL677" s="4">
        <v>1</v>
      </c>
      <c r="AM677" s="4">
        <v>1</v>
      </c>
      <c r="AN677" s="4">
        <v>0</v>
      </c>
      <c r="AO677" s="4">
        <v>0</v>
      </c>
      <c r="AP677" s="3" t="s">
        <v>59</v>
      </c>
      <c r="AQ677" s="3" t="s">
        <v>69</v>
      </c>
      <c r="AR677" s="6" t="str">
        <f>HYPERLINK("http://catalog.hathitrust.org/Record/003019863","HathiTrust Record")</f>
        <v>HathiTrust Record</v>
      </c>
      <c r="AS677" s="6" t="str">
        <f>HYPERLINK("https://creighton-primo.hosted.exlibrisgroup.com/primo-explore/search?tab=default_tab&amp;search_scope=EVERYTHING&amp;vid=01CRU&amp;lang=en_US&amp;offset=0&amp;query=any,contains,991002547149702656","Catalog Record")</f>
        <v>Catalog Record</v>
      </c>
      <c r="AT677" s="6" t="str">
        <f>HYPERLINK("http://www.worldcat.org/oclc/33100429","WorldCat Record")</f>
        <v>WorldCat Record</v>
      </c>
      <c r="AU677" s="3" t="s">
        <v>8126</v>
      </c>
      <c r="AV677" s="3" t="s">
        <v>8127</v>
      </c>
      <c r="AW677" s="3" t="s">
        <v>8128</v>
      </c>
      <c r="AX677" s="3" t="s">
        <v>8128</v>
      </c>
      <c r="AY677" s="3" t="s">
        <v>8129</v>
      </c>
      <c r="AZ677" s="3" t="s">
        <v>74</v>
      </c>
      <c r="BB677" s="3" t="s">
        <v>8130</v>
      </c>
      <c r="BC677" s="3" t="s">
        <v>8131</v>
      </c>
      <c r="BD677" s="3" t="s">
        <v>8132</v>
      </c>
    </row>
    <row r="678" spans="1:56" ht="57.75" customHeight="1" x14ac:dyDescent="0.25">
      <c r="A678" s="7" t="s">
        <v>59</v>
      </c>
      <c r="B678" s="2" t="s">
        <v>8133</v>
      </c>
      <c r="C678" s="2" t="s">
        <v>8134</v>
      </c>
      <c r="D678" s="2" t="s">
        <v>8135</v>
      </c>
      <c r="F678" s="3" t="s">
        <v>59</v>
      </c>
      <c r="G678" s="3" t="s">
        <v>60</v>
      </c>
      <c r="H678" s="3" t="s">
        <v>59</v>
      </c>
      <c r="I678" s="3" t="s">
        <v>59</v>
      </c>
      <c r="J678" s="3" t="s">
        <v>61</v>
      </c>
      <c r="K678" s="2" t="s">
        <v>8136</v>
      </c>
      <c r="L678" s="2" t="s">
        <v>2910</v>
      </c>
      <c r="M678" s="3" t="s">
        <v>617</v>
      </c>
      <c r="O678" s="3" t="s">
        <v>64</v>
      </c>
      <c r="P678" s="3" t="s">
        <v>467</v>
      </c>
      <c r="Q678" s="2" t="s">
        <v>8137</v>
      </c>
      <c r="R678" s="3" t="s">
        <v>67</v>
      </c>
      <c r="S678" s="4">
        <v>8</v>
      </c>
      <c r="T678" s="4">
        <v>8</v>
      </c>
      <c r="U678" s="5" t="s">
        <v>8138</v>
      </c>
      <c r="V678" s="5" t="s">
        <v>8138</v>
      </c>
      <c r="W678" s="5" t="s">
        <v>498</v>
      </c>
      <c r="X678" s="5" t="s">
        <v>498</v>
      </c>
      <c r="Y678" s="4">
        <v>404</v>
      </c>
      <c r="Z678" s="4">
        <v>264</v>
      </c>
      <c r="AA678" s="4">
        <v>278</v>
      </c>
      <c r="AB678" s="4">
        <v>2</v>
      </c>
      <c r="AC678" s="4">
        <v>2</v>
      </c>
      <c r="AD678" s="4">
        <v>6</v>
      </c>
      <c r="AE678" s="4">
        <v>7</v>
      </c>
      <c r="AF678" s="4">
        <v>2</v>
      </c>
      <c r="AG678" s="4">
        <v>3</v>
      </c>
      <c r="AH678" s="4">
        <v>2</v>
      </c>
      <c r="AI678" s="4">
        <v>2</v>
      </c>
      <c r="AJ678" s="4">
        <v>4</v>
      </c>
      <c r="AK678" s="4">
        <v>5</v>
      </c>
      <c r="AL678" s="4">
        <v>1</v>
      </c>
      <c r="AM678" s="4">
        <v>1</v>
      </c>
      <c r="AN678" s="4">
        <v>0</v>
      </c>
      <c r="AO678" s="4">
        <v>0</v>
      </c>
      <c r="AP678" s="3" t="s">
        <v>59</v>
      </c>
      <c r="AQ678" s="3" t="s">
        <v>59</v>
      </c>
      <c r="AS678" s="6" t="str">
        <f>HYPERLINK("https://creighton-primo.hosted.exlibrisgroup.com/primo-explore/search?tab=default_tab&amp;search_scope=EVERYTHING&amp;vid=01CRU&amp;lang=en_US&amp;offset=0&amp;query=any,contains,991005037879702656","Catalog Record")</f>
        <v>Catalog Record</v>
      </c>
      <c r="AT678" s="6" t="str">
        <f>HYPERLINK("http://www.worldcat.org/oclc/6762754","WorldCat Record")</f>
        <v>WorldCat Record</v>
      </c>
      <c r="AU678" s="3" t="s">
        <v>8139</v>
      </c>
      <c r="AV678" s="3" t="s">
        <v>8140</v>
      </c>
      <c r="AW678" s="3" t="s">
        <v>8141</v>
      </c>
      <c r="AX678" s="3" t="s">
        <v>8141</v>
      </c>
      <c r="AY678" s="3" t="s">
        <v>8142</v>
      </c>
      <c r="AZ678" s="3" t="s">
        <v>74</v>
      </c>
      <c r="BB678" s="3" t="s">
        <v>8143</v>
      </c>
      <c r="BC678" s="3" t="s">
        <v>8144</v>
      </c>
      <c r="BD678" s="3" t="s">
        <v>8145</v>
      </c>
    </row>
    <row r="679" spans="1:56" ht="57.75" customHeight="1" x14ac:dyDescent="0.25">
      <c r="A679" s="7" t="s">
        <v>59</v>
      </c>
      <c r="B679" s="2" t="s">
        <v>8146</v>
      </c>
      <c r="C679" s="2" t="s">
        <v>8147</v>
      </c>
      <c r="D679" s="2" t="s">
        <v>8148</v>
      </c>
      <c r="F679" s="3" t="s">
        <v>59</v>
      </c>
      <c r="G679" s="3" t="s">
        <v>60</v>
      </c>
      <c r="H679" s="3" t="s">
        <v>59</v>
      </c>
      <c r="I679" s="3" t="s">
        <v>59</v>
      </c>
      <c r="J679" s="3" t="s">
        <v>61</v>
      </c>
      <c r="L679" s="2" t="s">
        <v>8149</v>
      </c>
      <c r="M679" s="3" t="s">
        <v>436</v>
      </c>
      <c r="O679" s="3" t="s">
        <v>64</v>
      </c>
      <c r="P679" s="3" t="s">
        <v>405</v>
      </c>
      <c r="R679" s="3" t="s">
        <v>67</v>
      </c>
      <c r="S679" s="4">
        <v>4</v>
      </c>
      <c r="T679" s="4">
        <v>4</v>
      </c>
      <c r="U679" s="5" t="s">
        <v>8150</v>
      </c>
      <c r="V679" s="5" t="s">
        <v>8150</v>
      </c>
      <c r="W679" s="5" t="s">
        <v>498</v>
      </c>
      <c r="X679" s="5" t="s">
        <v>498</v>
      </c>
      <c r="Y679" s="4">
        <v>370</v>
      </c>
      <c r="Z679" s="4">
        <v>248</v>
      </c>
      <c r="AA679" s="4">
        <v>254</v>
      </c>
      <c r="AB679" s="4">
        <v>2</v>
      </c>
      <c r="AC679" s="4">
        <v>2</v>
      </c>
      <c r="AD679" s="4">
        <v>7</v>
      </c>
      <c r="AE679" s="4">
        <v>7</v>
      </c>
      <c r="AF679" s="4">
        <v>2</v>
      </c>
      <c r="AG679" s="4">
        <v>2</v>
      </c>
      <c r="AH679" s="4">
        <v>2</v>
      </c>
      <c r="AI679" s="4">
        <v>2</v>
      </c>
      <c r="AJ679" s="4">
        <v>3</v>
      </c>
      <c r="AK679" s="4">
        <v>3</v>
      </c>
      <c r="AL679" s="4">
        <v>1</v>
      </c>
      <c r="AM679" s="4">
        <v>1</v>
      </c>
      <c r="AN679" s="4">
        <v>0</v>
      </c>
      <c r="AO679" s="4">
        <v>0</v>
      </c>
      <c r="AP679" s="3" t="s">
        <v>59</v>
      </c>
      <c r="AQ679" s="3" t="s">
        <v>69</v>
      </c>
      <c r="AR679" s="6" t="str">
        <f>HYPERLINK("http://catalog.hathitrust.org/Record/000258835","HathiTrust Record")</f>
        <v>HathiTrust Record</v>
      </c>
      <c r="AS679" s="6" t="str">
        <f>HYPERLINK("https://creighton-primo.hosted.exlibrisgroup.com/primo-explore/search?tab=default_tab&amp;search_scope=EVERYTHING&amp;vid=01CRU&amp;lang=en_US&amp;offset=0&amp;query=any,contains,991004682799702656","Catalog Record")</f>
        <v>Catalog Record</v>
      </c>
      <c r="AT679" s="6" t="str">
        <f>HYPERLINK("http://www.worldcat.org/oclc/4578183","WorldCat Record")</f>
        <v>WorldCat Record</v>
      </c>
      <c r="AU679" s="3" t="s">
        <v>8151</v>
      </c>
      <c r="AV679" s="3" t="s">
        <v>8152</v>
      </c>
      <c r="AW679" s="3" t="s">
        <v>8153</v>
      </c>
      <c r="AX679" s="3" t="s">
        <v>8153</v>
      </c>
      <c r="AY679" s="3" t="s">
        <v>8154</v>
      </c>
      <c r="AZ679" s="3" t="s">
        <v>74</v>
      </c>
      <c r="BB679" s="3" t="s">
        <v>8155</v>
      </c>
      <c r="BC679" s="3" t="s">
        <v>8156</v>
      </c>
      <c r="BD679" s="3" t="s">
        <v>8157</v>
      </c>
    </row>
    <row r="680" spans="1:56" ht="57.75" customHeight="1" x14ac:dyDescent="0.25">
      <c r="A680" s="7" t="s">
        <v>59</v>
      </c>
      <c r="B680" s="2" t="s">
        <v>8158</v>
      </c>
      <c r="C680" s="2" t="s">
        <v>8159</v>
      </c>
      <c r="D680" s="2" t="s">
        <v>8160</v>
      </c>
      <c r="F680" s="3" t="s">
        <v>59</v>
      </c>
      <c r="G680" s="3" t="s">
        <v>60</v>
      </c>
      <c r="H680" s="3" t="s">
        <v>59</v>
      </c>
      <c r="I680" s="3" t="s">
        <v>59</v>
      </c>
      <c r="J680" s="3" t="s">
        <v>61</v>
      </c>
      <c r="L680" s="2" t="s">
        <v>8161</v>
      </c>
      <c r="M680" s="3" t="s">
        <v>130</v>
      </c>
      <c r="O680" s="3" t="s">
        <v>64</v>
      </c>
      <c r="P680" s="3" t="s">
        <v>630</v>
      </c>
      <c r="R680" s="3" t="s">
        <v>67</v>
      </c>
      <c r="S680" s="4">
        <v>4</v>
      </c>
      <c r="T680" s="4">
        <v>4</v>
      </c>
      <c r="U680" s="5" t="s">
        <v>8162</v>
      </c>
      <c r="V680" s="5" t="s">
        <v>8162</v>
      </c>
      <c r="W680" s="5" t="s">
        <v>8162</v>
      </c>
      <c r="X680" s="5" t="s">
        <v>8162</v>
      </c>
      <c r="Y680" s="4">
        <v>276</v>
      </c>
      <c r="Z680" s="4">
        <v>208</v>
      </c>
      <c r="AA680" s="4">
        <v>228</v>
      </c>
      <c r="AB680" s="4">
        <v>4</v>
      </c>
      <c r="AC680" s="4">
        <v>4</v>
      </c>
      <c r="AD680" s="4">
        <v>11</v>
      </c>
      <c r="AE680" s="4">
        <v>13</v>
      </c>
      <c r="AF680" s="4">
        <v>4</v>
      </c>
      <c r="AG680" s="4">
        <v>5</v>
      </c>
      <c r="AH680" s="4">
        <v>2</v>
      </c>
      <c r="AI680" s="4">
        <v>2</v>
      </c>
      <c r="AJ680" s="4">
        <v>3</v>
      </c>
      <c r="AK680" s="4">
        <v>5</v>
      </c>
      <c r="AL680" s="4">
        <v>3</v>
      </c>
      <c r="AM680" s="4">
        <v>3</v>
      </c>
      <c r="AN680" s="4">
        <v>0</v>
      </c>
      <c r="AO680" s="4">
        <v>0</v>
      </c>
      <c r="AP680" s="3" t="s">
        <v>59</v>
      </c>
      <c r="AQ680" s="3" t="s">
        <v>59</v>
      </c>
      <c r="AS680" s="6" t="str">
        <f>HYPERLINK("https://creighton-primo.hosted.exlibrisgroup.com/primo-explore/search?tab=default_tab&amp;search_scope=EVERYTHING&amp;vid=01CRU&amp;lang=en_US&amp;offset=0&amp;query=any,contains,991004518559702656","Catalog Record")</f>
        <v>Catalog Record</v>
      </c>
      <c r="AT680" s="6" t="str">
        <f>HYPERLINK("http://www.worldcat.org/oclc/55997983","WorldCat Record")</f>
        <v>WorldCat Record</v>
      </c>
      <c r="AU680" s="3" t="s">
        <v>8163</v>
      </c>
      <c r="AV680" s="3" t="s">
        <v>8164</v>
      </c>
      <c r="AW680" s="3" t="s">
        <v>8165</v>
      </c>
      <c r="AX680" s="3" t="s">
        <v>8165</v>
      </c>
      <c r="AY680" s="3" t="s">
        <v>8166</v>
      </c>
      <c r="AZ680" s="3" t="s">
        <v>74</v>
      </c>
      <c r="BB680" s="3" t="s">
        <v>8167</v>
      </c>
      <c r="BC680" s="3" t="s">
        <v>8168</v>
      </c>
      <c r="BD680" s="3" t="s">
        <v>8169</v>
      </c>
    </row>
    <row r="681" spans="1:56" ht="57.75" customHeight="1" x14ac:dyDescent="0.25">
      <c r="A681" s="7" t="s">
        <v>59</v>
      </c>
      <c r="B681" s="2" t="s">
        <v>8170</v>
      </c>
      <c r="C681" s="2" t="s">
        <v>8171</v>
      </c>
      <c r="D681" s="2" t="s">
        <v>8172</v>
      </c>
      <c r="F681" s="3" t="s">
        <v>59</v>
      </c>
      <c r="G681" s="3" t="s">
        <v>60</v>
      </c>
      <c r="H681" s="3" t="s">
        <v>59</v>
      </c>
      <c r="I681" s="3" t="s">
        <v>59</v>
      </c>
      <c r="J681" s="3" t="s">
        <v>61</v>
      </c>
      <c r="L681" s="2" t="s">
        <v>8173</v>
      </c>
      <c r="M681" s="3" t="s">
        <v>2139</v>
      </c>
      <c r="O681" s="3" t="s">
        <v>64</v>
      </c>
      <c r="P681" s="3" t="s">
        <v>573</v>
      </c>
      <c r="Q681" s="2" t="s">
        <v>8174</v>
      </c>
      <c r="R681" s="3" t="s">
        <v>67</v>
      </c>
      <c r="S681" s="4">
        <v>4</v>
      </c>
      <c r="T681" s="4">
        <v>4</v>
      </c>
      <c r="U681" s="5" t="s">
        <v>8175</v>
      </c>
      <c r="V681" s="5" t="s">
        <v>8175</v>
      </c>
      <c r="W681" s="5" t="s">
        <v>8024</v>
      </c>
      <c r="X681" s="5" t="s">
        <v>8024</v>
      </c>
      <c r="Y681" s="4">
        <v>342</v>
      </c>
      <c r="Z681" s="4">
        <v>263</v>
      </c>
      <c r="AA681" s="4">
        <v>264</v>
      </c>
      <c r="AB681" s="4">
        <v>4</v>
      </c>
      <c r="AC681" s="4">
        <v>4</v>
      </c>
      <c r="AD681" s="4">
        <v>9</v>
      </c>
      <c r="AE681" s="4">
        <v>9</v>
      </c>
      <c r="AF681" s="4">
        <v>2</v>
      </c>
      <c r="AG681" s="4">
        <v>2</v>
      </c>
      <c r="AH681" s="4">
        <v>3</v>
      </c>
      <c r="AI681" s="4">
        <v>3</v>
      </c>
      <c r="AJ681" s="4">
        <v>4</v>
      </c>
      <c r="AK681" s="4">
        <v>4</v>
      </c>
      <c r="AL681" s="4">
        <v>3</v>
      </c>
      <c r="AM681" s="4">
        <v>3</v>
      </c>
      <c r="AN681" s="4">
        <v>0</v>
      </c>
      <c r="AO681" s="4">
        <v>0</v>
      </c>
      <c r="AP681" s="3" t="s">
        <v>59</v>
      </c>
      <c r="AQ681" s="3" t="s">
        <v>69</v>
      </c>
      <c r="AR681" s="6" t="str">
        <f>HYPERLINK("http://catalog.hathitrust.org/Record/000729056","HathiTrust Record")</f>
        <v>HathiTrust Record</v>
      </c>
      <c r="AS681" s="6" t="str">
        <f>HYPERLINK("https://creighton-primo.hosted.exlibrisgroup.com/primo-explore/search?tab=default_tab&amp;search_scope=EVERYTHING&amp;vid=01CRU&amp;lang=en_US&amp;offset=0&amp;query=any,contains,991004075509702656","Catalog Record")</f>
        <v>Catalog Record</v>
      </c>
      <c r="AT681" s="6" t="str">
        <f>HYPERLINK("http://www.worldcat.org/oclc/2317975","WorldCat Record")</f>
        <v>WorldCat Record</v>
      </c>
      <c r="AU681" s="3" t="s">
        <v>8176</v>
      </c>
      <c r="AV681" s="3" t="s">
        <v>8177</v>
      </c>
      <c r="AW681" s="3" t="s">
        <v>8178</v>
      </c>
      <c r="AX681" s="3" t="s">
        <v>8178</v>
      </c>
      <c r="AY681" s="3" t="s">
        <v>8179</v>
      </c>
      <c r="AZ681" s="3" t="s">
        <v>74</v>
      </c>
      <c r="BB681" s="3" t="s">
        <v>8180</v>
      </c>
      <c r="BC681" s="3" t="s">
        <v>8181</v>
      </c>
      <c r="BD681" s="3" t="s">
        <v>8182</v>
      </c>
    </row>
    <row r="682" spans="1:56" ht="57.75" customHeight="1" x14ac:dyDescent="0.25">
      <c r="A682" s="7" t="s">
        <v>59</v>
      </c>
      <c r="B682" s="2" t="s">
        <v>8183</v>
      </c>
      <c r="C682" s="2" t="s">
        <v>8184</v>
      </c>
      <c r="D682" s="2" t="s">
        <v>8185</v>
      </c>
      <c r="F682" s="3" t="s">
        <v>59</v>
      </c>
      <c r="G682" s="3" t="s">
        <v>60</v>
      </c>
      <c r="H682" s="3" t="s">
        <v>59</v>
      </c>
      <c r="I682" s="3" t="s">
        <v>59</v>
      </c>
      <c r="J682" s="3" t="s">
        <v>61</v>
      </c>
      <c r="K682" s="2" t="s">
        <v>8186</v>
      </c>
      <c r="L682" s="2" t="s">
        <v>8187</v>
      </c>
      <c r="M682" s="3" t="s">
        <v>587</v>
      </c>
      <c r="O682" s="3" t="s">
        <v>64</v>
      </c>
      <c r="P682" s="3" t="s">
        <v>405</v>
      </c>
      <c r="R682" s="3" t="s">
        <v>67</v>
      </c>
      <c r="S682" s="4">
        <v>1</v>
      </c>
      <c r="T682" s="4">
        <v>1</v>
      </c>
      <c r="U682" s="5" t="s">
        <v>257</v>
      </c>
      <c r="V682" s="5" t="s">
        <v>257</v>
      </c>
      <c r="W682" s="5" t="s">
        <v>6631</v>
      </c>
      <c r="X682" s="5" t="s">
        <v>6631</v>
      </c>
      <c r="Y682" s="4">
        <v>608</v>
      </c>
      <c r="Z682" s="4">
        <v>415</v>
      </c>
      <c r="AA682" s="4">
        <v>416</v>
      </c>
      <c r="AB682" s="4">
        <v>6</v>
      </c>
      <c r="AC682" s="4">
        <v>6</v>
      </c>
      <c r="AD682" s="4">
        <v>13</v>
      </c>
      <c r="AE682" s="4">
        <v>13</v>
      </c>
      <c r="AF682" s="4">
        <v>4</v>
      </c>
      <c r="AG682" s="4">
        <v>4</v>
      </c>
      <c r="AH682" s="4">
        <v>1</v>
      </c>
      <c r="AI682" s="4">
        <v>1</v>
      </c>
      <c r="AJ682" s="4">
        <v>5</v>
      </c>
      <c r="AK682" s="4">
        <v>5</v>
      </c>
      <c r="AL682" s="4">
        <v>5</v>
      </c>
      <c r="AM682" s="4">
        <v>5</v>
      </c>
      <c r="AN682" s="4">
        <v>0</v>
      </c>
      <c r="AO682" s="4">
        <v>0</v>
      </c>
      <c r="AP682" s="3" t="s">
        <v>59</v>
      </c>
      <c r="AQ682" s="3" t="s">
        <v>69</v>
      </c>
      <c r="AR682" s="6" t="str">
        <f>HYPERLINK("http://catalog.hathitrust.org/Record/000005852","HathiTrust Record")</f>
        <v>HathiTrust Record</v>
      </c>
      <c r="AS682" s="6" t="str">
        <f>HYPERLINK("https://creighton-primo.hosted.exlibrisgroup.com/primo-explore/search?tab=default_tab&amp;search_scope=EVERYTHING&amp;vid=01CRU&amp;lang=en_US&amp;offset=0&amp;query=any,contains,991002733069702656","Catalog Record")</f>
        <v>Catalog Record</v>
      </c>
      <c r="AT682" s="6" t="str">
        <f>HYPERLINK("http://www.worldcat.org/oclc/417983","WorldCat Record")</f>
        <v>WorldCat Record</v>
      </c>
      <c r="AU682" s="3" t="s">
        <v>8188</v>
      </c>
      <c r="AV682" s="3" t="s">
        <v>8189</v>
      </c>
      <c r="AW682" s="3" t="s">
        <v>8190</v>
      </c>
      <c r="AX682" s="3" t="s">
        <v>8190</v>
      </c>
      <c r="AY682" s="3" t="s">
        <v>8191</v>
      </c>
      <c r="AZ682" s="3" t="s">
        <v>74</v>
      </c>
      <c r="BB682" s="3" t="s">
        <v>8192</v>
      </c>
      <c r="BC682" s="3" t="s">
        <v>8193</v>
      </c>
      <c r="BD682" s="3" t="s">
        <v>8194</v>
      </c>
    </row>
    <row r="683" spans="1:56" ht="57.75" customHeight="1" x14ac:dyDescent="0.25">
      <c r="A683" s="7" t="s">
        <v>59</v>
      </c>
      <c r="B683" s="2" t="s">
        <v>8195</v>
      </c>
      <c r="C683" s="2" t="s">
        <v>8196</v>
      </c>
      <c r="D683" s="2" t="s">
        <v>8197</v>
      </c>
      <c r="F683" s="3" t="s">
        <v>59</v>
      </c>
      <c r="G683" s="3" t="s">
        <v>60</v>
      </c>
      <c r="H683" s="3" t="s">
        <v>59</v>
      </c>
      <c r="I683" s="3" t="s">
        <v>59</v>
      </c>
      <c r="J683" s="3" t="s">
        <v>61</v>
      </c>
      <c r="L683" s="2" t="s">
        <v>8198</v>
      </c>
      <c r="M683" s="3" t="s">
        <v>1430</v>
      </c>
      <c r="O683" s="3" t="s">
        <v>64</v>
      </c>
      <c r="P683" s="3" t="s">
        <v>405</v>
      </c>
      <c r="R683" s="3" t="s">
        <v>67</v>
      </c>
      <c r="S683" s="4">
        <v>16</v>
      </c>
      <c r="T683" s="4">
        <v>16</v>
      </c>
      <c r="U683" s="5" t="s">
        <v>8199</v>
      </c>
      <c r="V683" s="5" t="s">
        <v>8199</v>
      </c>
      <c r="W683" s="5" t="s">
        <v>498</v>
      </c>
      <c r="X683" s="5" t="s">
        <v>498</v>
      </c>
      <c r="Y683" s="4">
        <v>418</v>
      </c>
      <c r="Z683" s="4">
        <v>276</v>
      </c>
      <c r="AA683" s="4">
        <v>277</v>
      </c>
      <c r="AB683" s="4">
        <v>2</v>
      </c>
      <c r="AC683" s="4">
        <v>2</v>
      </c>
      <c r="AD683" s="4">
        <v>4</v>
      </c>
      <c r="AE683" s="4">
        <v>4</v>
      </c>
      <c r="AF683" s="4">
        <v>1</v>
      </c>
      <c r="AG683" s="4">
        <v>1</v>
      </c>
      <c r="AH683" s="4">
        <v>1</v>
      </c>
      <c r="AI683" s="4">
        <v>1</v>
      </c>
      <c r="AJ683" s="4">
        <v>2</v>
      </c>
      <c r="AK683" s="4">
        <v>2</v>
      </c>
      <c r="AL683" s="4">
        <v>1</v>
      </c>
      <c r="AM683" s="4">
        <v>1</v>
      </c>
      <c r="AN683" s="4">
        <v>0</v>
      </c>
      <c r="AO683" s="4">
        <v>0</v>
      </c>
      <c r="AP683" s="3" t="s">
        <v>59</v>
      </c>
      <c r="AQ683" s="3" t="s">
        <v>69</v>
      </c>
      <c r="AR683" s="6" t="str">
        <f>HYPERLINK("http://catalog.hathitrust.org/Record/000209628","HathiTrust Record")</f>
        <v>HathiTrust Record</v>
      </c>
      <c r="AS683" s="6" t="str">
        <f>HYPERLINK("https://creighton-primo.hosted.exlibrisgroup.com/primo-explore/search?tab=default_tab&amp;search_scope=EVERYTHING&amp;vid=01CRU&amp;lang=en_US&amp;offset=0&amp;query=any,contains,991000402819702656","Catalog Record")</f>
        <v>Catalog Record</v>
      </c>
      <c r="AT683" s="6" t="str">
        <f>HYPERLINK("http://www.worldcat.org/oclc/10636786","WorldCat Record")</f>
        <v>WorldCat Record</v>
      </c>
      <c r="AU683" s="3" t="s">
        <v>8200</v>
      </c>
      <c r="AV683" s="3" t="s">
        <v>8201</v>
      </c>
      <c r="AW683" s="3" t="s">
        <v>8202</v>
      </c>
      <c r="AX683" s="3" t="s">
        <v>8202</v>
      </c>
      <c r="AY683" s="3" t="s">
        <v>8203</v>
      </c>
      <c r="AZ683" s="3" t="s">
        <v>74</v>
      </c>
      <c r="BB683" s="3" t="s">
        <v>8204</v>
      </c>
      <c r="BC683" s="3" t="s">
        <v>8205</v>
      </c>
      <c r="BD683" s="3" t="s">
        <v>8206</v>
      </c>
    </row>
    <row r="684" spans="1:56" ht="57.75" customHeight="1" x14ac:dyDescent="0.25">
      <c r="A684" s="7" t="s">
        <v>59</v>
      </c>
      <c r="B684" s="2" t="s">
        <v>8207</v>
      </c>
      <c r="C684" s="2" t="s">
        <v>8208</v>
      </c>
      <c r="D684" s="2" t="s">
        <v>8209</v>
      </c>
      <c r="F684" s="3" t="s">
        <v>59</v>
      </c>
      <c r="G684" s="3" t="s">
        <v>60</v>
      </c>
      <c r="H684" s="3" t="s">
        <v>59</v>
      </c>
      <c r="I684" s="3" t="s">
        <v>59</v>
      </c>
      <c r="J684" s="3" t="s">
        <v>61</v>
      </c>
      <c r="K684" s="2" t="s">
        <v>8210</v>
      </c>
      <c r="L684" s="2" t="s">
        <v>8211</v>
      </c>
      <c r="M684" s="3" t="s">
        <v>511</v>
      </c>
      <c r="O684" s="3" t="s">
        <v>64</v>
      </c>
      <c r="P684" s="3" t="s">
        <v>1253</v>
      </c>
      <c r="R684" s="3" t="s">
        <v>67</v>
      </c>
      <c r="S684" s="4">
        <v>5</v>
      </c>
      <c r="T684" s="4">
        <v>5</v>
      </c>
      <c r="U684" s="5" t="s">
        <v>2952</v>
      </c>
      <c r="V684" s="5" t="s">
        <v>2952</v>
      </c>
      <c r="W684" s="5" t="s">
        <v>8212</v>
      </c>
      <c r="X684" s="5" t="s">
        <v>8212</v>
      </c>
      <c r="Y684" s="4">
        <v>170</v>
      </c>
      <c r="Z684" s="4">
        <v>119</v>
      </c>
      <c r="AA684" s="4">
        <v>121</v>
      </c>
      <c r="AB684" s="4">
        <v>2</v>
      </c>
      <c r="AC684" s="4">
        <v>2</v>
      </c>
      <c r="AD684" s="4">
        <v>2</v>
      </c>
      <c r="AE684" s="4">
        <v>2</v>
      </c>
      <c r="AF684" s="4">
        <v>0</v>
      </c>
      <c r="AG684" s="4">
        <v>0</v>
      </c>
      <c r="AH684" s="4">
        <v>1</v>
      </c>
      <c r="AI684" s="4">
        <v>1</v>
      </c>
      <c r="AJ684" s="4">
        <v>0</v>
      </c>
      <c r="AK684" s="4">
        <v>0</v>
      </c>
      <c r="AL684" s="4">
        <v>1</v>
      </c>
      <c r="AM684" s="4">
        <v>1</v>
      </c>
      <c r="AN684" s="4">
        <v>0</v>
      </c>
      <c r="AO684" s="4">
        <v>0</v>
      </c>
      <c r="AP684" s="3" t="s">
        <v>59</v>
      </c>
      <c r="AQ684" s="3" t="s">
        <v>69</v>
      </c>
      <c r="AR684" s="6" t="str">
        <f>HYPERLINK("http://catalog.hathitrust.org/Record/003081201","HathiTrust Record")</f>
        <v>HathiTrust Record</v>
      </c>
      <c r="AS684" s="6" t="str">
        <f>HYPERLINK("https://creighton-primo.hosted.exlibrisgroup.com/primo-explore/search?tab=default_tab&amp;search_scope=EVERYTHING&amp;vid=01CRU&amp;lang=en_US&amp;offset=0&amp;query=any,contains,991002635549702656","Catalog Record")</f>
        <v>Catalog Record</v>
      </c>
      <c r="AT684" s="6" t="str">
        <f>HYPERLINK("http://www.worldcat.org/oclc/34521762","WorldCat Record")</f>
        <v>WorldCat Record</v>
      </c>
      <c r="AU684" s="3" t="s">
        <v>8213</v>
      </c>
      <c r="AV684" s="3" t="s">
        <v>8214</v>
      </c>
      <c r="AW684" s="3" t="s">
        <v>8215</v>
      </c>
      <c r="AX684" s="3" t="s">
        <v>8215</v>
      </c>
      <c r="AY684" s="3" t="s">
        <v>8216</v>
      </c>
      <c r="AZ684" s="3" t="s">
        <v>74</v>
      </c>
      <c r="BC684" s="3" t="s">
        <v>8217</v>
      </c>
      <c r="BD684" s="3" t="s">
        <v>8218</v>
      </c>
    </row>
    <row r="685" spans="1:56" ht="57.75" customHeight="1" x14ac:dyDescent="0.25">
      <c r="A685" s="7" t="s">
        <v>59</v>
      </c>
      <c r="B685" s="2" t="s">
        <v>8219</v>
      </c>
      <c r="C685" s="2" t="s">
        <v>8220</v>
      </c>
      <c r="D685" s="2" t="s">
        <v>8221</v>
      </c>
      <c r="F685" s="3" t="s">
        <v>59</v>
      </c>
      <c r="G685" s="3" t="s">
        <v>60</v>
      </c>
      <c r="H685" s="3" t="s">
        <v>59</v>
      </c>
      <c r="I685" s="3" t="s">
        <v>59</v>
      </c>
      <c r="J685" s="3" t="s">
        <v>61</v>
      </c>
      <c r="K685" s="2" t="s">
        <v>8222</v>
      </c>
      <c r="L685" s="2" t="s">
        <v>8223</v>
      </c>
      <c r="M685" s="3" t="s">
        <v>1430</v>
      </c>
      <c r="O685" s="3" t="s">
        <v>64</v>
      </c>
      <c r="P685" s="3" t="s">
        <v>1268</v>
      </c>
      <c r="R685" s="3" t="s">
        <v>67</v>
      </c>
      <c r="S685" s="4">
        <v>15</v>
      </c>
      <c r="T685" s="4">
        <v>15</v>
      </c>
      <c r="U685" s="5" t="s">
        <v>8224</v>
      </c>
      <c r="V685" s="5" t="s">
        <v>8224</v>
      </c>
      <c r="W685" s="5" t="s">
        <v>8225</v>
      </c>
      <c r="X685" s="5" t="s">
        <v>8225</v>
      </c>
      <c r="Y685" s="4">
        <v>272</v>
      </c>
      <c r="Z685" s="4">
        <v>217</v>
      </c>
      <c r="AA685" s="4">
        <v>224</v>
      </c>
      <c r="AB685" s="4">
        <v>1</v>
      </c>
      <c r="AC685" s="4">
        <v>1</v>
      </c>
      <c r="AD685" s="4">
        <v>5</v>
      </c>
      <c r="AE685" s="4">
        <v>5</v>
      </c>
      <c r="AF685" s="4">
        <v>3</v>
      </c>
      <c r="AG685" s="4">
        <v>3</v>
      </c>
      <c r="AH685" s="4">
        <v>2</v>
      </c>
      <c r="AI685" s="4">
        <v>2</v>
      </c>
      <c r="AJ685" s="4">
        <v>2</v>
      </c>
      <c r="AK685" s="4">
        <v>2</v>
      </c>
      <c r="AL685" s="4">
        <v>0</v>
      </c>
      <c r="AM685" s="4">
        <v>0</v>
      </c>
      <c r="AN685" s="4">
        <v>0</v>
      </c>
      <c r="AO685" s="4">
        <v>0</v>
      </c>
      <c r="AP685" s="3" t="s">
        <v>59</v>
      </c>
      <c r="AQ685" s="3" t="s">
        <v>69</v>
      </c>
      <c r="AR685" s="6" t="str">
        <f>HYPERLINK("http://catalog.hathitrust.org/Record/000570936","HathiTrust Record")</f>
        <v>HathiTrust Record</v>
      </c>
      <c r="AS685" s="6" t="str">
        <f>HYPERLINK("https://creighton-primo.hosted.exlibrisgroup.com/primo-explore/search?tab=default_tab&amp;search_scope=EVERYTHING&amp;vid=01CRU&amp;lang=en_US&amp;offset=0&amp;query=any,contains,991000496289702656","Catalog Record")</f>
        <v>Catalog Record</v>
      </c>
      <c r="AT685" s="6" t="str">
        <f>HYPERLINK("http://www.worldcat.org/oclc/11137349","WorldCat Record")</f>
        <v>WorldCat Record</v>
      </c>
      <c r="AU685" s="3" t="s">
        <v>8226</v>
      </c>
      <c r="AV685" s="3" t="s">
        <v>8227</v>
      </c>
      <c r="AW685" s="3" t="s">
        <v>8228</v>
      </c>
      <c r="AX685" s="3" t="s">
        <v>8228</v>
      </c>
      <c r="AY685" s="3" t="s">
        <v>8229</v>
      </c>
      <c r="AZ685" s="3" t="s">
        <v>74</v>
      </c>
      <c r="BB685" s="3" t="s">
        <v>8230</v>
      </c>
      <c r="BC685" s="3" t="s">
        <v>8231</v>
      </c>
      <c r="BD685" s="3" t="s">
        <v>8232</v>
      </c>
    </row>
    <row r="686" spans="1:56" ht="57.75" customHeight="1" x14ac:dyDescent="0.25">
      <c r="A686" s="7" t="s">
        <v>59</v>
      </c>
      <c r="B686" s="2" t="s">
        <v>8233</v>
      </c>
      <c r="C686" s="2" t="s">
        <v>8234</v>
      </c>
      <c r="D686" s="2" t="s">
        <v>8235</v>
      </c>
      <c r="F686" s="3" t="s">
        <v>59</v>
      </c>
      <c r="G686" s="3" t="s">
        <v>60</v>
      </c>
      <c r="H686" s="3" t="s">
        <v>59</v>
      </c>
      <c r="I686" s="3" t="s">
        <v>59</v>
      </c>
      <c r="J686" s="3" t="s">
        <v>61</v>
      </c>
      <c r="L686" s="2" t="s">
        <v>8087</v>
      </c>
      <c r="M686" s="3" t="s">
        <v>436</v>
      </c>
      <c r="O686" s="3" t="s">
        <v>64</v>
      </c>
      <c r="P686" s="3" t="s">
        <v>467</v>
      </c>
      <c r="R686" s="3" t="s">
        <v>67</v>
      </c>
      <c r="S686" s="4">
        <v>16</v>
      </c>
      <c r="T686" s="4">
        <v>16</v>
      </c>
      <c r="U686" s="5" t="s">
        <v>8236</v>
      </c>
      <c r="V686" s="5" t="s">
        <v>8236</v>
      </c>
      <c r="W686" s="5" t="s">
        <v>3083</v>
      </c>
      <c r="X686" s="5" t="s">
        <v>3083</v>
      </c>
      <c r="Y686" s="4">
        <v>495</v>
      </c>
      <c r="Z686" s="4">
        <v>368</v>
      </c>
      <c r="AA686" s="4">
        <v>411</v>
      </c>
      <c r="AB686" s="4">
        <v>2</v>
      </c>
      <c r="AC686" s="4">
        <v>3</v>
      </c>
      <c r="AD686" s="4">
        <v>6</v>
      </c>
      <c r="AE686" s="4">
        <v>9</v>
      </c>
      <c r="AF686" s="4">
        <v>3</v>
      </c>
      <c r="AG686" s="4">
        <v>4</v>
      </c>
      <c r="AH686" s="4">
        <v>1</v>
      </c>
      <c r="AI686" s="4">
        <v>3</v>
      </c>
      <c r="AJ686" s="4">
        <v>2</v>
      </c>
      <c r="AK686" s="4">
        <v>2</v>
      </c>
      <c r="AL686" s="4">
        <v>1</v>
      </c>
      <c r="AM686" s="4">
        <v>2</v>
      </c>
      <c r="AN686" s="4">
        <v>0</v>
      </c>
      <c r="AO686" s="4">
        <v>0</v>
      </c>
      <c r="AP686" s="3" t="s">
        <v>59</v>
      </c>
      <c r="AQ686" s="3" t="s">
        <v>69</v>
      </c>
      <c r="AR686" s="6" t="str">
        <f>HYPERLINK("http://catalog.hathitrust.org/Record/000087321","HathiTrust Record")</f>
        <v>HathiTrust Record</v>
      </c>
      <c r="AS686" s="6" t="str">
        <f>HYPERLINK("https://creighton-primo.hosted.exlibrisgroup.com/primo-explore/search?tab=default_tab&amp;search_scope=EVERYTHING&amp;vid=01CRU&amp;lang=en_US&amp;offset=0&amp;query=any,contains,991004444489702656","Catalog Record")</f>
        <v>Catalog Record</v>
      </c>
      <c r="AT686" s="6" t="str">
        <f>HYPERLINK("http://www.worldcat.org/oclc/3480658","WorldCat Record")</f>
        <v>WorldCat Record</v>
      </c>
      <c r="AU686" s="3" t="s">
        <v>8237</v>
      </c>
      <c r="AV686" s="3" t="s">
        <v>8238</v>
      </c>
      <c r="AW686" s="3" t="s">
        <v>8239</v>
      </c>
      <c r="AX686" s="3" t="s">
        <v>8239</v>
      </c>
      <c r="AY686" s="3" t="s">
        <v>8240</v>
      </c>
      <c r="AZ686" s="3" t="s">
        <v>74</v>
      </c>
      <c r="BB686" s="3" t="s">
        <v>8241</v>
      </c>
      <c r="BC686" s="3" t="s">
        <v>8242</v>
      </c>
      <c r="BD686" s="3" t="s">
        <v>8243</v>
      </c>
    </row>
    <row r="687" spans="1:56" ht="57.75" customHeight="1" x14ac:dyDescent="0.25">
      <c r="A687" s="7" t="s">
        <v>59</v>
      </c>
      <c r="B687" s="2" t="s">
        <v>8244</v>
      </c>
      <c r="C687" s="2" t="s">
        <v>8245</v>
      </c>
      <c r="D687" s="2" t="s">
        <v>8246</v>
      </c>
      <c r="F687" s="3" t="s">
        <v>59</v>
      </c>
      <c r="G687" s="3" t="s">
        <v>60</v>
      </c>
      <c r="H687" s="3" t="s">
        <v>59</v>
      </c>
      <c r="I687" s="3" t="s">
        <v>59</v>
      </c>
      <c r="J687" s="3" t="s">
        <v>61</v>
      </c>
      <c r="L687" s="2" t="s">
        <v>8247</v>
      </c>
      <c r="M687" s="3" t="s">
        <v>1837</v>
      </c>
      <c r="N687" s="2" t="s">
        <v>877</v>
      </c>
      <c r="O687" s="3" t="s">
        <v>64</v>
      </c>
      <c r="P687" s="3" t="s">
        <v>405</v>
      </c>
      <c r="Q687" s="2" t="s">
        <v>8248</v>
      </c>
      <c r="R687" s="3" t="s">
        <v>67</v>
      </c>
      <c r="S687" s="4">
        <v>12</v>
      </c>
      <c r="T687" s="4">
        <v>12</v>
      </c>
      <c r="U687" s="5" t="s">
        <v>8249</v>
      </c>
      <c r="V687" s="5" t="s">
        <v>8249</v>
      </c>
      <c r="W687" s="5" t="s">
        <v>8250</v>
      </c>
      <c r="X687" s="5" t="s">
        <v>8250</v>
      </c>
      <c r="Y687" s="4">
        <v>322</v>
      </c>
      <c r="Z687" s="4">
        <v>204</v>
      </c>
      <c r="AA687" s="4">
        <v>204</v>
      </c>
      <c r="AB687" s="4">
        <v>3</v>
      </c>
      <c r="AC687" s="4">
        <v>3</v>
      </c>
      <c r="AD687" s="4">
        <v>7</v>
      </c>
      <c r="AE687" s="4">
        <v>7</v>
      </c>
      <c r="AF687" s="4">
        <v>2</v>
      </c>
      <c r="AG687" s="4">
        <v>2</v>
      </c>
      <c r="AH687" s="4">
        <v>1</v>
      </c>
      <c r="AI687" s="4">
        <v>1</v>
      </c>
      <c r="AJ687" s="4">
        <v>3</v>
      </c>
      <c r="AK687" s="4">
        <v>3</v>
      </c>
      <c r="AL687" s="4">
        <v>2</v>
      </c>
      <c r="AM687" s="4">
        <v>2</v>
      </c>
      <c r="AN687" s="4">
        <v>0</v>
      </c>
      <c r="AO687" s="4">
        <v>0</v>
      </c>
      <c r="AP687" s="3" t="s">
        <v>59</v>
      </c>
      <c r="AQ687" s="3" t="s">
        <v>59</v>
      </c>
      <c r="AS687" s="6" t="str">
        <f>HYPERLINK("https://creighton-primo.hosted.exlibrisgroup.com/primo-explore/search?tab=default_tab&amp;search_scope=EVERYTHING&amp;vid=01CRU&amp;lang=en_US&amp;offset=0&amp;query=any,contains,991002079449702656","Catalog Record")</f>
        <v>Catalog Record</v>
      </c>
      <c r="AT687" s="6" t="str">
        <f>HYPERLINK("http://www.worldcat.org/oclc/26672472","WorldCat Record")</f>
        <v>WorldCat Record</v>
      </c>
      <c r="AU687" s="3" t="s">
        <v>8251</v>
      </c>
      <c r="AV687" s="3" t="s">
        <v>8252</v>
      </c>
      <c r="AW687" s="3" t="s">
        <v>8253</v>
      </c>
      <c r="AX687" s="3" t="s">
        <v>8253</v>
      </c>
      <c r="AY687" s="3" t="s">
        <v>8254</v>
      </c>
      <c r="AZ687" s="3" t="s">
        <v>74</v>
      </c>
      <c r="BB687" s="3" t="s">
        <v>8255</v>
      </c>
      <c r="BC687" s="3" t="s">
        <v>8256</v>
      </c>
      <c r="BD687" s="3" t="s">
        <v>8257</v>
      </c>
    </row>
    <row r="688" spans="1:56" ht="57.75" customHeight="1" x14ac:dyDescent="0.25">
      <c r="A688" s="7" t="s">
        <v>59</v>
      </c>
      <c r="B688" s="2" t="s">
        <v>8258</v>
      </c>
      <c r="C688" s="2" t="s">
        <v>8259</v>
      </c>
      <c r="D688" s="2" t="s">
        <v>8260</v>
      </c>
      <c r="F688" s="3" t="s">
        <v>59</v>
      </c>
      <c r="G688" s="3" t="s">
        <v>60</v>
      </c>
      <c r="H688" s="3" t="s">
        <v>59</v>
      </c>
      <c r="I688" s="3" t="s">
        <v>59</v>
      </c>
      <c r="J688" s="3" t="s">
        <v>61</v>
      </c>
      <c r="L688" s="2" t="s">
        <v>8261</v>
      </c>
      <c r="M688" s="3" t="s">
        <v>1701</v>
      </c>
      <c r="O688" s="3" t="s">
        <v>64</v>
      </c>
      <c r="P688" s="3" t="s">
        <v>573</v>
      </c>
      <c r="Q688" s="2" t="s">
        <v>8262</v>
      </c>
      <c r="R688" s="3" t="s">
        <v>67</v>
      </c>
      <c r="S688" s="4">
        <v>5</v>
      </c>
      <c r="T688" s="4">
        <v>5</v>
      </c>
      <c r="U688" s="5" t="s">
        <v>8249</v>
      </c>
      <c r="V688" s="5" t="s">
        <v>8249</v>
      </c>
      <c r="W688" s="5" t="s">
        <v>8263</v>
      </c>
      <c r="X688" s="5" t="s">
        <v>8263</v>
      </c>
      <c r="Y688" s="4">
        <v>248</v>
      </c>
      <c r="Z688" s="4">
        <v>204</v>
      </c>
      <c r="AA688" s="4">
        <v>218</v>
      </c>
      <c r="AB688" s="4">
        <v>3</v>
      </c>
      <c r="AC688" s="4">
        <v>3</v>
      </c>
      <c r="AD688" s="4">
        <v>4</v>
      </c>
      <c r="AE688" s="4">
        <v>4</v>
      </c>
      <c r="AF688" s="4">
        <v>0</v>
      </c>
      <c r="AG688" s="4">
        <v>0</v>
      </c>
      <c r="AH688" s="4">
        <v>1</v>
      </c>
      <c r="AI688" s="4">
        <v>1</v>
      </c>
      <c r="AJ688" s="4">
        <v>1</v>
      </c>
      <c r="AK688" s="4">
        <v>1</v>
      </c>
      <c r="AL688" s="4">
        <v>2</v>
      </c>
      <c r="AM688" s="4">
        <v>2</v>
      </c>
      <c r="AN688" s="4">
        <v>0</v>
      </c>
      <c r="AO688" s="4">
        <v>0</v>
      </c>
      <c r="AP688" s="3" t="s">
        <v>59</v>
      </c>
      <c r="AQ688" s="3" t="s">
        <v>69</v>
      </c>
      <c r="AR688" s="6" t="str">
        <f>HYPERLINK("http://catalog.hathitrust.org/Record/000737955","HathiTrust Record")</f>
        <v>HathiTrust Record</v>
      </c>
      <c r="AS688" s="6" t="str">
        <f>HYPERLINK("https://creighton-primo.hosted.exlibrisgroup.com/primo-explore/search?tab=default_tab&amp;search_scope=EVERYTHING&amp;vid=01CRU&amp;lang=en_US&amp;offset=0&amp;query=any,contains,991004108199702656","Catalog Record")</f>
        <v>Catalog Record</v>
      </c>
      <c r="AT688" s="6" t="str">
        <f>HYPERLINK("http://www.worldcat.org/oclc/2388278","WorldCat Record")</f>
        <v>WorldCat Record</v>
      </c>
      <c r="AU688" s="3" t="s">
        <v>8264</v>
      </c>
      <c r="AV688" s="3" t="s">
        <v>8265</v>
      </c>
      <c r="AW688" s="3" t="s">
        <v>8266</v>
      </c>
      <c r="AX688" s="3" t="s">
        <v>8266</v>
      </c>
      <c r="AY688" s="3" t="s">
        <v>8267</v>
      </c>
      <c r="AZ688" s="3" t="s">
        <v>74</v>
      </c>
      <c r="BB688" s="3" t="s">
        <v>8268</v>
      </c>
      <c r="BC688" s="3" t="s">
        <v>8269</v>
      </c>
      <c r="BD688" s="3" t="s">
        <v>8270</v>
      </c>
    </row>
    <row r="689" spans="1:56" ht="57.75" customHeight="1" x14ac:dyDescent="0.25">
      <c r="A689" s="7" t="s">
        <v>59</v>
      </c>
      <c r="B689" s="2" t="s">
        <v>8271</v>
      </c>
      <c r="C689" s="2" t="s">
        <v>8272</v>
      </c>
      <c r="D689" s="2" t="s">
        <v>8273</v>
      </c>
      <c r="F689" s="3" t="s">
        <v>59</v>
      </c>
      <c r="G689" s="3" t="s">
        <v>60</v>
      </c>
      <c r="H689" s="3" t="s">
        <v>59</v>
      </c>
      <c r="I689" s="3" t="s">
        <v>59</v>
      </c>
      <c r="J689" s="3" t="s">
        <v>61</v>
      </c>
      <c r="K689" s="2" t="s">
        <v>8274</v>
      </c>
      <c r="L689" s="2" t="s">
        <v>8275</v>
      </c>
      <c r="M689" s="3" t="s">
        <v>404</v>
      </c>
      <c r="O689" s="3" t="s">
        <v>64</v>
      </c>
      <c r="P689" s="3" t="s">
        <v>467</v>
      </c>
      <c r="R689" s="3" t="s">
        <v>67</v>
      </c>
      <c r="S689" s="4">
        <v>4</v>
      </c>
      <c r="T689" s="4">
        <v>4</v>
      </c>
      <c r="U689" s="5" t="s">
        <v>8276</v>
      </c>
      <c r="V689" s="5" t="s">
        <v>8276</v>
      </c>
      <c r="W689" s="5" t="s">
        <v>6631</v>
      </c>
      <c r="X689" s="5" t="s">
        <v>6631</v>
      </c>
      <c r="Y689" s="4">
        <v>187</v>
      </c>
      <c r="Z689" s="4">
        <v>173</v>
      </c>
      <c r="AA689" s="4">
        <v>407</v>
      </c>
      <c r="AB689" s="4">
        <v>3</v>
      </c>
      <c r="AC689" s="4">
        <v>5</v>
      </c>
      <c r="AD689" s="4">
        <v>8</v>
      </c>
      <c r="AE689" s="4">
        <v>18</v>
      </c>
      <c r="AF689" s="4">
        <v>2</v>
      </c>
      <c r="AG689" s="4">
        <v>5</v>
      </c>
      <c r="AH689" s="4">
        <v>1</v>
      </c>
      <c r="AI689" s="4">
        <v>4</v>
      </c>
      <c r="AJ689" s="4">
        <v>4</v>
      </c>
      <c r="AK689" s="4">
        <v>10</v>
      </c>
      <c r="AL689" s="4">
        <v>2</v>
      </c>
      <c r="AM689" s="4">
        <v>4</v>
      </c>
      <c r="AN689" s="4">
        <v>0</v>
      </c>
      <c r="AO689" s="4">
        <v>0</v>
      </c>
      <c r="AP689" s="3" t="s">
        <v>59</v>
      </c>
      <c r="AQ689" s="3" t="s">
        <v>59</v>
      </c>
      <c r="AS689" s="6" t="str">
        <f>HYPERLINK("https://creighton-primo.hosted.exlibrisgroup.com/primo-explore/search?tab=default_tab&amp;search_scope=EVERYTHING&amp;vid=01CRU&amp;lang=en_US&amp;offset=0&amp;query=any,contains,991002789049702656","Catalog Record")</f>
        <v>Catalog Record</v>
      </c>
      <c r="AT689" s="6" t="str">
        <f>HYPERLINK("http://www.worldcat.org/oclc/442748","WorldCat Record")</f>
        <v>WorldCat Record</v>
      </c>
      <c r="AU689" s="3" t="s">
        <v>8277</v>
      </c>
      <c r="AV689" s="3" t="s">
        <v>8278</v>
      </c>
      <c r="AW689" s="3" t="s">
        <v>8279</v>
      </c>
      <c r="AX689" s="3" t="s">
        <v>8279</v>
      </c>
      <c r="AY689" s="3" t="s">
        <v>8280</v>
      </c>
      <c r="AZ689" s="3" t="s">
        <v>74</v>
      </c>
      <c r="BC689" s="3" t="s">
        <v>8281</v>
      </c>
      <c r="BD689" s="3" t="s">
        <v>8282</v>
      </c>
    </row>
    <row r="690" spans="1:56" ht="57.75" customHeight="1" x14ac:dyDescent="0.25">
      <c r="A690" s="7" t="s">
        <v>59</v>
      </c>
      <c r="B690" s="2" t="s">
        <v>8283</v>
      </c>
      <c r="C690" s="2" t="s">
        <v>8284</v>
      </c>
      <c r="D690" s="2" t="s">
        <v>8285</v>
      </c>
      <c r="F690" s="3" t="s">
        <v>59</v>
      </c>
      <c r="G690" s="3" t="s">
        <v>60</v>
      </c>
      <c r="H690" s="3" t="s">
        <v>59</v>
      </c>
      <c r="I690" s="3" t="s">
        <v>59</v>
      </c>
      <c r="J690" s="3" t="s">
        <v>61</v>
      </c>
      <c r="K690" s="2" t="s">
        <v>8286</v>
      </c>
      <c r="L690" s="2" t="s">
        <v>8287</v>
      </c>
      <c r="M690" s="3" t="s">
        <v>1430</v>
      </c>
      <c r="O690" s="3" t="s">
        <v>64</v>
      </c>
      <c r="P690" s="3" t="s">
        <v>405</v>
      </c>
      <c r="R690" s="3" t="s">
        <v>67</v>
      </c>
      <c r="S690" s="4">
        <v>8</v>
      </c>
      <c r="T690" s="4">
        <v>8</v>
      </c>
      <c r="U690" s="5" t="s">
        <v>8276</v>
      </c>
      <c r="V690" s="5" t="s">
        <v>8276</v>
      </c>
      <c r="W690" s="5" t="s">
        <v>498</v>
      </c>
      <c r="X690" s="5" t="s">
        <v>498</v>
      </c>
      <c r="Y690" s="4">
        <v>369</v>
      </c>
      <c r="Z690" s="4">
        <v>230</v>
      </c>
      <c r="AA690" s="4">
        <v>235</v>
      </c>
      <c r="AB690" s="4">
        <v>3</v>
      </c>
      <c r="AC690" s="4">
        <v>3</v>
      </c>
      <c r="AD690" s="4">
        <v>5</v>
      </c>
      <c r="AE690" s="4">
        <v>5</v>
      </c>
      <c r="AF690" s="4">
        <v>0</v>
      </c>
      <c r="AG690" s="4">
        <v>0</v>
      </c>
      <c r="AH690" s="4">
        <v>1</v>
      </c>
      <c r="AI690" s="4">
        <v>1</v>
      </c>
      <c r="AJ690" s="4">
        <v>2</v>
      </c>
      <c r="AK690" s="4">
        <v>2</v>
      </c>
      <c r="AL690" s="4">
        <v>2</v>
      </c>
      <c r="AM690" s="4">
        <v>2</v>
      </c>
      <c r="AN690" s="4">
        <v>0</v>
      </c>
      <c r="AO690" s="4">
        <v>0</v>
      </c>
      <c r="AP690" s="3" t="s">
        <v>59</v>
      </c>
      <c r="AQ690" s="3" t="s">
        <v>59</v>
      </c>
      <c r="AS690" s="6" t="str">
        <f>HYPERLINK("https://creighton-primo.hosted.exlibrisgroup.com/primo-explore/search?tab=default_tab&amp;search_scope=EVERYTHING&amp;vid=01CRU&amp;lang=en_US&amp;offset=0&amp;query=any,contains,991000557059702656","Catalog Record")</f>
        <v>Catalog Record</v>
      </c>
      <c r="AT690" s="6" t="str">
        <f>HYPERLINK("http://www.worldcat.org/oclc/11569944","WorldCat Record")</f>
        <v>WorldCat Record</v>
      </c>
      <c r="AU690" s="3" t="s">
        <v>8288</v>
      </c>
      <c r="AV690" s="3" t="s">
        <v>8289</v>
      </c>
      <c r="AW690" s="3" t="s">
        <v>8290</v>
      </c>
      <c r="AX690" s="3" t="s">
        <v>8290</v>
      </c>
      <c r="AY690" s="3" t="s">
        <v>8291</v>
      </c>
      <c r="AZ690" s="3" t="s">
        <v>74</v>
      </c>
      <c r="BB690" s="3" t="s">
        <v>8292</v>
      </c>
      <c r="BC690" s="3" t="s">
        <v>8293</v>
      </c>
      <c r="BD690" s="3" t="s">
        <v>8294</v>
      </c>
    </row>
    <row r="691" spans="1:56" ht="57.75" customHeight="1" x14ac:dyDescent="0.25">
      <c r="A691" s="7" t="s">
        <v>59</v>
      </c>
      <c r="B691" s="2" t="s">
        <v>8295</v>
      </c>
      <c r="C691" s="2" t="s">
        <v>8296</v>
      </c>
      <c r="D691" s="2" t="s">
        <v>8297</v>
      </c>
      <c r="F691" s="3" t="s">
        <v>59</v>
      </c>
      <c r="G691" s="3" t="s">
        <v>60</v>
      </c>
      <c r="H691" s="3" t="s">
        <v>59</v>
      </c>
      <c r="I691" s="3" t="s">
        <v>59</v>
      </c>
      <c r="J691" s="3" t="s">
        <v>61</v>
      </c>
      <c r="K691" s="2" t="s">
        <v>8298</v>
      </c>
      <c r="L691" s="2" t="s">
        <v>8299</v>
      </c>
      <c r="M691" s="3" t="s">
        <v>820</v>
      </c>
      <c r="O691" s="3" t="s">
        <v>64</v>
      </c>
      <c r="P691" s="3" t="s">
        <v>541</v>
      </c>
      <c r="Q691" s="2" t="s">
        <v>8300</v>
      </c>
      <c r="R691" s="3" t="s">
        <v>67</v>
      </c>
      <c r="S691" s="4">
        <v>8</v>
      </c>
      <c r="T691" s="4">
        <v>8</v>
      </c>
      <c r="U691" s="5" t="s">
        <v>8276</v>
      </c>
      <c r="V691" s="5" t="s">
        <v>8276</v>
      </c>
      <c r="W691" s="5" t="s">
        <v>498</v>
      </c>
      <c r="X691" s="5" t="s">
        <v>498</v>
      </c>
      <c r="Y691" s="4">
        <v>374</v>
      </c>
      <c r="Z691" s="4">
        <v>275</v>
      </c>
      <c r="AA691" s="4">
        <v>282</v>
      </c>
      <c r="AB691" s="4">
        <v>3</v>
      </c>
      <c r="AC691" s="4">
        <v>3</v>
      </c>
      <c r="AD691" s="4">
        <v>7</v>
      </c>
      <c r="AE691" s="4">
        <v>7</v>
      </c>
      <c r="AF691" s="4">
        <v>1</v>
      </c>
      <c r="AG691" s="4">
        <v>1</v>
      </c>
      <c r="AH691" s="4">
        <v>2</v>
      </c>
      <c r="AI691" s="4">
        <v>2</v>
      </c>
      <c r="AJ691" s="4">
        <v>4</v>
      </c>
      <c r="AK691" s="4">
        <v>4</v>
      </c>
      <c r="AL691" s="4">
        <v>2</v>
      </c>
      <c r="AM691" s="4">
        <v>2</v>
      </c>
      <c r="AN691" s="4">
        <v>0</v>
      </c>
      <c r="AO691" s="4">
        <v>0</v>
      </c>
      <c r="AP691" s="3" t="s">
        <v>59</v>
      </c>
      <c r="AQ691" s="3" t="s">
        <v>69</v>
      </c>
      <c r="AR691" s="6" t="str">
        <f>HYPERLINK("http://catalog.hathitrust.org/Record/000364600","HathiTrust Record")</f>
        <v>HathiTrust Record</v>
      </c>
      <c r="AS691" s="6" t="str">
        <f>HYPERLINK("https://creighton-primo.hosted.exlibrisgroup.com/primo-explore/search?tab=default_tab&amp;search_scope=EVERYTHING&amp;vid=01CRU&amp;lang=en_US&amp;offset=0&amp;query=any,contains,991000487889702656","Catalog Record")</f>
        <v>Catalog Record</v>
      </c>
      <c r="AT691" s="6" t="str">
        <f>HYPERLINK("http://www.worldcat.org/oclc/11090101","WorldCat Record")</f>
        <v>WorldCat Record</v>
      </c>
      <c r="AU691" s="3" t="s">
        <v>8301</v>
      </c>
      <c r="AV691" s="3" t="s">
        <v>8302</v>
      </c>
      <c r="AW691" s="3" t="s">
        <v>8303</v>
      </c>
      <c r="AX691" s="3" t="s">
        <v>8303</v>
      </c>
      <c r="AY691" s="3" t="s">
        <v>8304</v>
      </c>
      <c r="AZ691" s="3" t="s">
        <v>74</v>
      </c>
      <c r="BB691" s="3" t="s">
        <v>8305</v>
      </c>
      <c r="BC691" s="3" t="s">
        <v>8306</v>
      </c>
      <c r="BD691" s="3" t="s">
        <v>8307</v>
      </c>
    </row>
    <row r="692" spans="1:56" ht="57.75" customHeight="1" x14ac:dyDescent="0.25">
      <c r="A692" s="7" t="s">
        <v>59</v>
      </c>
      <c r="B692" s="2" t="s">
        <v>8308</v>
      </c>
      <c r="C692" s="2" t="s">
        <v>8309</v>
      </c>
      <c r="D692" s="2" t="s">
        <v>8310</v>
      </c>
      <c r="F692" s="3" t="s">
        <v>59</v>
      </c>
      <c r="G692" s="3" t="s">
        <v>60</v>
      </c>
      <c r="H692" s="3" t="s">
        <v>59</v>
      </c>
      <c r="I692" s="3" t="s">
        <v>59</v>
      </c>
      <c r="J692" s="3" t="s">
        <v>61</v>
      </c>
      <c r="L692" s="2" t="s">
        <v>8311</v>
      </c>
      <c r="M692" s="3" t="s">
        <v>2139</v>
      </c>
      <c r="O692" s="3" t="s">
        <v>64</v>
      </c>
      <c r="P692" s="3" t="s">
        <v>405</v>
      </c>
      <c r="Q692" s="2" t="s">
        <v>8312</v>
      </c>
      <c r="R692" s="3" t="s">
        <v>67</v>
      </c>
      <c r="S692" s="4">
        <v>3</v>
      </c>
      <c r="T692" s="4">
        <v>3</v>
      </c>
      <c r="U692" s="5" t="s">
        <v>7089</v>
      </c>
      <c r="V692" s="5" t="s">
        <v>7089</v>
      </c>
      <c r="W692" s="5" t="s">
        <v>6631</v>
      </c>
      <c r="X692" s="5" t="s">
        <v>6631</v>
      </c>
      <c r="Y692" s="4">
        <v>385</v>
      </c>
      <c r="Z692" s="4">
        <v>234</v>
      </c>
      <c r="AA692" s="4">
        <v>235</v>
      </c>
      <c r="AB692" s="4">
        <v>2</v>
      </c>
      <c r="AC692" s="4">
        <v>2</v>
      </c>
      <c r="AD692" s="4">
        <v>2</v>
      </c>
      <c r="AE692" s="4">
        <v>2</v>
      </c>
      <c r="AF692" s="4">
        <v>0</v>
      </c>
      <c r="AG692" s="4">
        <v>0</v>
      </c>
      <c r="AH692" s="4">
        <v>1</v>
      </c>
      <c r="AI692" s="4">
        <v>1</v>
      </c>
      <c r="AJ692" s="4">
        <v>0</v>
      </c>
      <c r="AK692" s="4">
        <v>0</v>
      </c>
      <c r="AL692" s="4">
        <v>1</v>
      </c>
      <c r="AM692" s="4">
        <v>1</v>
      </c>
      <c r="AN692" s="4">
        <v>0</v>
      </c>
      <c r="AO692" s="4">
        <v>0</v>
      </c>
      <c r="AP692" s="3" t="s">
        <v>59</v>
      </c>
      <c r="AQ692" s="3" t="s">
        <v>69</v>
      </c>
      <c r="AR692" s="6" t="str">
        <f>HYPERLINK("http://catalog.hathitrust.org/Record/000211835","HathiTrust Record")</f>
        <v>HathiTrust Record</v>
      </c>
      <c r="AS692" s="6" t="str">
        <f>HYPERLINK("https://creighton-primo.hosted.exlibrisgroup.com/primo-explore/search?tab=default_tab&amp;search_scope=EVERYTHING&amp;vid=01CRU&amp;lang=en_US&amp;offset=0&amp;query=any,contains,991004261669702656","Catalog Record")</f>
        <v>Catalog Record</v>
      </c>
      <c r="AT692" s="6" t="str">
        <f>HYPERLINK("http://www.worldcat.org/oclc/2846860","WorldCat Record")</f>
        <v>WorldCat Record</v>
      </c>
      <c r="AU692" s="3" t="s">
        <v>8313</v>
      </c>
      <c r="AV692" s="3" t="s">
        <v>8314</v>
      </c>
      <c r="AW692" s="3" t="s">
        <v>8315</v>
      </c>
      <c r="AX692" s="3" t="s">
        <v>8315</v>
      </c>
      <c r="AY692" s="3" t="s">
        <v>8316</v>
      </c>
      <c r="AZ692" s="3" t="s">
        <v>74</v>
      </c>
      <c r="BB692" s="3" t="s">
        <v>8317</v>
      </c>
      <c r="BC692" s="3" t="s">
        <v>8318</v>
      </c>
      <c r="BD692" s="3" t="s">
        <v>8319</v>
      </c>
    </row>
    <row r="693" spans="1:56" ht="57.75" customHeight="1" x14ac:dyDescent="0.25">
      <c r="A693" s="7" t="s">
        <v>59</v>
      </c>
      <c r="B693" s="2" t="s">
        <v>8320</v>
      </c>
      <c r="C693" s="2" t="s">
        <v>8321</v>
      </c>
      <c r="D693" s="2" t="s">
        <v>8322</v>
      </c>
      <c r="F693" s="3" t="s">
        <v>59</v>
      </c>
      <c r="G693" s="3" t="s">
        <v>60</v>
      </c>
      <c r="H693" s="3" t="s">
        <v>59</v>
      </c>
      <c r="I693" s="3" t="s">
        <v>59</v>
      </c>
      <c r="J693" s="3" t="s">
        <v>61</v>
      </c>
      <c r="L693" s="2" t="s">
        <v>8323</v>
      </c>
      <c r="M693" s="3" t="s">
        <v>1430</v>
      </c>
      <c r="O693" s="3" t="s">
        <v>64</v>
      </c>
      <c r="P693" s="3" t="s">
        <v>2464</v>
      </c>
      <c r="Q693" s="2" t="s">
        <v>8324</v>
      </c>
      <c r="R693" s="3" t="s">
        <v>67</v>
      </c>
      <c r="S693" s="4">
        <v>3</v>
      </c>
      <c r="T693" s="4">
        <v>3</v>
      </c>
      <c r="U693" s="5" t="s">
        <v>8325</v>
      </c>
      <c r="V693" s="5" t="s">
        <v>8325</v>
      </c>
      <c r="W693" s="5" t="s">
        <v>498</v>
      </c>
      <c r="X693" s="5" t="s">
        <v>498</v>
      </c>
      <c r="Y693" s="4">
        <v>109</v>
      </c>
      <c r="Z693" s="4">
        <v>95</v>
      </c>
      <c r="AA693" s="4">
        <v>114</v>
      </c>
      <c r="AB693" s="4">
        <v>2</v>
      </c>
      <c r="AC693" s="4">
        <v>2</v>
      </c>
      <c r="AD693" s="4">
        <v>1</v>
      </c>
      <c r="AE693" s="4">
        <v>1</v>
      </c>
      <c r="AF693" s="4">
        <v>0</v>
      </c>
      <c r="AG693" s="4">
        <v>0</v>
      </c>
      <c r="AH693" s="4">
        <v>0</v>
      </c>
      <c r="AI693" s="4">
        <v>0</v>
      </c>
      <c r="AJ693" s="4">
        <v>0</v>
      </c>
      <c r="AK693" s="4">
        <v>0</v>
      </c>
      <c r="AL693" s="4">
        <v>1</v>
      </c>
      <c r="AM693" s="4">
        <v>1</v>
      </c>
      <c r="AN693" s="4">
        <v>0</v>
      </c>
      <c r="AO693" s="4">
        <v>0</v>
      </c>
      <c r="AP693" s="3" t="s">
        <v>59</v>
      </c>
      <c r="AQ693" s="3" t="s">
        <v>69</v>
      </c>
      <c r="AR693" s="6" t="str">
        <f>HYPERLINK("http://catalog.hathitrust.org/Record/000208902","HathiTrust Record")</f>
        <v>HathiTrust Record</v>
      </c>
      <c r="AS693" s="6" t="str">
        <f>HYPERLINK("https://creighton-primo.hosted.exlibrisgroup.com/primo-explore/search?tab=default_tab&amp;search_scope=EVERYTHING&amp;vid=01CRU&amp;lang=en_US&amp;offset=0&amp;query=any,contains,991000453359702656","Catalog Record")</f>
        <v>Catalog Record</v>
      </c>
      <c r="AT693" s="6" t="str">
        <f>HYPERLINK("http://www.worldcat.org/oclc/10911912","WorldCat Record")</f>
        <v>WorldCat Record</v>
      </c>
      <c r="AU693" s="3" t="s">
        <v>8326</v>
      </c>
      <c r="AV693" s="3" t="s">
        <v>8327</v>
      </c>
      <c r="AW693" s="3" t="s">
        <v>8328</v>
      </c>
      <c r="AX693" s="3" t="s">
        <v>8328</v>
      </c>
      <c r="AY693" s="3" t="s">
        <v>8329</v>
      </c>
      <c r="AZ693" s="3" t="s">
        <v>74</v>
      </c>
      <c r="BC693" s="3" t="s">
        <v>8330</v>
      </c>
      <c r="BD693" s="3" t="s">
        <v>8331</v>
      </c>
    </row>
    <row r="694" spans="1:56" ht="57.75" customHeight="1" x14ac:dyDescent="0.25">
      <c r="A694" s="7" t="s">
        <v>59</v>
      </c>
      <c r="B694" s="2" t="s">
        <v>8332</v>
      </c>
      <c r="C694" s="2" t="s">
        <v>8333</v>
      </c>
      <c r="D694" s="2" t="s">
        <v>8334</v>
      </c>
      <c r="F694" s="3" t="s">
        <v>59</v>
      </c>
      <c r="G694" s="3" t="s">
        <v>60</v>
      </c>
      <c r="H694" s="3" t="s">
        <v>59</v>
      </c>
      <c r="I694" s="3" t="s">
        <v>59</v>
      </c>
      <c r="J694" s="3" t="s">
        <v>61</v>
      </c>
      <c r="L694" s="2" t="s">
        <v>8335</v>
      </c>
      <c r="M694" s="3" t="s">
        <v>2073</v>
      </c>
      <c r="O694" s="3" t="s">
        <v>64</v>
      </c>
      <c r="P694" s="3" t="s">
        <v>630</v>
      </c>
      <c r="R694" s="3" t="s">
        <v>67</v>
      </c>
      <c r="S694" s="4">
        <v>3</v>
      </c>
      <c r="T694" s="4">
        <v>3</v>
      </c>
      <c r="U694" s="5" t="s">
        <v>2113</v>
      </c>
      <c r="V694" s="5" t="s">
        <v>2113</v>
      </c>
      <c r="W694" s="5" t="s">
        <v>498</v>
      </c>
      <c r="X694" s="5" t="s">
        <v>498</v>
      </c>
      <c r="Y694" s="4">
        <v>175</v>
      </c>
      <c r="Z694" s="4">
        <v>132</v>
      </c>
      <c r="AA694" s="4">
        <v>148</v>
      </c>
      <c r="AB694" s="4">
        <v>3</v>
      </c>
      <c r="AC694" s="4">
        <v>3</v>
      </c>
      <c r="AD694" s="4">
        <v>4</v>
      </c>
      <c r="AE694" s="4">
        <v>4</v>
      </c>
      <c r="AF694" s="4">
        <v>1</v>
      </c>
      <c r="AG694" s="4">
        <v>1</v>
      </c>
      <c r="AH694" s="4">
        <v>2</v>
      </c>
      <c r="AI694" s="4">
        <v>2</v>
      </c>
      <c r="AJ694" s="4">
        <v>0</v>
      </c>
      <c r="AK694" s="4">
        <v>0</v>
      </c>
      <c r="AL694" s="4">
        <v>2</v>
      </c>
      <c r="AM694" s="4">
        <v>2</v>
      </c>
      <c r="AN694" s="4">
        <v>0</v>
      </c>
      <c r="AO694" s="4">
        <v>0</v>
      </c>
      <c r="AP694" s="3" t="s">
        <v>59</v>
      </c>
      <c r="AQ694" s="3" t="s">
        <v>69</v>
      </c>
      <c r="AR694" s="6" t="str">
        <f>HYPERLINK("http://catalog.hathitrust.org/Record/000285388","HathiTrust Record")</f>
        <v>HathiTrust Record</v>
      </c>
      <c r="AS694" s="6" t="str">
        <f>HYPERLINK("https://creighton-primo.hosted.exlibrisgroup.com/primo-explore/search?tab=default_tab&amp;search_scope=EVERYTHING&amp;vid=01CRU&amp;lang=en_US&amp;offset=0&amp;query=any,contains,991000340939702656","Catalog Record")</f>
        <v>Catalog Record</v>
      </c>
      <c r="AT694" s="6" t="str">
        <f>HYPERLINK("http://www.worldcat.org/oclc/10270558","WorldCat Record")</f>
        <v>WorldCat Record</v>
      </c>
      <c r="AU694" s="3" t="s">
        <v>8336</v>
      </c>
      <c r="AV694" s="3" t="s">
        <v>8337</v>
      </c>
      <c r="AW694" s="3" t="s">
        <v>8338</v>
      </c>
      <c r="AX694" s="3" t="s">
        <v>8338</v>
      </c>
      <c r="AY694" s="3" t="s">
        <v>8339</v>
      </c>
      <c r="AZ694" s="3" t="s">
        <v>74</v>
      </c>
      <c r="BB694" s="3" t="s">
        <v>8340</v>
      </c>
      <c r="BC694" s="3" t="s">
        <v>8341</v>
      </c>
      <c r="BD694" s="3" t="s">
        <v>8342</v>
      </c>
    </row>
    <row r="695" spans="1:56" ht="57.75" customHeight="1" x14ac:dyDescent="0.25">
      <c r="A695" s="7" t="s">
        <v>59</v>
      </c>
      <c r="B695" s="2" t="s">
        <v>8343</v>
      </c>
      <c r="C695" s="2" t="s">
        <v>8344</v>
      </c>
      <c r="D695" s="2" t="s">
        <v>8345</v>
      </c>
      <c r="F695" s="3" t="s">
        <v>69</v>
      </c>
      <c r="G695" s="3" t="s">
        <v>60</v>
      </c>
      <c r="H695" s="3" t="s">
        <v>69</v>
      </c>
      <c r="I695" s="3" t="s">
        <v>59</v>
      </c>
      <c r="J695" s="3" t="s">
        <v>61</v>
      </c>
      <c r="K695" s="2" t="s">
        <v>8346</v>
      </c>
      <c r="L695" s="2" t="s">
        <v>8347</v>
      </c>
      <c r="M695" s="3" t="s">
        <v>864</v>
      </c>
      <c r="O695" s="3" t="s">
        <v>64</v>
      </c>
      <c r="P695" s="3" t="s">
        <v>467</v>
      </c>
      <c r="Q695" s="2" t="s">
        <v>8348</v>
      </c>
      <c r="R695" s="3" t="s">
        <v>67</v>
      </c>
      <c r="S695" s="4">
        <v>1</v>
      </c>
      <c r="T695" s="4">
        <v>2</v>
      </c>
      <c r="U695" s="5" t="s">
        <v>8349</v>
      </c>
      <c r="V695" s="5" t="s">
        <v>8349</v>
      </c>
      <c r="W695" s="5" t="s">
        <v>6631</v>
      </c>
      <c r="X695" s="5" t="s">
        <v>6631</v>
      </c>
      <c r="Y695" s="4">
        <v>548</v>
      </c>
      <c r="Z695" s="4">
        <v>510</v>
      </c>
      <c r="AA695" s="4">
        <v>511</v>
      </c>
      <c r="AB695" s="4">
        <v>5</v>
      </c>
      <c r="AC695" s="4">
        <v>5</v>
      </c>
      <c r="AD695" s="4">
        <v>16</v>
      </c>
      <c r="AE695" s="4">
        <v>16</v>
      </c>
      <c r="AF695" s="4">
        <v>8</v>
      </c>
      <c r="AG695" s="4">
        <v>8</v>
      </c>
      <c r="AH695" s="4">
        <v>1</v>
      </c>
      <c r="AI695" s="4">
        <v>1</v>
      </c>
      <c r="AJ695" s="4">
        <v>6</v>
      </c>
      <c r="AK695" s="4">
        <v>6</v>
      </c>
      <c r="AL695" s="4">
        <v>4</v>
      </c>
      <c r="AM695" s="4">
        <v>4</v>
      </c>
      <c r="AN695" s="4">
        <v>0</v>
      </c>
      <c r="AO695" s="4">
        <v>0</v>
      </c>
      <c r="AP695" s="3" t="s">
        <v>59</v>
      </c>
      <c r="AQ695" s="3" t="s">
        <v>69</v>
      </c>
      <c r="AR695" s="6" t="str">
        <f>HYPERLINK("http://catalog.hathitrust.org/Record/002014365","HathiTrust Record")</f>
        <v>HathiTrust Record</v>
      </c>
      <c r="AS695" s="6" t="str">
        <f>HYPERLINK("https://creighton-primo.hosted.exlibrisgroup.com/primo-explore/search?tab=default_tab&amp;search_scope=EVERYTHING&amp;vid=01CRU&amp;lang=en_US&amp;offset=0&amp;query=any,contains,991000424629702656","Catalog Record")</f>
        <v>Catalog Record</v>
      </c>
      <c r="AT695" s="6" t="str">
        <f>HYPERLINK("http://www.worldcat.org/oclc/74606","WorldCat Record")</f>
        <v>WorldCat Record</v>
      </c>
      <c r="AU695" s="3" t="s">
        <v>8350</v>
      </c>
      <c r="AV695" s="3" t="s">
        <v>8351</v>
      </c>
      <c r="AW695" s="3" t="s">
        <v>8352</v>
      </c>
      <c r="AX695" s="3" t="s">
        <v>8352</v>
      </c>
      <c r="AY695" s="3" t="s">
        <v>8353</v>
      </c>
      <c r="AZ695" s="3" t="s">
        <v>74</v>
      </c>
      <c r="BB695" s="3" t="s">
        <v>8354</v>
      </c>
      <c r="BC695" s="3" t="s">
        <v>8355</v>
      </c>
      <c r="BD695" s="3" t="s">
        <v>8356</v>
      </c>
    </row>
    <row r="696" spans="1:56" ht="57.75" customHeight="1" x14ac:dyDescent="0.25">
      <c r="A696" s="7" t="s">
        <v>59</v>
      </c>
      <c r="B696" s="2" t="s">
        <v>8357</v>
      </c>
      <c r="C696" s="2" t="s">
        <v>8358</v>
      </c>
      <c r="D696" s="2" t="s">
        <v>8345</v>
      </c>
      <c r="E696" s="3" t="s">
        <v>2213</v>
      </c>
      <c r="F696" s="3" t="s">
        <v>69</v>
      </c>
      <c r="G696" s="3" t="s">
        <v>60</v>
      </c>
      <c r="H696" s="3" t="s">
        <v>59</v>
      </c>
      <c r="I696" s="3" t="s">
        <v>59</v>
      </c>
      <c r="J696" s="3" t="s">
        <v>61</v>
      </c>
      <c r="K696" s="2" t="s">
        <v>8346</v>
      </c>
      <c r="L696" s="2" t="s">
        <v>8347</v>
      </c>
      <c r="M696" s="3" t="s">
        <v>864</v>
      </c>
      <c r="O696" s="3" t="s">
        <v>64</v>
      </c>
      <c r="P696" s="3" t="s">
        <v>467</v>
      </c>
      <c r="Q696" s="2" t="s">
        <v>8348</v>
      </c>
      <c r="R696" s="3" t="s">
        <v>67</v>
      </c>
      <c r="S696" s="4">
        <v>1</v>
      </c>
      <c r="T696" s="4">
        <v>2</v>
      </c>
      <c r="U696" s="5" t="s">
        <v>8349</v>
      </c>
      <c r="V696" s="5" t="s">
        <v>8349</v>
      </c>
      <c r="W696" s="5" t="s">
        <v>6631</v>
      </c>
      <c r="X696" s="5" t="s">
        <v>6631</v>
      </c>
      <c r="Y696" s="4">
        <v>548</v>
      </c>
      <c r="Z696" s="4">
        <v>510</v>
      </c>
      <c r="AA696" s="4">
        <v>511</v>
      </c>
      <c r="AB696" s="4">
        <v>5</v>
      </c>
      <c r="AC696" s="4">
        <v>5</v>
      </c>
      <c r="AD696" s="4">
        <v>16</v>
      </c>
      <c r="AE696" s="4">
        <v>16</v>
      </c>
      <c r="AF696" s="4">
        <v>8</v>
      </c>
      <c r="AG696" s="4">
        <v>8</v>
      </c>
      <c r="AH696" s="4">
        <v>1</v>
      </c>
      <c r="AI696" s="4">
        <v>1</v>
      </c>
      <c r="AJ696" s="4">
        <v>6</v>
      </c>
      <c r="AK696" s="4">
        <v>6</v>
      </c>
      <c r="AL696" s="4">
        <v>4</v>
      </c>
      <c r="AM696" s="4">
        <v>4</v>
      </c>
      <c r="AN696" s="4">
        <v>0</v>
      </c>
      <c r="AO696" s="4">
        <v>0</v>
      </c>
      <c r="AP696" s="3" t="s">
        <v>59</v>
      </c>
      <c r="AQ696" s="3" t="s">
        <v>69</v>
      </c>
      <c r="AR696" s="6" t="str">
        <f>HYPERLINK("http://catalog.hathitrust.org/Record/002014365","HathiTrust Record")</f>
        <v>HathiTrust Record</v>
      </c>
      <c r="AS696" s="6" t="str">
        <f>HYPERLINK("https://creighton-primo.hosted.exlibrisgroup.com/primo-explore/search?tab=default_tab&amp;search_scope=EVERYTHING&amp;vid=01CRU&amp;lang=en_US&amp;offset=0&amp;query=any,contains,991000424629702656","Catalog Record")</f>
        <v>Catalog Record</v>
      </c>
      <c r="AT696" s="6" t="str">
        <f>HYPERLINK("http://www.worldcat.org/oclc/74606","WorldCat Record")</f>
        <v>WorldCat Record</v>
      </c>
      <c r="AU696" s="3" t="s">
        <v>8350</v>
      </c>
      <c r="AV696" s="3" t="s">
        <v>8351</v>
      </c>
      <c r="AW696" s="3" t="s">
        <v>8352</v>
      </c>
      <c r="AX696" s="3" t="s">
        <v>8352</v>
      </c>
      <c r="AY696" s="3" t="s">
        <v>8353</v>
      </c>
      <c r="AZ696" s="3" t="s">
        <v>74</v>
      </c>
      <c r="BB696" s="3" t="s">
        <v>8354</v>
      </c>
      <c r="BC696" s="3" t="s">
        <v>8359</v>
      </c>
      <c r="BD696" s="3" t="s">
        <v>8360</v>
      </c>
    </row>
    <row r="697" spans="1:56" ht="57.75" customHeight="1" x14ac:dyDescent="0.25">
      <c r="A697" s="7" t="s">
        <v>59</v>
      </c>
      <c r="B697" s="2" t="s">
        <v>8361</v>
      </c>
      <c r="C697" s="2" t="s">
        <v>8362</v>
      </c>
      <c r="D697" s="2" t="s">
        <v>8363</v>
      </c>
      <c r="F697" s="3" t="s">
        <v>59</v>
      </c>
      <c r="G697" s="3" t="s">
        <v>60</v>
      </c>
      <c r="H697" s="3" t="s">
        <v>59</v>
      </c>
      <c r="I697" s="3" t="s">
        <v>59</v>
      </c>
      <c r="J697" s="3" t="s">
        <v>61</v>
      </c>
      <c r="K697" s="2" t="s">
        <v>8346</v>
      </c>
      <c r="L697" s="2" t="s">
        <v>8364</v>
      </c>
      <c r="M697" s="3" t="s">
        <v>404</v>
      </c>
      <c r="N697" s="2" t="s">
        <v>877</v>
      </c>
      <c r="O697" s="3" t="s">
        <v>64</v>
      </c>
      <c r="P697" s="3" t="s">
        <v>405</v>
      </c>
      <c r="Q697" s="2" t="s">
        <v>2863</v>
      </c>
      <c r="R697" s="3" t="s">
        <v>67</v>
      </c>
      <c r="S697" s="4">
        <v>2</v>
      </c>
      <c r="T697" s="4">
        <v>2</v>
      </c>
      <c r="U697" s="5" t="s">
        <v>8365</v>
      </c>
      <c r="V697" s="5" t="s">
        <v>8365</v>
      </c>
      <c r="W697" s="5" t="s">
        <v>6631</v>
      </c>
      <c r="X697" s="5" t="s">
        <v>6631</v>
      </c>
      <c r="Y697" s="4">
        <v>170</v>
      </c>
      <c r="Z697" s="4">
        <v>95</v>
      </c>
      <c r="AA697" s="4">
        <v>298</v>
      </c>
      <c r="AB697" s="4">
        <v>2</v>
      </c>
      <c r="AC697" s="4">
        <v>5</v>
      </c>
      <c r="AD697" s="4">
        <v>4</v>
      </c>
      <c r="AE697" s="4">
        <v>11</v>
      </c>
      <c r="AF697" s="4">
        <v>1</v>
      </c>
      <c r="AG697" s="4">
        <v>2</v>
      </c>
      <c r="AH697" s="4">
        <v>0</v>
      </c>
      <c r="AI697" s="4">
        <v>3</v>
      </c>
      <c r="AJ697" s="4">
        <v>2</v>
      </c>
      <c r="AK697" s="4">
        <v>4</v>
      </c>
      <c r="AL697" s="4">
        <v>1</v>
      </c>
      <c r="AM697" s="4">
        <v>4</v>
      </c>
      <c r="AN697" s="4">
        <v>0</v>
      </c>
      <c r="AO697" s="4">
        <v>0</v>
      </c>
      <c r="AP697" s="3" t="s">
        <v>59</v>
      </c>
      <c r="AQ697" s="3" t="s">
        <v>59</v>
      </c>
      <c r="AS697" s="6" t="str">
        <f>HYPERLINK("https://creighton-primo.hosted.exlibrisgroup.com/primo-explore/search?tab=default_tab&amp;search_scope=EVERYTHING&amp;vid=01CRU&amp;lang=en_US&amp;offset=0&amp;query=any,contains,991002816209702656","Catalog Record")</f>
        <v>Catalog Record</v>
      </c>
      <c r="AT697" s="6" t="str">
        <f>HYPERLINK("http://www.worldcat.org/oclc/459886","WorldCat Record")</f>
        <v>WorldCat Record</v>
      </c>
      <c r="AU697" s="3" t="s">
        <v>8366</v>
      </c>
      <c r="AV697" s="3" t="s">
        <v>8367</v>
      </c>
      <c r="AW697" s="3" t="s">
        <v>8368</v>
      </c>
      <c r="AX697" s="3" t="s">
        <v>8368</v>
      </c>
      <c r="AY697" s="3" t="s">
        <v>8369</v>
      </c>
      <c r="AZ697" s="3" t="s">
        <v>74</v>
      </c>
      <c r="BB697" s="3" t="s">
        <v>8370</v>
      </c>
      <c r="BC697" s="3" t="s">
        <v>8371</v>
      </c>
      <c r="BD697" s="3" t="s">
        <v>8372</v>
      </c>
    </row>
    <row r="698" spans="1:56" ht="57.75" customHeight="1" x14ac:dyDescent="0.25">
      <c r="A698" s="7" t="s">
        <v>59</v>
      </c>
      <c r="B698" s="2" t="s">
        <v>8373</v>
      </c>
      <c r="C698" s="2" t="s">
        <v>8374</v>
      </c>
      <c r="D698" s="2" t="s">
        <v>8375</v>
      </c>
      <c r="F698" s="3" t="s">
        <v>59</v>
      </c>
      <c r="G698" s="3" t="s">
        <v>60</v>
      </c>
      <c r="H698" s="3" t="s">
        <v>59</v>
      </c>
      <c r="I698" s="3" t="s">
        <v>59</v>
      </c>
      <c r="J698" s="3" t="s">
        <v>61</v>
      </c>
      <c r="K698" s="2" t="s">
        <v>8376</v>
      </c>
      <c r="L698" s="2" t="s">
        <v>8377</v>
      </c>
      <c r="M698" s="3" t="s">
        <v>1595</v>
      </c>
      <c r="O698" s="3" t="s">
        <v>64</v>
      </c>
      <c r="P698" s="3" t="s">
        <v>467</v>
      </c>
      <c r="Q698" s="2" t="s">
        <v>1937</v>
      </c>
      <c r="R698" s="3" t="s">
        <v>67</v>
      </c>
      <c r="S698" s="4">
        <v>4</v>
      </c>
      <c r="T698" s="4">
        <v>4</v>
      </c>
      <c r="U698" s="5" t="s">
        <v>8378</v>
      </c>
      <c r="V698" s="5" t="s">
        <v>8378</v>
      </c>
      <c r="W698" s="5" t="s">
        <v>6631</v>
      </c>
      <c r="X698" s="5" t="s">
        <v>6631</v>
      </c>
      <c r="Y698" s="4">
        <v>998</v>
      </c>
      <c r="Z698" s="4">
        <v>932</v>
      </c>
      <c r="AA698" s="4">
        <v>1005</v>
      </c>
      <c r="AB698" s="4">
        <v>6</v>
      </c>
      <c r="AC698" s="4">
        <v>6</v>
      </c>
      <c r="AD698" s="4">
        <v>17</v>
      </c>
      <c r="AE698" s="4">
        <v>18</v>
      </c>
      <c r="AF698" s="4">
        <v>9</v>
      </c>
      <c r="AG698" s="4">
        <v>9</v>
      </c>
      <c r="AH698" s="4">
        <v>2</v>
      </c>
      <c r="AI698" s="4">
        <v>3</v>
      </c>
      <c r="AJ698" s="4">
        <v>4</v>
      </c>
      <c r="AK698" s="4">
        <v>4</v>
      </c>
      <c r="AL698" s="4">
        <v>4</v>
      </c>
      <c r="AM698" s="4">
        <v>4</v>
      </c>
      <c r="AN698" s="4">
        <v>0</v>
      </c>
      <c r="AO698" s="4">
        <v>0</v>
      </c>
      <c r="AP698" s="3" t="s">
        <v>69</v>
      </c>
      <c r="AQ698" s="3" t="s">
        <v>59</v>
      </c>
      <c r="AR698" s="6" t="str">
        <f>HYPERLINK("http://catalog.hathitrust.org/Record/001515825","HathiTrust Record")</f>
        <v>HathiTrust Record</v>
      </c>
      <c r="AS698" s="6" t="str">
        <f>HYPERLINK("https://creighton-primo.hosted.exlibrisgroup.com/primo-explore/search?tab=default_tab&amp;search_scope=EVERYTHING&amp;vid=01CRU&amp;lang=en_US&amp;offset=0&amp;query=any,contains,991002999389702656","Catalog Record")</f>
        <v>Catalog Record</v>
      </c>
      <c r="AT698" s="6" t="str">
        <f>HYPERLINK("http://www.worldcat.org/oclc/567566","WorldCat Record")</f>
        <v>WorldCat Record</v>
      </c>
      <c r="AU698" s="3" t="s">
        <v>8379</v>
      </c>
      <c r="AV698" s="3" t="s">
        <v>8380</v>
      </c>
      <c r="AW698" s="3" t="s">
        <v>8381</v>
      </c>
      <c r="AX698" s="3" t="s">
        <v>8381</v>
      </c>
      <c r="AY698" s="3" t="s">
        <v>8382</v>
      </c>
      <c r="AZ698" s="3" t="s">
        <v>74</v>
      </c>
      <c r="BC698" s="3" t="s">
        <v>8383</v>
      </c>
      <c r="BD698" s="3" t="s">
        <v>8384</v>
      </c>
    </row>
    <row r="699" spans="1:56" ht="57.75" customHeight="1" x14ac:dyDescent="0.25">
      <c r="A699" s="7" t="s">
        <v>59</v>
      </c>
      <c r="B699" s="2" t="s">
        <v>8385</v>
      </c>
      <c r="C699" s="2" t="s">
        <v>8386</v>
      </c>
      <c r="D699" s="2" t="s">
        <v>8387</v>
      </c>
      <c r="F699" s="3" t="s">
        <v>59</v>
      </c>
      <c r="G699" s="3" t="s">
        <v>60</v>
      </c>
      <c r="H699" s="3" t="s">
        <v>59</v>
      </c>
      <c r="I699" s="3" t="s">
        <v>59</v>
      </c>
      <c r="J699" s="3" t="s">
        <v>61</v>
      </c>
      <c r="K699" s="2" t="s">
        <v>8388</v>
      </c>
      <c r="L699" s="2" t="s">
        <v>8389</v>
      </c>
      <c r="M699" s="3" t="s">
        <v>8390</v>
      </c>
      <c r="N699" s="2" t="s">
        <v>8391</v>
      </c>
      <c r="O699" s="3" t="s">
        <v>64</v>
      </c>
      <c r="P699" s="3" t="s">
        <v>1239</v>
      </c>
      <c r="R699" s="3" t="s">
        <v>67</v>
      </c>
      <c r="S699" s="4">
        <v>6</v>
      </c>
      <c r="T699" s="4">
        <v>6</v>
      </c>
      <c r="U699" s="5" t="s">
        <v>8378</v>
      </c>
      <c r="V699" s="5" t="s">
        <v>8378</v>
      </c>
      <c r="W699" s="5" t="s">
        <v>498</v>
      </c>
      <c r="X699" s="5" t="s">
        <v>498</v>
      </c>
      <c r="Y699" s="4">
        <v>783</v>
      </c>
      <c r="Z699" s="4">
        <v>749</v>
      </c>
      <c r="AA699" s="4">
        <v>930</v>
      </c>
      <c r="AB699" s="4">
        <v>4</v>
      </c>
      <c r="AC699" s="4">
        <v>4</v>
      </c>
      <c r="AD699" s="4">
        <v>17</v>
      </c>
      <c r="AE699" s="4">
        <v>20</v>
      </c>
      <c r="AF699" s="4">
        <v>6</v>
      </c>
      <c r="AG699" s="4">
        <v>8</v>
      </c>
      <c r="AH699" s="4">
        <v>3</v>
      </c>
      <c r="AI699" s="4">
        <v>4</v>
      </c>
      <c r="AJ699" s="4">
        <v>10</v>
      </c>
      <c r="AK699" s="4">
        <v>12</v>
      </c>
      <c r="AL699" s="4">
        <v>2</v>
      </c>
      <c r="AM699" s="4">
        <v>2</v>
      </c>
      <c r="AN699" s="4">
        <v>0</v>
      </c>
      <c r="AO699" s="4">
        <v>0</v>
      </c>
      <c r="AP699" s="3" t="s">
        <v>59</v>
      </c>
      <c r="AQ699" s="3" t="s">
        <v>69</v>
      </c>
      <c r="AR699" s="6" t="str">
        <f>HYPERLINK("http://catalog.hathitrust.org/Record/001501044","HathiTrust Record")</f>
        <v>HathiTrust Record</v>
      </c>
      <c r="AS699" s="6" t="str">
        <f>HYPERLINK("https://creighton-primo.hosted.exlibrisgroup.com/primo-explore/search?tab=default_tab&amp;search_scope=EVERYTHING&amp;vid=01CRU&amp;lang=en_US&amp;offset=0&amp;query=any,contains,991002983999702656","Catalog Record")</f>
        <v>Catalog Record</v>
      </c>
      <c r="AT699" s="6" t="str">
        <f>HYPERLINK("http://www.worldcat.org/oclc/556381","WorldCat Record")</f>
        <v>WorldCat Record</v>
      </c>
      <c r="AU699" s="3" t="s">
        <v>8392</v>
      </c>
      <c r="AV699" s="3" t="s">
        <v>8393</v>
      </c>
      <c r="AW699" s="3" t="s">
        <v>8394</v>
      </c>
      <c r="AX699" s="3" t="s">
        <v>8394</v>
      </c>
      <c r="AY699" s="3" t="s">
        <v>8395</v>
      </c>
      <c r="AZ699" s="3" t="s">
        <v>74</v>
      </c>
      <c r="BC699" s="3" t="s">
        <v>8396</v>
      </c>
      <c r="BD699" s="3" t="s">
        <v>8397</v>
      </c>
    </row>
    <row r="700" spans="1:56" ht="57.75" customHeight="1" x14ac:dyDescent="0.25">
      <c r="A700" s="7" t="s">
        <v>59</v>
      </c>
      <c r="B700" s="2" t="s">
        <v>8398</v>
      </c>
      <c r="C700" s="2" t="s">
        <v>8399</v>
      </c>
      <c r="D700" s="2" t="s">
        <v>8400</v>
      </c>
      <c r="F700" s="3" t="s">
        <v>59</v>
      </c>
      <c r="G700" s="3" t="s">
        <v>60</v>
      </c>
      <c r="H700" s="3" t="s">
        <v>59</v>
      </c>
      <c r="I700" s="3" t="s">
        <v>59</v>
      </c>
      <c r="J700" s="3" t="s">
        <v>61</v>
      </c>
      <c r="K700" s="2" t="s">
        <v>8401</v>
      </c>
      <c r="L700" s="2" t="s">
        <v>8402</v>
      </c>
      <c r="M700" s="3" t="s">
        <v>4302</v>
      </c>
      <c r="N700" s="2" t="s">
        <v>572</v>
      </c>
      <c r="O700" s="3" t="s">
        <v>64</v>
      </c>
      <c r="P700" s="3" t="s">
        <v>467</v>
      </c>
      <c r="R700" s="3" t="s">
        <v>67</v>
      </c>
      <c r="S700" s="4">
        <v>15</v>
      </c>
      <c r="T700" s="4">
        <v>15</v>
      </c>
      <c r="U700" s="5" t="s">
        <v>8378</v>
      </c>
      <c r="V700" s="5" t="s">
        <v>8378</v>
      </c>
      <c r="W700" s="5" t="s">
        <v>8403</v>
      </c>
      <c r="X700" s="5" t="s">
        <v>8403</v>
      </c>
      <c r="Y700" s="4">
        <v>704</v>
      </c>
      <c r="Z700" s="4">
        <v>661</v>
      </c>
      <c r="AA700" s="4">
        <v>738</v>
      </c>
      <c r="AB700" s="4">
        <v>6</v>
      </c>
      <c r="AC700" s="4">
        <v>6</v>
      </c>
      <c r="AD700" s="4">
        <v>15</v>
      </c>
      <c r="AE700" s="4">
        <v>15</v>
      </c>
      <c r="AF700" s="4">
        <v>6</v>
      </c>
      <c r="AG700" s="4">
        <v>6</v>
      </c>
      <c r="AH700" s="4">
        <v>1</v>
      </c>
      <c r="AI700" s="4">
        <v>1</v>
      </c>
      <c r="AJ700" s="4">
        <v>6</v>
      </c>
      <c r="AK700" s="4">
        <v>6</v>
      </c>
      <c r="AL700" s="4">
        <v>4</v>
      </c>
      <c r="AM700" s="4">
        <v>4</v>
      </c>
      <c r="AN700" s="4">
        <v>0</v>
      </c>
      <c r="AO700" s="4">
        <v>0</v>
      </c>
      <c r="AP700" s="3" t="s">
        <v>59</v>
      </c>
      <c r="AQ700" s="3" t="s">
        <v>59</v>
      </c>
      <c r="AS700" s="6" t="str">
        <f>HYPERLINK("https://creighton-primo.hosted.exlibrisgroup.com/primo-explore/search?tab=default_tab&amp;search_scope=EVERYTHING&amp;vid=01CRU&amp;lang=en_US&amp;offset=0&amp;query=any,contains,991002262839702656","Catalog Record")</f>
        <v>Catalog Record</v>
      </c>
      <c r="AT700" s="6" t="str">
        <f>HYPERLINK("http://www.worldcat.org/oclc/305269","WorldCat Record")</f>
        <v>WorldCat Record</v>
      </c>
      <c r="AU700" s="3" t="s">
        <v>8404</v>
      </c>
      <c r="AV700" s="3" t="s">
        <v>8405</v>
      </c>
      <c r="AW700" s="3" t="s">
        <v>8406</v>
      </c>
      <c r="AX700" s="3" t="s">
        <v>8406</v>
      </c>
      <c r="AY700" s="3" t="s">
        <v>8407</v>
      </c>
      <c r="AZ700" s="3" t="s">
        <v>74</v>
      </c>
      <c r="BC700" s="3" t="s">
        <v>8408</v>
      </c>
      <c r="BD700" s="3" t="s">
        <v>8409</v>
      </c>
    </row>
    <row r="701" spans="1:56" ht="57.75" customHeight="1" x14ac:dyDescent="0.25">
      <c r="A701" s="7" t="s">
        <v>59</v>
      </c>
      <c r="B701" s="2" t="s">
        <v>8410</v>
      </c>
      <c r="C701" s="2" t="s">
        <v>8411</v>
      </c>
      <c r="D701" s="2" t="s">
        <v>8412</v>
      </c>
      <c r="F701" s="3" t="s">
        <v>59</v>
      </c>
      <c r="G701" s="3" t="s">
        <v>60</v>
      </c>
      <c r="H701" s="3" t="s">
        <v>59</v>
      </c>
      <c r="I701" s="3" t="s">
        <v>59</v>
      </c>
      <c r="J701" s="3" t="s">
        <v>61</v>
      </c>
      <c r="K701" s="2" t="s">
        <v>8413</v>
      </c>
      <c r="L701" s="2" t="s">
        <v>8414</v>
      </c>
      <c r="M701" s="3" t="s">
        <v>1852</v>
      </c>
      <c r="O701" s="3" t="s">
        <v>64</v>
      </c>
      <c r="P701" s="3" t="s">
        <v>467</v>
      </c>
      <c r="Q701" s="2" t="s">
        <v>4084</v>
      </c>
      <c r="R701" s="3" t="s">
        <v>67</v>
      </c>
      <c r="S701" s="4">
        <v>11</v>
      </c>
      <c r="T701" s="4">
        <v>11</v>
      </c>
      <c r="U701" s="5" t="s">
        <v>8378</v>
      </c>
      <c r="V701" s="5" t="s">
        <v>8378</v>
      </c>
      <c r="W701" s="5" t="s">
        <v>1788</v>
      </c>
      <c r="X701" s="5" t="s">
        <v>1788</v>
      </c>
      <c r="Y701" s="4">
        <v>1278</v>
      </c>
      <c r="Z701" s="4">
        <v>1208</v>
      </c>
      <c r="AA701" s="4">
        <v>1632</v>
      </c>
      <c r="AB701" s="4">
        <v>17</v>
      </c>
      <c r="AC701" s="4">
        <v>25</v>
      </c>
      <c r="AD701" s="4">
        <v>21</v>
      </c>
      <c r="AE701" s="4">
        <v>22</v>
      </c>
      <c r="AF701" s="4">
        <v>8</v>
      </c>
      <c r="AG701" s="4">
        <v>9</v>
      </c>
      <c r="AH701" s="4">
        <v>1</v>
      </c>
      <c r="AI701" s="4">
        <v>1</v>
      </c>
      <c r="AJ701" s="4">
        <v>12</v>
      </c>
      <c r="AK701" s="4">
        <v>13</v>
      </c>
      <c r="AL701" s="4">
        <v>5</v>
      </c>
      <c r="AM701" s="4">
        <v>5</v>
      </c>
      <c r="AN701" s="4">
        <v>0</v>
      </c>
      <c r="AO701" s="4">
        <v>0</v>
      </c>
      <c r="AP701" s="3" t="s">
        <v>69</v>
      </c>
      <c r="AQ701" s="3" t="s">
        <v>59</v>
      </c>
      <c r="AR701" s="6" t="str">
        <f>HYPERLINK("http://catalog.hathitrust.org/Record/001501062","HathiTrust Record")</f>
        <v>HathiTrust Record</v>
      </c>
      <c r="AS701" s="6" t="str">
        <f>HYPERLINK("https://creighton-primo.hosted.exlibrisgroup.com/primo-explore/search?tab=default_tab&amp;search_scope=EVERYTHING&amp;vid=01CRU&amp;lang=en_US&amp;offset=0&amp;query=any,contains,991003431709702656","Catalog Record")</f>
        <v>Catalog Record</v>
      </c>
      <c r="AT701" s="6" t="str">
        <f>HYPERLINK("http://www.worldcat.org/oclc/966452","WorldCat Record")</f>
        <v>WorldCat Record</v>
      </c>
      <c r="AU701" s="3" t="s">
        <v>8415</v>
      </c>
      <c r="AV701" s="3" t="s">
        <v>8416</v>
      </c>
      <c r="AW701" s="3" t="s">
        <v>8417</v>
      </c>
      <c r="AX701" s="3" t="s">
        <v>8417</v>
      </c>
      <c r="AY701" s="3" t="s">
        <v>8418</v>
      </c>
      <c r="AZ701" s="3" t="s">
        <v>74</v>
      </c>
      <c r="BC701" s="3" t="s">
        <v>8419</v>
      </c>
      <c r="BD701" s="3" t="s">
        <v>8420</v>
      </c>
    </row>
    <row r="702" spans="1:56" ht="57.75" customHeight="1" x14ac:dyDescent="0.25">
      <c r="A702" s="7" t="s">
        <v>59</v>
      </c>
      <c r="B702" s="2" t="s">
        <v>8421</v>
      </c>
      <c r="C702" s="2" t="s">
        <v>8422</v>
      </c>
      <c r="D702" s="2" t="s">
        <v>8423</v>
      </c>
      <c r="F702" s="3" t="s">
        <v>59</v>
      </c>
      <c r="G702" s="3" t="s">
        <v>60</v>
      </c>
      <c r="H702" s="3" t="s">
        <v>59</v>
      </c>
      <c r="I702" s="3" t="s">
        <v>59</v>
      </c>
      <c r="J702" s="3" t="s">
        <v>61</v>
      </c>
      <c r="K702" s="2" t="s">
        <v>8376</v>
      </c>
      <c r="L702" s="2" t="s">
        <v>8424</v>
      </c>
      <c r="M702" s="3" t="s">
        <v>864</v>
      </c>
      <c r="O702" s="3" t="s">
        <v>64</v>
      </c>
      <c r="P702" s="3" t="s">
        <v>467</v>
      </c>
      <c r="R702" s="3" t="s">
        <v>67</v>
      </c>
      <c r="S702" s="4">
        <v>12</v>
      </c>
      <c r="T702" s="4">
        <v>12</v>
      </c>
      <c r="U702" s="5" t="s">
        <v>8425</v>
      </c>
      <c r="V702" s="5" t="s">
        <v>8425</v>
      </c>
      <c r="W702" s="5" t="s">
        <v>1689</v>
      </c>
      <c r="X702" s="5" t="s">
        <v>1689</v>
      </c>
      <c r="Y702" s="4">
        <v>939</v>
      </c>
      <c r="Z702" s="4">
        <v>900</v>
      </c>
      <c r="AA702" s="4">
        <v>916</v>
      </c>
      <c r="AB702" s="4">
        <v>7</v>
      </c>
      <c r="AC702" s="4">
        <v>7</v>
      </c>
      <c r="AD702" s="4">
        <v>16</v>
      </c>
      <c r="AE702" s="4">
        <v>16</v>
      </c>
      <c r="AF702" s="4">
        <v>6</v>
      </c>
      <c r="AG702" s="4">
        <v>6</v>
      </c>
      <c r="AH702" s="4">
        <v>0</v>
      </c>
      <c r="AI702" s="4">
        <v>0</v>
      </c>
      <c r="AJ702" s="4">
        <v>7</v>
      </c>
      <c r="AK702" s="4">
        <v>7</v>
      </c>
      <c r="AL702" s="4">
        <v>4</v>
      </c>
      <c r="AM702" s="4">
        <v>4</v>
      </c>
      <c r="AN702" s="4">
        <v>0</v>
      </c>
      <c r="AO702" s="4">
        <v>0</v>
      </c>
      <c r="AP702" s="3" t="s">
        <v>59</v>
      </c>
      <c r="AQ702" s="3" t="s">
        <v>59</v>
      </c>
      <c r="AS702" s="6" t="str">
        <f>HYPERLINK("https://creighton-primo.hosted.exlibrisgroup.com/primo-explore/search?tab=default_tab&amp;search_scope=EVERYTHING&amp;vid=01CRU&amp;lang=en_US&amp;offset=0&amp;query=any,contains,991000431499702656","Catalog Record")</f>
        <v>Catalog Record</v>
      </c>
      <c r="AT702" s="6" t="str">
        <f>HYPERLINK("http://www.worldcat.org/oclc/75884","WorldCat Record")</f>
        <v>WorldCat Record</v>
      </c>
      <c r="AU702" s="3" t="s">
        <v>8426</v>
      </c>
      <c r="AV702" s="3" t="s">
        <v>8427</v>
      </c>
      <c r="AW702" s="3" t="s">
        <v>8428</v>
      </c>
      <c r="AX702" s="3" t="s">
        <v>8428</v>
      </c>
      <c r="AY702" s="3" t="s">
        <v>8429</v>
      </c>
      <c r="AZ702" s="3" t="s">
        <v>74</v>
      </c>
      <c r="BC702" s="3" t="s">
        <v>8430</v>
      </c>
      <c r="BD702" s="3" t="s">
        <v>8431</v>
      </c>
    </row>
    <row r="703" spans="1:56" ht="57.75" customHeight="1" x14ac:dyDescent="0.25">
      <c r="A703" s="7" t="s">
        <v>59</v>
      </c>
      <c r="B703" s="2" t="s">
        <v>8432</v>
      </c>
      <c r="C703" s="2" t="s">
        <v>8433</v>
      </c>
      <c r="D703" s="2" t="s">
        <v>8434</v>
      </c>
      <c r="F703" s="3" t="s">
        <v>59</v>
      </c>
      <c r="G703" s="3" t="s">
        <v>60</v>
      </c>
      <c r="H703" s="3" t="s">
        <v>59</v>
      </c>
      <c r="I703" s="3" t="s">
        <v>59</v>
      </c>
      <c r="J703" s="3" t="s">
        <v>61</v>
      </c>
      <c r="K703" s="2" t="s">
        <v>8435</v>
      </c>
      <c r="L703" s="2" t="s">
        <v>8436</v>
      </c>
      <c r="M703" s="3" t="s">
        <v>6157</v>
      </c>
      <c r="O703" s="3" t="s">
        <v>64</v>
      </c>
      <c r="P703" s="3" t="s">
        <v>467</v>
      </c>
      <c r="R703" s="3" t="s">
        <v>67</v>
      </c>
      <c r="S703" s="4">
        <v>14</v>
      </c>
      <c r="T703" s="4">
        <v>14</v>
      </c>
      <c r="U703" s="5" t="s">
        <v>8437</v>
      </c>
      <c r="V703" s="5" t="s">
        <v>8437</v>
      </c>
      <c r="W703" s="5" t="s">
        <v>3083</v>
      </c>
      <c r="X703" s="5" t="s">
        <v>3083</v>
      </c>
      <c r="Y703" s="4">
        <v>554</v>
      </c>
      <c r="Z703" s="4">
        <v>512</v>
      </c>
      <c r="AA703" s="4">
        <v>722</v>
      </c>
      <c r="AB703" s="4">
        <v>5</v>
      </c>
      <c r="AC703" s="4">
        <v>6</v>
      </c>
      <c r="AD703" s="4">
        <v>13</v>
      </c>
      <c r="AE703" s="4">
        <v>19</v>
      </c>
      <c r="AF703" s="4">
        <v>3</v>
      </c>
      <c r="AG703" s="4">
        <v>5</v>
      </c>
      <c r="AH703" s="4">
        <v>2</v>
      </c>
      <c r="AI703" s="4">
        <v>4</v>
      </c>
      <c r="AJ703" s="4">
        <v>7</v>
      </c>
      <c r="AK703" s="4">
        <v>9</v>
      </c>
      <c r="AL703" s="4">
        <v>3</v>
      </c>
      <c r="AM703" s="4">
        <v>4</v>
      </c>
      <c r="AN703" s="4">
        <v>0</v>
      </c>
      <c r="AO703" s="4">
        <v>0</v>
      </c>
      <c r="AP703" s="3" t="s">
        <v>59</v>
      </c>
      <c r="AQ703" s="3" t="s">
        <v>69</v>
      </c>
      <c r="AR703" s="6" t="str">
        <f>HYPERLINK("http://catalog.hathitrust.org/Record/001501065","HathiTrust Record")</f>
        <v>HathiTrust Record</v>
      </c>
      <c r="AS703" s="6" t="str">
        <f>HYPERLINK("https://creighton-primo.hosted.exlibrisgroup.com/primo-explore/search?tab=default_tab&amp;search_scope=EVERYTHING&amp;vid=01CRU&amp;lang=en_US&amp;offset=0&amp;query=any,contains,991002982339702656","Catalog Record")</f>
        <v>Catalog Record</v>
      </c>
      <c r="AT703" s="6" t="str">
        <f>HYPERLINK("http://www.worldcat.org/oclc/555533","WorldCat Record")</f>
        <v>WorldCat Record</v>
      </c>
      <c r="AU703" s="3" t="s">
        <v>8438</v>
      </c>
      <c r="AV703" s="3" t="s">
        <v>8439</v>
      </c>
      <c r="AW703" s="3" t="s">
        <v>8440</v>
      </c>
      <c r="AX703" s="3" t="s">
        <v>8440</v>
      </c>
      <c r="AY703" s="3" t="s">
        <v>8441</v>
      </c>
      <c r="AZ703" s="3" t="s">
        <v>74</v>
      </c>
      <c r="BC703" s="3" t="s">
        <v>8442</v>
      </c>
      <c r="BD703" s="3" t="s">
        <v>8443</v>
      </c>
    </row>
    <row r="704" spans="1:56" ht="57.75" customHeight="1" x14ac:dyDescent="0.25">
      <c r="A704" s="7" t="s">
        <v>59</v>
      </c>
      <c r="B704" s="2" t="s">
        <v>8444</v>
      </c>
      <c r="C704" s="2" t="s">
        <v>8445</v>
      </c>
      <c r="D704" s="2" t="s">
        <v>8446</v>
      </c>
      <c r="F704" s="3" t="s">
        <v>59</v>
      </c>
      <c r="G704" s="3" t="s">
        <v>60</v>
      </c>
      <c r="H704" s="3" t="s">
        <v>59</v>
      </c>
      <c r="I704" s="3" t="s">
        <v>59</v>
      </c>
      <c r="J704" s="3" t="s">
        <v>61</v>
      </c>
      <c r="K704" s="2" t="s">
        <v>8447</v>
      </c>
      <c r="L704" s="2" t="s">
        <v>8448</v>
      </c>
      <c r="M704" s="3" t="s">
        <v>495</v>
      </c>
      <c r="O704" s="3" t="s">
        <v>64</v>
      </c>
      <c r="P704" s="3" t="s">
        <v>405</v>
      </c>
      <c r="R704" s="3" t="s">
        <v>67</v>
      </c>
      <c r="S704" s="4">
        <v>5</v>
      </c>
      <c r="T704" s="4">
        <v>5</v>
      </c>
      <c r="U704" s="5" t="s">
        <v>8349</v>
      </c>
      <c r="V704" s="5" t="s">
        <v>8349</v>
      </c>
      <c r="W704" s="5" t="s">
        <v>8449</v>
      </c>
      <c r="X704" s="5" t="s">
        <v>8449</v>
      </c>
      <c r="Y704" s="4">
        <v>178</v>
      </c>
      <c r="Z704" s="4">
        <v>127</v>
      </c>
      <c r="AA704" s="4">
        <v>127</v>
      </c>
      <c r="AB704" s="4">
        <v>3</v>
      </c>
      <c r="AC704" s="4">
        <v>3</v>
      </c>
      <c r="AD704" s="4">
        <v>3</v>
      </c>
      <c r="AE704" s="4">
        <v>3</v>
      </c>
      <c r="AF704" s="4">
        <v>1</v>
      </c>
      <c r="AG704" s="4">
        <v>1</v>
      </c>
      <c r="AH704" s="4">
        <v>0</v>
      </c>
      <c r="AI704" s="4">
        <v>0</v>
      </c>
      <c r="AJ704" s="4">
        <v>0</v>
      </c>
      <c r="AK704" s="4">
        <v>0</v>
      </c>
      <c r="AL704" s="4">
        <v>2</v>
      </c>
      <c r="AM704" s="4">
        <v>2</v>
      </c>
      <c r="AN704" s="4">
        <v>0</v>
      </c>
      <c r="AO704" s="4">
        <v>0</v>
      </c>
      <c r="AP704" s="3" t="s">
        <v>59</v>
      </c>
      <c r="AQ704" s="3" t="s">
        <v>59</v>
      </c>
      <c r="AS704" s="6" t="str">
        <f>HYPERLINK("https://creighton-primo.hosted.exlibrisgroup.com/primo-explore/search?tab=default_tab&amp;search_scope=EVERYTHING&amp;vid=01CRU&amp;lang=en_US&amp;offset=0&amp;query=any,contains,991000941239702656","Catalog Record")</f>
        <v>Catalog Record</v>
      </c>
      <c r="AT704" s="6" t="str">
        <f>HYPERLINK("http://www.worldcat.org/oclc/14412159","WorldCat Record")</f>
        <v>WorldCat Record</v>
      </c>
      <c r="AU704" s="3" t="s">
        <v>8450</v>
      </c>
      <c r="AV704" s="3" t="s">
        <v>8451</v>
      </c>
      <c r="AW704" s="3" t="s">
        <v>8452</v>
      </c>
      <c r="AX704" s="3" t="s">
        <v>8452</v>
      </c>
      <c r="AY704" s="3" t="s">
        <v>8453</v>
      </c>
      <c r="AZ704" s="3" t="s">
        <v>74</v>
      </c>
      <c r="BB704" s="3" t="s">
        <v>8454</v>
      </c>
      <c r="BC704" s="3" t="s">
        <v>8455</v>
      </c>
      <c r="BD704" s="3" t="s">
        <v>8456</v>
      </c>
    </row>
    <row r="705" spans="1:56" ht="57.75" customHeight="1" x14ac:dyDescent="0.25">
      <c r="A705" s="7" t="s">
        <v>59</v>
      </c>
      <c r="B705" s="2" t="s">
        <v>8457</v>
      </c>
      <c r="C705" s="2" t="s">
        <v>8458</v>
      </c>
      <c r="D705" s="2" t="s">
        <v>8459</v>
      </c>
      <c r="F705" s="3" t="s">
        <v>59</v>
      </c>
      <c r="G705" s="3" t="s">
        <v>60</v>
      </c>
      <c r="H705" s="3" t="s">
        <v>59</v>
      </c>
      <c r="I705" s="3" t="s">
        <v>59</v>
      </c>
      <c r="J705" s="3" t="s">
        <v>61</v>
      </c>
      <c r="K705" s="2" t="s">
        <v>8460</v>
      </c>
      <c r="L705" s="2" t="s">
        <v>8461</v>
      </c>
      <c r="M705" s="3" t="s">
        <v>436</v>
      </c>
      <c r="O705" s="3" t="s">
        <v>64</v>
      </c>
      <c r="P705" s="3" t="s">
        <v>405</v>
      </c>
      <c r="R705" s="3" t="s">
        <v>67</v>
      </c>
      <c r="S705" s="4">
        <v>6</v>
      </c>
      <c r="T705" s="4">
        <v>6</v>
      </c>
      <c r="U705" s="5" t="s">
        <v>8462</v>
      </c>
      <c r="V705" s="5" t="s">
        <v>8462</v>
      </c>
      <c r="W705" s="5" t="s">
        <v>498</v>
      </c>
      <c r="X705" s="5" t="s">
        <v>498</v>
      </c>
      <c r="Y705" s="4">
        <v>141</v>
      </c>
      <c r="Z705" s="4">
        <v>27</v>
      </c>
      <c r="AA705" s="4">
        <v>48</v>
      </c>
      <c r="AB705" s="4">
        <v>2</v>
      </c>
      <c r="AC705" s="4">
        <v>2</v>
      </c>
      <c r="AD705" s="4">
        <v>1</v>
      </c>
      <c r="AE705" s="4">
        <v>1</v>
      </c>
      <c r="AF705" s="4">
        <v>0</v>
      </c>
      <c r="AG705" s="4">
        <v>0</v>
      </c>
      <c r="AH705" s="4">
        <v>0</v>
      </c>
      <c r="AI705" s="4">
        <v>0</v>
      </c>
      <c r="AJ705" s="4">
        <v>0</v>
      </c>
      <c r="AK705" s="4">
        <v>0</v>
      </c>
      <c r="AL705" s="4">
        <v>1</v>
      </c>
      <c r="AM705" s="4">
        <v>1</v>
      </c>
      <c r="AN705" s="4">
        <v>0</v>
      </c>
      <c r="AO705" s="4">
        <v>0</v>
      </c>
      <c r="AP705" s="3" t="s">
        <v>59</v>
      </c>
      <c r="AQ705" s="3" t="s">
        <v>69</v>
      </c>
      <c r="AR705" s="6" t="str">
        <f>HYPERLINK("http://catalog.hathitrust.org/Record/100222217","HathiTrust Record")</f>
        <v>HathiTrust Record</v>
      </c>
      <c r="AS705" s="6" t="str">
        <f>HYPERLINK("https://creighton-primo.hosted.exlibrisgroup.com/primo-explore/search?tab=default_tab&amp;search_scope=EVERYTHING&amp;vid=01CRU&amp;lang=en_US&amp;offset=0&amp;query=any,contains,991004823209702656","Catalog Record")</f>
        <v>Catalog Record</v>
      </c>
      <c r="AT705" s="6" t="str">
        <f>HYPERLINK("http://www.worldcat.org/oclc/5338533","WorldCat Record")</f>
        <v>WorldCat Record</v>
      </c>
      <c r="AU705" s="3" t="s">
        <v>8463</v>
      </c>
      <c r="AV705" s="3" t="s">
        <v>8464</v>
      </c>
      <c r="AW705" s="3" t="s">
        <v>8465</v>
      </c>
      <c r="AX705" s="3" t="s">
        <v>8465</v>
      </c>
      <c r="AY705" s="3" t="s">
        <v>8466</v>
      </c>
      <c r="AZ705" s="3" t="s">
        <v>74</v>
      </c>
      <c r="BB705" s="3" t="s">
        <v>8467</v>
      </c>
      <c r="BC705" s="3" t="s">
        <v>8468</v>
      </c>
      <c r="BD705" s="3" t="s">
        <v>8469</v>
      </c>
    </row>
    <row r="706" spans="1:56" ht="57.75" customHeight="1" x14ac:dyDescent="0.25">
      <c r="A706" s="7" t="s">
        <v>59</v>
      </c>
      <c r="B706" s="2" t="s">
        <v>8470</v>
      </c>
      <c r="C706" s="2" t="s">
        <v>8471</v>
      </c>
      <c r="D706" s="2" t="s">
        <v>8472</v>
      </c>
      <c r="F706" s="3" t="s">
        <v>59</v>
      </c>
      <c r="G706" s="3" t="s">
        <v>60</v>
      </c>
      <c r="H706" s="3" t="s">
        <v>59</v>
      </c>
      <c r="I706" s="3" t="s">
        <v>59</v>
      </c>
      <c r="J706" s="3" t="s">
        <v>61</v>
      </c>
      <c r="K706" s="2" t="s">
        <v>8473</v>
      </c>
      <c r="L706" s="2" t="s">
        <v>8474</v>
      </c>
      <c r="M706" s="3" t="s">
        <v>738</v>
      </c>
      <c r="N706" s="2" t="s">
        <v>572</v>
      </c>
      <c r="O706" s="3" t="s">
        <v>64</v>
      </c>
      <c r="P706" s="3" t="s">
        <v>467</v>
      </c>
      <c r="R706" s="3" t="s">
        <v>67</v>
      </c>
      <c r="S706" s="4">
        <v>9</v>
      </c>
      <c r="T706" s="4">
        <v>9</v>
      </c>
      <c r="U706" s="5" t="s">
        <v>8475</v>
      </c>
      <c r="V706" s="5" t="s">
        <v>8475</v>
      </c>
      <c r="W706" s="5" t="s">
        <v>3695</v>
      </c>
      <c r="X706" s="5" t="s">
        <v>3695</v>
      </c>
      <c r="Y706" s="4">
        <v>792</v>
      </c>
      <c r="Z706" s="4">
        <v>764</v>
      </c>
      <c r="AA706" s="4">
        <v>771</v>
      </c>
      <c r="AB706" s="4">
        <v>8</v>
      </c>
      <c r="AC706" s="4">
        <v>8</v>
      </c>
      <c r="AD706" s="4">
        <v>15</v>
      </c>
      <c r="AE706" s="4">
        <v>15</v>
      </c>
      <c r="AF706" s="4">
        <v>8</v>
      </c>
      <c r="AG706" s="4">
        <v>8</v>
      </c>
      <c r="AH706" s="4">
        <v>2</v>
      </c>
      <c r="AI706" s="4">
        <v>2</v>
      </c>
      <c r="AJ706" s="4">
        <v>5</v>
      </c>
      <c r="AK706" s="4">
        <v>5</v>
      </c>
      <c r="AL706" s="4">
        <v>4</v>
      </c>
      <c r="AM706" s="4">
        <v>4</v>
      </c>
      <c r="AN706" s="4">
        <v>0</v>
      </c>
      <c r="AO706" s="4">
        <v>0</v>
      </c>
      <c r="AP706" s="3" t="s">
        <v>59</v>
      </c>
      <c r="AQ706" s="3" t="s">
        <v>69</v>
      </c>
      <c r="AR706" s="6" t="str">
        <f>HYPERLINK("http://catalog.hathitrust.org/Record/007063170","HathiTrust Record")</f>
        <v>HathiTrust Record</v>
      </c>
      <c r="AS706" s="6" t="str">
        <f>HYPERLINK("https://creighton-primo.hosted.exlibrisgroup.com/primo-explore/search?tab=default_tab&amp;search_scope=EVERYTHING&amp;vid=01CRU&amp;lang=en_US&amp;offset=0&amp;query=any,contains,991002823259702656","Catalog Record")</f>
        <v>Catalog Record</v>
      </c>
      <c r="AT706" s="6" t="str">
        <f>HYPERLINK("http://www.worldcat.org/oclc/469406","WorldCat Record")</f>
        <v>WorldCat Record</v>
      </c>
      <c r="AU706" s="3" t="s">
        <v>8476</v>
      </c>
      <c r="AV706" s="3" t="s">
        <v>8477</v>
      </c>
      <c r="AW706" s="3" t="s">
        <v>8478</v>
      </c>
      <c r="AX706" s="3" t="s">
        <v>8478</v>
      </c>
      <c r="AY706" s="3" t="s">
        <v>8479</v>
      </c>
      <c r="AZ706" s="3" t="s">
        <v>74</v>
      </c>
      <c r="BC706" s="3" t="s">
        <v>8480</v>
      </c>
      <c r="BD706" s="3" t="s">
        <v>8481</v>
      </c>
    </row>
    <row r="707" spans="1:56" ht="57.75" customHeight="1" x14ac:dyDescent="0.25">
      <c r="A707" s="7" t="s">
        <v>59</v>
      </c>
      <c r="B707" s="2" t="s">
        <v>8482</v>
      </c>
      <c r="C707" s="2" t="s">
        <v>8483</v>
      </c>
      <c r="D707" s="2" t="s">
        <v>8484</v>
      </c>
      <c r="F707" s="3" t="s">
        <v>59</v>
      </c>
      <c r="G707" s="3" t="s">
        <v>60</v>
      </c>
      <c r="H707" s="3" t="s">
        <v>59</v>
      </c>
      <c r="I707" s="3" t="s">
        <v>59</v>
      </c>
      <c r="J707" s="3" t="s">
        <v>61</v>
      </c>
      <c r="K707" s="2" t="s">
        <v>8485</v>
      </c>
      <c r="L707" s="2" t="s">
        <v>8486</v>
      </c>
      <c r="M707" s="3" t="s">
        <v>3095</v>
      </c>
      <c r="N707" s="2" t="s">
        <v>3360</v>
      </c>
      <c r="O707" s="3" t="s">
        <v>64</v>
      </c>
      <c r="P707" s="3" t="s">
        <v>630</v>
      </c>
      <c r="Q707" s="2" t="s">
        <v>8487</v>
      </c>
      <c r="R707" s="3" t="s">
        <v>67</v>
      </c>
      <c r="S707" s="4">
        <v>3</v>
      </c>
      <c r="T707" s="4">
        <v>3</v>
      </c>
      <c r="U707" s="5" t="s">
        <v>8488</v>
      </c>
      <c r="V707" s="5" t="s">
        <v>8488</v>
      </c>
      <c r="W707" s="5" t="s">
        <v>8489</v>
      </c>
      <c r="X707" s="5" t="s">
        <v>8489</v>
      </c>
      <c r="Y707" s="4">
        <v>1292</v>
      </c>
      <c r="Z707" s="4">
        <v>1238</v>
      </c>
      <c r="AA707" s="4">
        <v>1268</v>
      </c>
      <c r="AB707" s="4">
        <v>10</v>
      </c>
      <c r="AC707" s="4">
        <v>10</v>
      </c>
      <c r="AD707" s="4">
        <v>22</v>
      </c>
      <c r="AE707" s="4">
        <v>22</v>
      </c>
      <c r="AF707" s="4">
        <v>9</v>
      </c>
      <c r="AG707" s="4">
        <v>9</v>
      </c>
      <c r="AH707" s="4">
        <v>4</v>
      </c>
      <c r="AI707" s="4">
        <v>4</v>
      </c>
      <c r="AJ707" s="4">
        <v>9</v>
      </c>
      <c r="AK707" s="4">
        <v>9</v>
      </c>
      <c r="AL707" s="4">
        <v>6</v>
      </c>
      <c r="AM707" s="4">
        <v>6</v>
      </c>
      <c r="AN707" s="4">
        <v>0</v>
      </c>
      <c r="AO707" s="4">
        <v>0</v>
      </c>
      <c r="AP707" s="3" t="s">
        <v>59</v>
      </c>
      <c r="AQ707" s="3" t="s">
        <v>69</v>
      </c>
      <c r="AR707" s="6" t="str">
        <f>HYPERLINK("http://catalog.hathitrust.org/Record/001501084","HathiTrust Record")</f>
        <v>HathiTrust Record</v>
      </c>
      <c r="AS707" s="6" t="str">
        <f>HYPERLINK("https://creighton-primo.hosted.exlibrisgroup.com/primo-explore/search?tab=default_tab&amp;search_scope=EVERYTHING&amp;vid=01CRU&amp;lang=en_US&amp;offset=0&amp;query=any,contains,991001408469702656","Catalog Record")</f>
        <v>Catalog Record</v>
      </c>
      <c r="AT707" s="6" t="str">
        <f>HYPERLINK("http://www.worldcat.org/oclc/1423604","WorldCat Record")</f>
        <v>WorldCat Record</v>
      </c>
      <c r="AU707" s="3" t="s">
        <v>8490</v>
      </c>
      <c r="AV707" s="3" t="s">
        <v>8491</v>
      </c>
      <c r="AW707" s="3" t="s">
        <v>8492</v>
      </c>
      <c r="AX707" s="3" t="s">
        <v>8492</v>
      </c>
      <c r="AY707" s="3" t="s">
        <v>8493</v>
      </c>
      <c r="AZ707" s="3" t="s">
        <v>74</v>
      </c>
      <c r="BB707" s="3" t="s">
        <v>8494</v>
      </c>
      <c r="BC707" s="3" t="s">
        <v>8495</v>
      </c>
      <c r="BD707" s="3" t="s">
        <v>8496</v>
      </c>
    </row>
    <row r="708" spans="1:56" ht="57.75" customHeight="1" x14ac:dyDescent="0.25">
      <c r="A708" s="7" t="s">
        <v>59</v>
      </c>
      <c r="B708" s="2" t="s">
        <v>8497</v>
      </c>
      <c r="C708" s="2" t="s">
        <v>8498</v>
      </c>
      <c r="D708" s="2" t="s">
        <v>8499</v>
      </c>
      <c r="F708" s="3" t="s">
        <v>59</v>
      </c>
      <c r="G708" s="3" t="s">
        <v>60</v>
      </c>
      <c r="H708" s="3" t="s">
        <v>59</v>
      </c>
      <c r="I708" s="3" t="s">
        <v>59</v>
      </c>
      <c r="J708" s="3" t="s">
        <v>61</v>
      </c>
      <c r="K708" s="2" t="s">
        <v>8500</v>
      </c>
      <c r="L708" s="2" t="s">
        <v>8501</v>
      </c>
      <c r="M708" s="3" t="s">
        <v>2202</v>
      </c>
      <c r="O708" s="3" t="s">
        <v>64</v>
      </c>
      <c r="P708" s="3" t="s">
        <v>467</v>
      </c>
      <c r="R708" s="3" t="s">
        <v>67</v>
      </c>
      <c r="S708" s="4">
        <v>18</v>
      </c>
      <c r="T708" s="4">
        <v>18</v>
      </c>
      <c r="U708" s="5" t="s">
        <v>8502</v>
      </c>
      <c r="V708" s="5" t="s">
        <v>8502</v>
      </c>
      <c r="W708" s="5" t="s">
        <v>498</v>
      </c>
      <c r="X708" s="5" t="s">
        <v>498</v>
      </c>
      <c r="Y708" s="4">
        <v>505</v>
      </c>
      <c r="Z708" s="4">
        <v>475</v>
      </c>
      <c r="AA708" s="4">
        <v>907</v>
      </c>
      <c r="AB708" s="4">
        <v>2</v>
      </c>
      <c r="AC708" s="4">
        <v>4</v>
      </c>
      <c r="AD708" s="4">
        <v>7</v>
      </c>
      <c r="AE708" s="4">
        <v>28</v>
      </c>
      <c r="AF708" s="4">
        <v>3</v>
      </c>
      <c r="AG708" s="4">
        <v>12</v>
      </c>
      <c r="AH708" s="4">
        <v>1</v>
      </c>
      <c r="AI708" s="4">
        <v>4</v>
      </c>
      <c r="AJ708" s="4">
        <v>3</v>
      </c>
      <c r="AK708" s="4">
        <v>16</v>
      </c>
      <c r="AL708" s="4">
        <v>1</v>
      </c>
      <c r="AM708" s="4">
        <v>3</v>
      </c>
      <c r="AN708" s="4">
        <v>0</v>
      </c>
      <c r="AO708" s="4">
        <v>0</v>
      </c>
      <c r="AP708" s="3" t="s">
        <v>59</v>
      </c>
      <c r="AQ708" s="3" t="s">
        <v>59</v>
      </c>
      <c r="AS708" s="6" t="str">
        <f>HYPERLINK("https://creighton-primo.hosted.exlibrisgroup.com/primo-explore/search?tab=default_tab&amp;search_scope=EVERYTHING&amp;vid=01CRU&amp;lang=en_US&amp;offset=0&amp;query=any,contains,991000004029702656","Catalog Record")</f>
        <v>Catalog Record</v>
      </c>
      <c r="AT708" s="6" t="str">
        <f>HYPERLINK("http://www.worldcat.org/oclc/12443","WorldCat Record")</f>
        <v>WorldCat Record</v>
      </c>
      <c r="AU708" s="3" t="s">
        <v>8503</v>
      </c>
      <c r="AV708" s="3" t="s">
        <v>8504</v>
      </c>
      <c r="AW708" s="3" t="s">
        <v>8505</v>
      </c>
      <c r="AX708" s="3" t="s">
        <v>8505</v>
      </c>
      <c r="AY708" s="3" t="s">
        <v>8506</v>
      </c>
      <c r="AZ708" s="3" t="s">
        <v>74</v>
      </c>
      <c r="BB708" s="3" t="s">
        <v>8507</v>
      </c>
      <c r="BC708" s="3" t="s">
        <v>8508</v>
      </c>
      <c r="BD708" s="3" t="s">
        <v>8509</v>
      </c>
    </row>
    <row r="709" spans="1:56" ht="57.75" customHeight="1" x14ac:dyDescent="0.25">
      <c r="A709" s="7" t="s">
        <v>59</v>
      </c>
      <c r="B709" s="2" t="s">
        <v>8510</v>
      </c>
      <c r="C709" s="2" t="s">
        <v>8511</v>
      </c>
      <c r="D709" s="2" t="s">
        <v>8512</v>
      </c>
      <c r="F709" s="3" t="s">
        <v>59</v>
      </c>
      <c r="G709" s="3" t="s">
        <v>60</v>
      </c>
      <c r="H709" s="3" t="s">
        <v>59</v>
      </c>
      <c r="I709" s="3" t="s">
        <v>59</v>
      </c>
      <c r="J709" s="3" t="s">
        <v>61</v>
      </c>
      <c r="K709" s="2" t="s">
        <v>8388</v>
      </c>
      <c r="L709" s="2" t="s">
        <v>8513</v>
      </c>
      <c r="M709" s="3" t="s">
        <v>1800</v>
      </c>
      <c r="O709" s="3" t="s">
        <v>64</v>
      </c>
      <c r="P709" s="3" t="s">
        <v>467</v>
      </c>
      <c r="R709" s="3" t="s">
        <v>67</v>
      </c>
      <c r="S709" s="4">
        <v>5</v>
      </c>
      <c r="T709" s="4">
        <v>5</v>
      </c>
      <c r="U709" s="5" t="s">
        <v>1866</v>
      </c>
      <c r="V709" s="5" t="s">
        <v>1866</v>
      </c>
      <c r="W709" s="5" t="s">
        <v>8514</v>
      </c>
      <c r="X709" s="5" t="s">
        <v>8514</v>
      </c>
      <c r="Y709" s="4">
        <v>870</v>
      </c>
      <c r="Z709" s="4">
        <v>844</v>
      </c>
      <c r="AA709" s="4">
        <v>991</v>
      </c>
      <c r="AB709" s="4">
        <v>6</v>
      </c>
      <c r="AC709" s="4">
        <v>6</v>
      </c>
      <c r="AD709" s="4">
        <v>15</v>
      </c>
      <c r="AE709" s="4">
        <v>18</v>
      </c>
      <c r="AF709" s="4">
        <v>8</v>
      </c>
      <c r="AG709" s="4">
        <v>9</v>
      </c>
      <c r="AH709" s="4">
        <v>1</v>
      </c>
      <c r="AI709" s="4">
        <v>1</v>
      </c>
      <c r="AJ709" s="4">
        <v>4</v>
      </c>
      <c r="AK709" s="4">
        <v>7</v>
      </c>
      <c r="AL709" s="4">
        <v>3</v>
      </c>
      <c r="AM709" s="4">
        <v>3</v>
      </c>
      <c r="AN709" s="4">
        <v>0</v>
      </c>
      <c r="AO709" s="4">
        <v>0</v>
      </c>
      <c r="AP709" s="3" t="s">
        <v>59</v>
      </c>
      <c r="AQ709" s="3" t="s">
        <v>59</v>
      </c>
      <c r="AS709" s="6" t="str">
        <f>HYPERLINK("https://creighton-primo.hosted.exlibrisgroup.com/primo-explore/search?tab=default_tab&amp;search_scope=EVERYTHING&amp;vid=01CRU&amp;lang=en_US&amp;offset=0&amp;query=any,contains,991003916719702656","Catalog Record")</f>
        <v>Catalog Record</v>
      </c>
      <c r="AT709" s="6" t="str">
        <f>HYPERLINK("http://www.worldcat.org/oclc/1861610","WorldCat Record")</f>
        <v>WorldCat Record</v>
      </c>
      <c r="AU709" s="3" t="s">
        <v>8515</v>
      </c>
      <c r="AV709" s="3" t="s">
        <v>8516</v>
      </c>
      <c r="AW709" s="3" t="s">
        <v>8517</v>
      </c>
      <c r="AX709" s="3" t="s">
        <v>8517</v>
      </c>
      <c r="AY709" s="3" t="s">
        <v>8518</v>
      </c>
      <c r="AZ709" s="3" t="s">
        <v>74</v>
      </c>
      <c r="BC709" s="3" t="s">
        <v>8519</v>
      </c>
      <c r="BD709" s="3" t="s">
        <v>8520</v>
      </c>
    </row>
    <row r="710" spans="1:56" ht="57.75" customHeight="1" x14ac:dyDescent="0.25">
      <c r="A710" s="7" t="s">
        <v>59</v>
      </c>
      <c r="B710" s="2" t="s">
        <v>8521</v>
      </c>
      <c r="C710" s="2" t="s">
        <v>8522</v>
      </c>
      <c r="D710" s="2" t="s">
        <v>8523</v>
      </c>
      <c r="F710" s="3" t="s">
        <v>59</v>
      </c>
      <c r="G710" s="3" t="s">
        <v>60</v>
      </c>
      <c r="H710" s="3" t="s">
        <v>59</v>
      </c>
      <c r="I710" s="3" t="s">
        <v>59</v>
      </c>
      <c r="J710" s="3" t="s">
        <v>61</v>
      </c>
      <c r="K710" s="2" t="s">
        <v>8524</v>
      </c>
      <c r="L710" s="2" t="s">
        <v>8525</v>
      </c>
      <c r="M710" s="3" t="s">
        <v>2073</v>
      </c>
      <c r="N710" s="2" t="s">
        <v>556</v>
      </c>
      <c r="O710" s="3" t="s">
        <v>64</v>
      </c>
      <c r="P710" s="3" t="s">
        <v>405</v>
      </c>
      <c r="R710" s="3" t="s">
        <v>67</v>
      </c>
      <c r="S710" s="4">
        <v>1</v>
      </c>
      <c r="T710" s="4">
        <v>1</v>
      </c>
      <c r="U710" s="5" t="s">
        <v>7061</v>
      </c>
      <c r="V710" s="5" t="s">
        <v>7061</v>
      </c>
      <c r="W710" s="5" t="s">
        <v>498</v>
      </c>
      <c r="X710" s="5" t="s">
        <v>498</v>
      </c>
      <c r="Y710" s="4">
        <v>219</v>
      </c>
      <c r="Z710" s="4">
        <v>171</v>
      </c>
      <c r="AA710" s="4">
        <v>172</v>
      </c>
      <c r="AB710" s="4">
        <v>2</v>
      </c>
      <c r="AC710" s="4">
        <v>2</v>
      </c>
      <c r="AD710" s="4">
        <v>3</v>
      </c>
      <c r="AE710" s="4">
        <v>3</v>
      </c>
      <c r="AF710" s="4">
        <v>0</v>
      </c>
      <c r="AG710" s="4">
        <v>0</v>
      </c>
      <c r="AH710" s="4">
        <v>2</v>
      </c>
      <c r="AI710" s="4">
        <v>2</v>
      </c>
      <c r="AJ710" s="4">
        <v>2</v>
      </c>
      <c r="AK710" s="4">
        <v>2</v>
      </c>
      <c r="AL710" s="4">
        <v>1</v>
      </c>
      <c r="AM710" s="4">
        <v>1</v>
      </c>
      <c r="AN710" s="4">
        <v>0</v>
      </c>
      <c r="AO710" s="4">
        <v>0</v>
      </c>
      <c r="AP710" s="3" t="s">
        <v>59</v>
      </c>
      <c r="AQ710" s="3" t="s">
        <v>69</v>
      </c>
      <c r="AR710" s="6" t="str">
        <f>HYPERLINK("http://catalog.hathitrust.org/Record/000320520","HathiTrust Record")</f>
        <v>HathiTrust Record</v>
      </c>
      <c r="AS710" s="6" t="str">
        <f>HYPERLINK("https://creighton-primo.hosted.exlibrisgroup.com/primo-explore/search?tab=default_tab&amp;search_scope=EVERYTHING&amp;vid=01CRU&amp;lang=en_US&amp;offset=0&amp;query=any,contains,991000232149702656","Catalog Record")</f>
        <v>Catalog Record</v>
      </c>
      <c r="AT710" s="6" t="str">
        <f>HYPERLINK("http://www.worldcat.org/oclc/9644553","WorldCat Record")</f>
        <v>WorldCat Record</v>
      </c>
      <c r="AU710" s="3" t="s">
        <v>8526</v>
      </c>
      <c r="AV710" s="3" t="s">
        <v>8527</v>
      </c>
      <c r="AW710" s="3" t="s">
        <v>8528</v>
      </c>
      <c r="AX710" s="3" t="s">
        <v>8528</v>
      </c>
      <c r="AY710" s="3" t="s">
        <v>8529</v>
      </c>
      <c r="AZ710" s="3" t="s">
        <v>74</v>
      </c>
      <c r="BB710" s="3" t="s">
        <v>8530</v>
      </c>
      <c r="BC710" s="3" t="s">
        <v>8531</v>
      </c>
      <c r="BD710" s="3" t="s">
        <v>8532</v>
      </c>
    </row>
    <row r="711" spans="1:56" ht="57.75" customHeight="1" x14ac:dyDescent="0.25">
      <c r="A711" s="7" t="s">
        <v>59</v>
      </c>
      <c r="B711" s="2" t="s">
        <v>8533</v>
      </c>
      <c r="C711" s="2" t="s">
        <v>8534</v>
      </c>
      <c r="D711" s="2" t="s">
        <v>8535</v>
      </c>
      <c r="F711" s="3" t="s">
        <v>59</v>
      </c>
      <c r="G711" s="3" t="s">
        <v>6483</v>
      </c>
      <c r="H711" s="3" t="s">
        <v>59</v>
      </c>
      <c r="I711" s="3" t="s">
        <v>59</v>
      </c>
      <c r="J711" s="3" t="s">
        <v>61</v>
      </c>
      <c r="K711" s="2" t="s">
        <v>8536</v>
      </c>
      <c r="L711" s="2" t="s">
        <v>8537</v>
      </c>
      <c r="M711" s="3" t="s">
        <v>4302</v>
      </c>
      <c r="O711" s="3" t="s">
        <v>64</v>
      </c>
      <c r="P711" s="3" t="s">
        <v>1268</v>
      </c>
      <c r="Q711" s="2" t="s">
        <v>8538</v>
      </c>
      <c r="R711" s="3" t="s">
        <v>67</v>
      </c>
      <c r="S711" s="4">
        <v>4</v>
      </c>
      <c r="T711" s="4">
        <v>4</v>
      </c>
      <c r="U711" s="5" t="s">
        <v>8378</v>
      </c>
      <c r="V711" s="5" t="s">
        <v>8378</v>
      </c>
      <c r="W711" s="5" t="s">
        <v>6631</v>
      </c>
      <c r="X711" s="5" t="s">
        <v>6631</v>
      </c>
      <c r="Y711" s="4">
        <v>702</v>
      </c>
      <c r="Z711" s="4">
        <v>646</v>
      </c>
      <c r="AA711" s="4">
        <v>661</v>
      </c>
      <c r="AB711" s="4">
        <v>7</v>
      </c>
      <c r="AC711" s="4">
        <v>7</v>
      </c>
      <c r="AD711" s="4">
        <v>25</v>
      </c>
      <c r="AE711" s="4">
        <v>25</v>
      </c>
      <c r="AF711" s="4">
        <v>11</v>
      </c>
      <c r="AG711" s="4">
        <v>11</v>
      </c>
      <c r="AH711" s="4">
        <v>4</v>
      </c>
      <c r="AI711" s="4">
        <v>4</v>
      </c>
      <c r="AJ711" s="4">
        <v>7</v>
      </c>
      <c r="AK711" s="4">
        <v>7</v>
      </c>
      <c r="AL711" s="4">
        <v>7</v>
      </c>
      <c r="AM711" s="4">
        <v>7</v>
      </c>
      <c r="AN711" s="4">
        <v>0</v>
      </c>
      <c r="AO711" s="4">
        <v>0</v>
      </c>
      <c r="AP711" s="3" t="s">
        <v>69</v>
      </c>
      <c r="AQ711" s="3" t="s">
        <v>59</v>
      </c>
      <c r="AR711" s="6" t="str">
        <f>HYPERLINK("http://catalog.hathitrust.org/Record/001501088","HathiTrust Record")</f>
        <v>HathiTrust Record</v>
      </c>
      <c r="AS711" s="6" t="str">
        <f>HYPERLINK("https://creighton-primo.hosted.exlibrisgroup.com/primo-explore/search?tab=default_tab&amp;search_scope=EVERYTHING&amp;vid=01CRU&amp;lang=en_US&amp;offset=0&amp;query=any,contains,991002988099702656","Catalog Record")</f>
        <v>Catalog Record</v>
      </c>
      <c r="AT711" s="6" t="str">
        <f>HYPERLINK("http://www.worldcat.org/oclc/558672","WorldCat Record")</f>
        <v>WorldCat Record</v>
      </c>
      <c r="AU711" s="3" t="s">
        <v>8539</v>
      </c>
      <c r="AV711" s="3" t="s">
        <v>8540</v>
      </c>
      <c r="AW711" s="3" t="s">
        <v>8541</v>
      </c>
      <c r="AX711" s="3" t="s">
        <v>8541</v>
      </c>
      <c r="AY711" s="3" t="s">
        <v>8542</v>
      </c>
      <c r="AZ711" s="3" t="s">
        <v>74</v>
      </c>
      <c r="BC711" s="3" t="s">
        <v>8543</v>
      </c>
      <c r="BD711" s="3" t="s">
        <v>8544</v>
      </c>
    </row>
    <row r="712" spans="1:56" ht="57.75" customHeight="1" x14ac:dyDescent="0.25">
      <c r="A712" s="7" t="s">
        <v>59</v>
      </c>
      <c r="B712" s="2" t="s">
        <v>8545</v>
      </c>
      <c r="C712" s="2" t="s">
        <v>8546</v>
      </c>
      <c r="D712" s="2" t="s">
        <v>8547</v>
      </c>
      <c r="F712" s="3" t="s">
        <v>59</v>
      </c>
      <c r="G712" s="3" t="s">
        <v>60</v>
      </c>
      <c r="H712" s="3" t="s">
        <v>59</v>
      </c>
      <c r="I712" s="3" t="s">
        <v>59</v>
      </c>
      <c r="J712" s="3" t="s">
        <v>61</v>
      </c>
      <c r="K712" s="2" t="s">
        <v>8548</v>
      </c>
      <c r="L712" s="2" t="s">
        <v>8549</v>
      </c>
      <c r="M712" s="3" t="s">
        <v>670</v>
      </c>
      <c r="O712" s="3" t="s">
        <v>64</v>
      </c>
      <c r="P712" s="3" t="s">
        <v>467</v>
      </c>
      <c r="Q712" s="2" t="s">
        <v>8550</v>
      </c>
      <c r="R712" s="3" t="s">
        <v>67</v>
      </c>
      <c r="S712" s="4">
        <v>6</v>
      </c>
      <c r="T712" s="4">
        <v>6</v>
      </c>
      <c r="U712" s="5" t="s">
        <v>8551</v>
      </c>
      <c r="V712" s="5" t="s">
        <v>8551</v>
      </c>
      <c r="W712" s="5" t="s">
        <v>8489</v>
      </c>
      <c r="X712" s="5" t="s">
        <v>8489</v>
      </c>
      <c r="Y712" s="4">
        <v>1030</v>
      </c>
      <c r="Z712" s="4">
        <v>987</v>
      </c>
      <c r="AA712" s="4">
        <v>1105</v>
      </c>
      <c r="AB712" s="4">
        <v>9</v>
      </c>
      <c r="AC712" s="4">
        <v>10</v>
      </c>
      <c r="AD712" s="4">
        <v>13</v>
      </c>
      <c r="AE712" s="4">
        <v>14</v>
      </c>
      <c r="AF712" s="4">
        <v>4</v>
      </c>
      <c r="AG712" s="4">
        <v>5</v>
      </c>
      <c r="AH712" s="4">
        <v>3</v>
      </c>
      <c r="AI712" s="4">
        <v>3</v>
      </c>
      <c r="AJ712" s="4">
        <v>6</v>
      </c>
      <c r="AK712" s="4">
        <v>6</v>
      </c>
      <c r="AL712" s="4">
        <v>3</v>
      </c>
      <c r="AM712" s="4">
        <v>3</v>
      </c>
      <c r="AN712" s="4">
        <v>0</v>
      </c>
      <c r="AO712" s="4">
        <v>0</v>
      </c>
      <c r="AP712" s="3" t="s">
        <v>59</v>
      </c>
      <c r="AQ712" s="3" t="s">
        <v>59</v>
      </c>
      <c r="AS712" s="6" t="str">
        <f>HYPERLINK("https://creighton-primo.hosted.exlibrisgroup.com/primo-explore/search?tab=default_tab&amp;search_scope=EVERYTHING&amp;vid=01CRU&amp;lang=en_US&amp;offset=0&amp;query=any,contains,991001915129702656","Catalog Record")</f>
        <v>Catalog Record</v>
      </c>
      <c r="AT712" s="6" t="str">
        <f>HYPERLINK("http://www.worldcat.org/oclc/8785374","WorldCat Record")</f>
        <v>WorldCat Record</v>
      </c>
      <c r="AU712" s="3" t="s">
        <v>8552</v>
      </c>
      <c r="AV712" s="3" t="s">
        <v>8553</v>
      </c>
      <c r="AW712" s="3" t="s">
        <v>8554</v>
      </c>
      <c r="AX712" s="3" t="s">
        <v>8554</v>
      </c>
      <c r="AY712" s="3" t="s">
        <v>8555</v>
      </c>
      <c r="AZ712" s="3" t="s">
        <v>74</v>
      </c>
      <c r="BB712" s="3" t="s">
        <v>8556</v>
      </c>
      <c r="BC712" s="3" t="s">
        <v>8557</v>
      </c>
      <c r="BD712" s="3" t="s">
        <v>8558</v>
      </c>
    </row>
    <row r="713" spans="1:56" ht="57.75" customHeight="1" x14ac:dyDescent="0.25">
      <c r="A713" s="7" t="s">
        <v>59</v>
      </c>
      <c r="B713" s="2" t="s">
        <v>8559</v>
      </c>
      <c r="C713" s="2" t="s">
        <v>8560</v>
      </c>
      <c r="D713" s="2" t="s">
        <v>8561</v>
      </c>
      <c r="F713" s="3" t="s">
        <v>59</v>
      </c>
      <c r="G713" s="3" t="s">
        <v>60</v>
      </c>
      <c r="H713" s="3" t="s">
        <v>59</v>
      </c>
      <c r="I713" s="3" t="s">
        <v>59</v>
      </c>
      <c r="J713" s="3" t="s">
        <v>61</v>
      </c>
      <c r="K713" s="2" t="s">
        <v>8562</v>
      </c>
      <c r="L713" s="2" t="s">
        <v>8563</v>
      </c>
      <c r="M713" s="3" t="s">
        <v>670</v>
      </c>
      <c r="O713" s="3" t="s">
        <v>64</v>
      </c>
      <c r="P713" s="3" t="s">
        <v>8564</v>
      </c>
      <c r="Q713" s="2" t="s">
        <v>8565</v>
      </c>
      <c r="R713" s="3" t="s">
        <v>67</v>
      </c>
      <c r="S713" s="4">
        <v>3</v>
      </c>
      <c r="T713" s="4">
        <v>3</v>
      </c>
      <c r="U713" s="5" t="s">
        <v>8566</v>
      </c>
      <c r="V713" s="5" t="s">
        <v>8566</v>
      </c>
      <c r="W713" s="5" t="s">
        <v>498</v>
      </c>
      <c r="X713" s="5" t="s">
        <v>498</v>
      </c>
      <c r="Y713" s="4">
        <v>56</v>
      </c>
      <c r="Z713" s="4">
        <v>54</v>
      </c>
      <c r="AA713" s="4">
        <v>54</v>
      </c>
      <c r="AB713" s="4">
        <v>1</v>
      </c>
      <c r="AC713" s="4">
        <v>1</v>
      </c>
      <c r="AD713" s="4">
        <v>0</v>
      </c>
      <c r="AE713" s="4">
        <v>0</v>
      </c>
      <c r="AF713" s="4">
        <v>0</v>
      </c>
      <c r="AG713" s="4">
        <v>0</v>
      </c>
      <c r="AH713" s="4">
        <v>0</v>
      </c>
      <c r="AI713" s="4">
        <v>0</v>
      </c>
      <c r="AJ713" s="4">
        <v>0</v>
      </c>
      <c r="AK713" s="4">
        <v>0</v>
      </c>
      <c r="AL713" s="4">
        <v>0</v>
      </c>
      <c r="AM713" s="4">
        <v>0</v>
      </c>
      <c r="AN713" s="4">
        <v>0</v>
      </c>
      <c r="AO713" s="4">
        <v>0</v>
      </c>
      <c r="AP713" s="3" t="s">
        <v>59</v>
      </c>
      <c r="AQ713" s="3" t="s">
        <v>59</v>
      </c>
      <c r="AS713" s="6" t="str">
        <f>HYPERLINK("https://creighton-primo.hosted.exlibrisgroup.com/primo-explore/search?tab=default_tab&amp;search_scope=EVERYTHING&amp;vid=01CRU&amp;lang=en_US&amp;offset=0&amp;query=any,contains,991000159519702656","Catalog Record")</f>
        <v>Catalog Record</v>
      </c>
      <c r="AT713" s="6" t="str">
        <f>HYPERLINK("http://www.worldcat.org/oclc/13580466","WorldCat Record")</f>
        <v>WorldCat Record</v>
      </c>
      <c r="AU713" s="3" t="s">
        <v>8567</v>
      </c>
      <c r="AV713" s="3" t="s">
        <v>8568</v>
      </c>
      <c r="AW713" s="3" t="s">
        <v>8569</v>
      </c>
      <c r="AX713" s="3" t="s">
        <v>8569</v>
      </c>
      <c r="AY713" s="3" t="s">
        <v>8570</v>
      </c>
      <c r="AZ713" s="3" t="s">
        <v>74</v>
      </c>
      <c r="BB713" s="3" t="s">
        <v>8571</v>
      </c>
      <c r="BC713" s="3" t="s">
        <v>8572</v>
      </c>
      <c r="BD713" s="3" t="s">
        <v>8573</v>
      </c>
    </row>
    <row r="714" spans="1:56" ht="57.75" customHeight="1" x14ac:dyDescent="0.25">
      <c r="A714" s="7" t="s">
        <v>59</v>
      </c>
      <c r="B714" s="2" t="s">
        <v>8574</v>
      </c>
      <c r="C714" s="2" t="s">
        <v>8575</v>
      </c>
      <c r="D714" s="2" t="s">
        <v>8576</v>
      </c>
      <c r="F714" s="3" t="s">
        <v>59</v>
      </c>
      <c r="G714" s="3" t="s">
        <v>60</v>
      </c>
      <c r="H714" s="3" t="s">
        <v>59</v>
      </c>
      <c r="I714" s="3" t="s">
        <v>59</v>
      </c>
      <c r="J714" s="3" t="s">
        <v>61</v>
      </c>
      <c r="K714" s="2" t="s">
        <v>8577</v>
      </c>
      <c r="L714" s="2" t="s">
        <v>8578</v>
      </c>
      <c r="M714" s="3" t="s">
        <v>698</v>
      </c>
      <c r="O714" s="3" t="s">
        <v>64</v>
      </c>
      <c r="P714" s="3" t="s">
        <v>1239</v>
      </c>
      <c r="R714" s="3" t="s">
        <v>67</v>
      </c>
      <c r="S714" s="4">
        <v>3</v>
      </c>
      <c r="T714" s="4">
        <v>3</v>
      </c>
      <c r="U714" s="5" t="s">
        <v>5250</v>
      </c>
      <c r="V714" s="5" t="s">
        <v>5250</v>
      </c>
      <c r="W714" s="5" t="s">
        <v>498</v>
      </c>
      <c r="X714" s="5" t="s">
        <v>498</v>
      </c>
      <c r="Y714" s="4">
        <v>184</v>
      </c>
      <c r="Z714" s="4">
        <v>182</v>
      </c>
      <c r="AA714" s="4">
        <v>182</v>
      </c>
      <c r="AB714" s="4">
        <v>2</v>
      </c>
      <c r="AC714" s="4">
        <v>2</v>
      </c>
      <c r="AD714" s="4">
        <v>4</v>
      </c>
      <c r="AE714" s="4">
        <v>4</v>
      </c>
      <c r="AF714" s="4">
        <v>1</v>
      </c>
      <c r="AG714" s="4">
        <v>1</v>
      </c>
      <c r="AH714" s="4">
        <v>1</v>
      </c>
      <c r="AI714" s="4">
        <v>1</v>
      </c>
      <c r="AJ714" s="4">
        <v>1</v>
      </c>
      <c r="AK714" s="4">
        <v>1</v>
      </c>
      <c r="AL714" s="4">
        <v>1</v>
      </c>
      <c r="AM714" s="4">
        <v>1</v>
      </c>
      <c r="AN714" s="4">
        <v>0</v>
      </c>
      <c r="AO714" s="4">
        <v>0</v>
      </c>
      <c r="AP714" s="3" t="s">
        <v>59</v>
      </c>
      <c r="AQ714" s="3" t="s">
        <v>59</v>
      </c>
      <c r="AS714" s="6" t="str">
        <f>HYPERLINK("https://creighton-primo.hosted.exlibrisgroup.com/primo-explore/search?tab=default_tab&amp;search_scope=EVERYTHING&amp;vid=01CRU&amp;lang=en_US&amp;offset=0&amp;query=any,contains,991002986139702656","Catalog Record")</f>
        <v>Catalog Record</v>
      </c>
      <c r="AT714" s="6" t="str">
        <f>HYPERLINK("http://www.worldcat.org/oclc/557717","WorldCat Record")</f>
        <v>WorldCat Record</v>
      </c>
      <c r="AU714" s="3" t="s">
        <v>8579</v>
      </c>
      <c r="AV714" s="3" t="s">
        <v>8580</v>
      </c>
      <c r="AW714" s="3" t="s">
        <v>8581</v>
      </c>
      <c r="AX714" s="3" t="s">
        <v>8581</v>
      </c>
      <c r="AY714" s="3" t="s">
        <v>8582</v>
      </c>
      <c r="AZ714" s="3" t="s">
        <v>74</v>
      </c>
      <c r="BC714" s="3" t="s">
        <v>8583</v>
      </c>
      <c r="BD714" s="3" t="s">
        <v>8584</v>
      </c>
    </row>
    <row r="715" spans="1:56" ht="57.75" customHeight="1" x14ac:dyDescent="0.25">
      <c r="A715" s="7" t="s">
        <v>59</v>
      </c>
      <c r="B715" s="2" t="s">
        <v>8585</v>
      </c>
      <c r="C715" s="2" t="s">
        <v>8586</v>
      </c>
      <c r="D715" s="2" t="s">
        <v>8587</v>
      </c>
      <c r="F715" s="3" t="s">
        <v>59</v>
      </c>
      <c r="G715" s="3" t="s">
        <v>60</v>
      </c>
      <c r="H715" s="3" t="s">
        <v>59</v>
      </c>
      <c r="I715" s="3" t="s">
        <v>59</v>
      </c>
      <c r="J715" s="3" t="s">
        <v>61</v>
      </c>
      <c r="K715" s="2" t="s">
        <v>8588</v>
      </c>
      <c r="L715" s="2" t="s">
        <v>8589</v>
      </c>
      <c r="M715" s="3" t="s">
        <v>1595</v>
      </c>
      <c r="O715" s="3" t="s">
        <v>64</v>
      </c>
      <c r="P715" s="3" t="s">
        <v>821</v>
      </c>
      <c r="Q715" s="2" t="s">
        <v>8590</v>
      </c>
      <c r="R715" s="3" t="s">
        <v>67</v>
      </c>
      <c r="S715" s="4">
        <v>3</v>
      </c>
      <c r="T715" s="4">
        <v>3</v>
      </c>
      <c r="U715" s="5" t="s">
        <v>8591</v>
      </c>
      <c r="V715" s="5" t="s">
        <v>8591</v>
      </c>
      <c r="W715" s="5" t="s">
        <v>498</v>
      </c>
      <c r="X715" s="5" t="s">
        <v>498</v>
      </c>
      <c r="Y715" s="4">
        <v>156</v>
      </c>
      <c r="Z715" s="4">
        <v>142</v>
      </c>
      <c r="AA715" s="4">
        <v>156</v>
      </c>
      <c r="AB715" s="4">
        <v>1</v>
      </c>
      <c r="AC715" s="4">
        <v>1</v>
      </c>
      <c r="AD715" s="4">
        <v>5</v>
      </c>
      <c r="AE715" s="4">
        <v>5</v>
      </c>
      <c r="AF715" s="4">
        <v>1</v>
      </c>
      <c r="AG715" s="4">
        <v>1</v>
      </c>
      <c r="AH715" s="4">
        <v>3</v>
      </c>
      <c r="AI715" s="4">
        <v>3</v>
      </c>
      <c r="AJ715" s="4">
        <v>2</v>
      </c>
      <c r="AK715" s="4">
        <v>2</v>
      </c>
      <c r="AL715" s="4">
        <v>0</v>
      </c>
      <c r="AM715" s="4">
        <v>0</v>
      </c>
      <c r="AN715" s="4">
        <v>0</v>
      </c>
      <c r="AO715" s="4">
        <v>0</v>
      </c>
      <c r="AP715" s="3" t="s">
        <v>59</v>
      </c>
      <c r="AQ715" s="3" t="s">
        <v>59</v>
      </c>
      <c r="AS715" s="6" t="str">
        <f>HYPERLINK("https://creighton-primo.hosted.exlibrisgroup.com/primo-explore/search?tab=default_tab&amp;search_scope=EVERYTHING&amp;vid=01CRU&amp;lang=en_US&amp;offset=0&amp;query=any,contains,991003420399702656","Catalog Record")</f>
        <v>Catalog Record</v>
      </c>
      <c r="AT715" s="6" t="str">
        <f>HYPERLINK("http://www.worldcat.org/oclc/961212","WorldCat Record")</f>
        <v>WorldCat Record</v>
      </c>
      <c r="AU715" s="3" t="s">
        <v>8592</v>
      </c>
      <c r="AV715" s="3" t="s">
        <v>8593</v>
      </c>
      <c r="AW715" s="3" t="s">
        <v>8594</v>
      </c>
      <c r="AX715" s="3" t="s">
        <v>8594</v>
      </c>
      <c r="AY715" s="3" t="s">
        <v>8595</v>
      </c>
      <c r="AZ715" s="3" t="s">
        <v>74</v>
      </c>
      <c r="BC715" s="3" t="s">
        <v>8596</v>
      </c>
      <c r="BD715" s="3" t="s">
        <v>8597</v>
      </c>
    </row>
    <row r="716" spans="1:56" ht="57.75" customHeight="1" x14ac:dyDescent="0.25">
      <c r="A716" s="7" t="s">
        <v>59</v>
      </c>
      <c r="B716" s="2" t="s">
        <v>8598</v>
      </c>
      <c r="C716" s="2" t="s">
        <v>8599</v>
      </c>
      <c r="D716" s="2" t="s">
        <v>8600</v>
      </c>
      <c r="F716" s="3" t="s">
        <v>59</v>
      </c>
      <c r="G716" s="3" t="s">
        <v>60</v>
      </c>
      <c r="H716" s="3" t="s">
        <v>59</v>
      </c>
      <c r="I716" s="3" t="s">
        <v>59</v>
      </c>
      <c r="J716" s="3" t="s">
        <v>61</v>
      </c>
      <c r="K716" s="2" t="s">
        <v>8601</v>
      </c>
      <c r="L716" s="2" t="s">
        <v>8602</v>
      </c>
      <c r="M716" s="3" t="s">
        <v>670</v>
      </c>
      <c r="N716" s="2" t="s">
        <v>8603</v>
      </c>
      <c r="O716" s="3" t="s">
        <v>64</v>
      </c>
      <c r="P716" s="3" t="s">
        <v>2464</v>
      </c>
      <c r="Q716" s="2" t="s">
        <v>8604</v>
      </c>
      <c r="R716" s="3" t="s">
        <v>67</v>
      </c>
      <c r="S716" s="4">
        <v>7</v>
      </c>
      <c r="T716" s="4">
        <v>7</v>
      </c>
      <c r="U716" s="5" t="s">
        <v>7822</v>
      </c>
      <c r="V716" s="5" t="s">
        <v>7822</v>
      </c>
      <c r="W716" s="5" t="s">
        <v>498</v>
      </c>
      <c r="X716" s="5" t="s">
        <v>498</v>
      </c>
      <c r="Y716" s="4">
        <v>134</v>
      </c>
      <c r="Z716" s="4">
        <v>123</v>
      </c>
      <c r="AA716" s="4">
        <v>300</v>
      </c>
      <c r="AB716" s="4">
        <v>4</v>
      </c>
      <c r="AC716" s="4">
        <v>4</v>
      </c>
      <c r="AD716" s="4">
        <v>3</v>
      </c>
      <c r="AE716" s="4">
        <v>5</v>
      </c>
      <c r="AF716" s="4">
        <v>0</v>
      </c>
      <c r="AG716" s="4">
        <v>1</v>
      </c>
      <c r="AH716" s="4">
        <v>0</v>
      </c>
      <c r="AI716" s="4">
        <v>1</v>
      </c>
      <c r="AJ716" s="4">
        <v>0</v>
      </c>
      <c r="AK716" s="4">
        <v>0</v>
      </c>
      <c r="AL716" s="4">
        <v>3</v>
      </c>
      <c r="AM716" s="4">
        <v>3</v>
      </c>
      <c r="AN716" s="4">
        <v>0</v>
      </c>
      <c r="AO716" s="4">
        <v>0</v>
      </c>
      <c r="AP716" s="3" t="s">
        <v>59</v>
      </c>
      <c r="AQ716" s="3" t="s">
        <v>69</v>
      </c>
      <c r="AR716" s="6" t="str">
        <f>HYPERLINK("http://catalog.hathitrust.org/Record/000148977","HathiTrust Record")</f>
        <v>HathiTrust Record</v>
      </c>
      <c r="AS716" s="6" t="str">
        <f>HYPERLINK("https://creighton-primo.hosted.exlibrisgroup.com/primo-explore/search?tab=default_tab&amp;search_scope=EVERYTHING&amp;vid=01CRU&amp;lang=en_US&amp;offset=0&amp;query=any,contains,991000063129702656","Catalog Record")</f>
        <v>Catalog Record</v>
      </c>
      <c r="AT716" s="6" t="str">
        <f>HYPERLINK("http://www.worldcat.org/oclc/8751430","WorldCat Record")</f>
        <v>WorldCat Record</v>
      </c>
      <c r="AU716" s="3" t="s">
        <v>8605</v>
      </c>
      <c r="AV716" s="3" t="s">
        <v>8606</v>
      </c>
      <c r="AW716" s="3" t="s">
        <v>8607</v>
      </c>
      <c r="AX716" s="3" t="s">
        <v>8607</v>
      </c>
      <c r="AY716" s="3" t="s">
        <v>8608</v>
      </c>
      <c r="AZ716" s="3" t="s">
        <v>74</v>
      </c>
      <c r="BB716" s="3" t="s">
        <v>8609</v>
      </c>
      <c r="BC716" s="3" t="s">
        <v>8610</v>
      </c>
      <c r="BD716" s="3" t="s">
        <v>8611</v>
      </c>
    </row>
    <row r="717" spans="1:56" ht="57.75" customHeight="1" x14ac:dyDescent="0.25">
      <c r="A717" s="7" t="s">
        <v>59</v>
      </c>
      <c r="B717" s="2" t="s">
        <v>8612</v>
      </c>
      <c r="C717" s="2" t="s">
        <v>8613</v>
      </c>
      <c r="D717" s="2" t="s">
        <v>8614</v>
      </c>
      <c r="F717" s="3" t="s">
        <v>59</v>
      </c>
      <c r="G717" s="3" t="s">
        <v>60</v>
      </c>
      <c r="H717" s="3" t="s">
        <v>59</v>
      </c>
      <c r="I717" s="3" t="s">
        <v>59</v>
      </c>
      <c r="J717" s="3" t="s">
        <v>61</v>
      </c>
      <c r="K717" s="2" t="s">
        <v>8548</v>
      </c>
      <c r="L717" s="2" t="s">
        <v>8615</v>
      </c>
      <c r="M717" s="3" t="s">
        <v>1893</v>
      </c>
      <c r="O717" s="3" t="s">
        <v>64</v>
      </c>
      <c r="P717" s="3" t="s">
        <v>1239</v>
      </c>
      <c r="Q717" s="2" t="s">
        <v>8616</v>
      </c>
      <c r="R717" s="3" t="s">
        <v>67</v>
      </c>
      <c r="S717" s="4">
        <v>5</v>
      </c>
      <c r="T717" s="4">
        <v>5</v>
      </c>
      <c r="U717" s="5" t="s">
        <v>8617</v>
      </c>
      <c r="V717" s="5" t="s">
        <v>8617</v>
      </c>
      <c r="W717" s="5" t="s">
        <v>498</v>
      </c>
      <c r="X717" s="5" t="s">
        <v>498</v>
      </c>
      <c r="Y717" s="4">
        <v>115</v>
      </c>
      <c r="Z717" s="4">
        <v>100</v>
      </c>
      <c r="AA717" s="4">
        <v>195</v>
      </c>
      <c r="AB717" s="4">
        <v>1</v>
      </c>
      <c r="AC717" s="4">
        <v>4</v>
      </c>
      <c r="AD717" s="4">
        <v>2</v>
      </c>
      <c r="AE717" s="4">
        <v>6</v>
      </c>
      <c r="AF717" s="4">
        <v>1</v>
      </c>
      <c r="AG717" s="4">
        <v>1</v>
      </c>
      <c r="AH717" s="4">
        <v>1</v>
      </c>
      <c r="AI717" s="4">
        <v>2</v>
      </c>
      <c r="AJ717" s="4">
        <v>0</v>
      </c>
      <c r="AK717" s="4">
        <v>1</v>
      </c>
      <c r="AL717" s="4">
        <v>0</v>
      </c>
      <c r="AM717" s="4">
        <v>3</v>
      </c>
      <c r="AN717" s="4">
        <v>0</v>
      </c>
      <c r="AO717" s="4">
        <v>0</v>
      </c>
      <c r="AP717" s="3" t="s">
        <v>59</v>
      </c>
      <c r="AQ717" s="3" t="s">
        <v>59</v>
      </c>
      <c r="AS717" s="6" t="str">
        <f>HYPERLINK("https://creighton-primo.hosted.exlibrisgroup.com/primo-explore/search?tab=default_tab&amp;search_scope=EVERYTHING&amp;vid=01CRU&amp;lang=en_US&amp;offset=0&amp;query=any,contains,991003435689702656","Catalog Record")</f>
        <v>Catalog Record</v>
      </c>
      <c r="AT717" s="6" t="str">
        <f>HYPERLINK("http://www.worldcat.org/oclc/971197","WorldCat Record")</f>
        <v>WorldCat Record</v>
      </c>
      <c r="AU717" s="3" t="s">
        <v>8618</v>
      </c>
      <c r="AV717" s="3" t="s">
        <v>8619</v>
      </c>
      <c r="AW717" s="3" t="s">
        <v>8620</v>
      </c>
      <c r="AX717" s="3" t="s">
        <v>8620</v>
      </c>
      <c r="AY717" s="3" t="s">
        <v>8621</v>
      </c>
      <c r="AZ717" s="3" t="s">
        <v>74</v>
      </c>
      <c r="BC717" s="3" t="s">
        <v>8622</v>
      </c>
      <c r="BD717" s="3" t="s">
        <v>8623</v>
      </c>
    </row>
    <row r="718" spans="1:56" ht="57.75" customHeight="1" x14ac:dyDescent="0.25">
      <c r="A718" s="7" t="s">
        <v>59</v>
      </c>
      <c r="B718" s="2" t="s">
        <v>8624</v>
      </c>
      <c r="C718" s="2" t="s">
        <v>8625</v>
      </c>
      <c r="D718" s="2" t="s">
        <v>8626</v>
      </c>
      <c r="F718" s="3" t="s">
        <v>59</v>
      </c>
      <c r="G718" s="3" t="s">
        <v>60</v>
      </c>
      <c r="H718" s="3" t="s">
        <v>59</v>
      </c>
      <c r="I718" s="3" t="s">
        <v>59</v>
      </c>
      <c r="J718" s="3" t="s">
        <v>61</v>
      </c>
      <c r="K718" s="2" t="s">
        <v>8627</v>
      </c>
      <c r="L718" s="2" t="s">
        <v>8628</v>
      </c>
      <c r="M718" s="3" t="s">
        <v>8629</v>
      </c>
      <c r="O718" s="3" t="s">
        <v>64</v>
      </c>
      <c r="P718" s="3" t="s">
        <v>1198</v>
      </c>
      <c r="R718" s="3" t="s">
        <v>67</v>
      </c>
      <c r="S718" s="4">
        <v>7</v>
      </c>
      <c r="T718" s="4">
        <v>7</v>
      </c>
      <c r="U718" s="5" t="s">
        <v>8630</v>
      </c>
      <c r="V718" s="5" t="s">
        <v>8630</v>
      </c>
      <c r="W718" s="5" t="s">
        <v>498</v>
      </c>
      <c r="X718" s="5" t="s">
        <v>498</v>
      </c>
      <c r="Y718" s="4">
        <v>199</v>
      </c>
      <c r="Z718" s="4">
        <v>188</v>
      </c>
      <c r="AA718" s="4">
        <v>718</v>
      </c>
      <c r="AB718" s="4">
        <v>4</v>
      </c>
      <c r="AC718" s="4">
        <v>7</v>
      </c>
      <c r="AD718" s="4">
        <v>8</v>
      </c>
      <c r="AE718" s="4">
        <v>34</v>
      </c>
      <c r="AF718" s="4">
        <v>1</v>
      </c>
      <c r="AG718" s="4">
        <v>12</v>
      </c>
      <c r="AH718" s="4">
        <v>3</v>
      </c>
      <c r="AI718" s="4">
        <v>9</v>
      </c>
      <c r="AJ718" s="4">
        <v>2</v>
      </c>
      <c r="AK718" s="4">
        <v>13</v>
      </c>
      <c r="AL718" s="4">
        <v>3</v>
      </c>
      <c r="AM718" s="4">
        <v>6</v>
      </c>
      <c r="AN718" s="4">
        <v>0</v>
      </c>
      <c r="AO718" s="4">
        <v>1</v>
      </c>
      <c r="AP718" s="3" t="s">
        <v>59</v>
      </c>
      <c r="AQ718" s="3" t="s">
        <v>59</v>
      </c>
      <c r="AS718" s="6" t="str">
        <f>HYPERLINK("https://creighton-primo.hosted.exlibrisgroup.com/primo-explore/search?tab=default_tab&amp;search_scope=EVERYTHING&amp;vid=01CRU&amp;lang=en_US&amp;offset=0&amp;query=any,contains,991004311609702656","Catalog Record")</f>
        <v>Catalog Record</v>
      </c>
      <c r="AT718" s="6" t="str">
        <f>HYPERLINK("http://www.worldcat.org/oclc/2997146","WorldCat Record")</f>
        <v>WorldCat Record</v>
      </c>
      <c r="AU718" s="3" t="s">
        <v>8631</v>
      </c>
      <c r="AV718" s="3" t="s">
        <v>8632</v>
      </c>
      <c r="AW718" s="3" t="s">
        <v>8633</v>
      </c>
      <c r="AX718" s="3" t="s">
        <v>8633</v>
      </c>
      <c r="AY718" s="3" t="s">
        <v>8634</v>
      </c>
      <c r="AZ718" s="3" t="s">
        <v>74</v>
      </c>
      <c r="BC718" s="3" t="s">
        <v>8635</v>
      </c>
      <c r="BD718" s="3" t="s">
        <v>8636</v>
      </c>
    </row>
    <row r="719" spans="1:56" ht="57.75" customHeight="1" x14ac:dyDescent="0.25">
      <c r="A719" s="7" t="s">
        <v>59</v>
      </c>
      <c r="B719" s="2" t="s">
        <v>8637</v>
      </c>
      <c r="C719" s="2" t="s">
        <v>8638</v>
      </c>
      <c r="D719" s="2" t="s">
        <v>8639</v>
      </c>
      <c r="F719" s="3" t="s">
        <v>59</v>
      </c>
      <c r="G719" s="3" t="s">
        <v>60</v>
      </c>
      <c r="H719" s="3" t="s">
        <v>59</v>
      </c>
      <c r="I719" s="3" t="s">
        <v>59</v>
      </c>
      <c r="J719" s="3" t="s">
        <v>61</v>
      </c>
      <c r="K719" s="2" t="s">
        <v>8640</v>
      </c>
      <c r="L719" s="2" t="s">
        <v>8641</v>
      </c>
      <c r="M719" s="3" t="s">
        <v>313</v>
      </c>
      <c r="O719" s="3" t="s">
        <v>64</v>
      </c>
      <c r="P719" s="3" t="s">
        <v>467</v>
      </c>
      <c r="Q719" s="2" t="s">
        <v>8642</v>
      </c>
      <c r="R719" s="3" t="s">
        <v>67</v>
      </c>
      <c r="S719" s="4">
        <v>1</v>
      </c>
      <c r="T719" s="4">
        <v>1</v>
      </c>
      <c r="U719" s="5" t="s">
        <v>8643</v>
      </c>
      <c r="V719" s="5" t="s">
        <v>8643</v>
      </c>
      <c r="W719" s="5" t="s">
        <v>8643</v>
      </c>
      <c r="X719" s="5" t="s">
        <v>8643</v>
      </c>
      <c r="Y719" s="4">
        <v>310</v>
      </c>
      <c r="Z719" s="4">
        <v>296</v>
      </c>
      <c r="AA719" s="4">
        <v>305</v>
      </c>
      <c r="AB719" s="4">
        <v>3</v>
      </c>
      <c r="AC719" s="4">
        <v>3</v>
      </c>
      <c r="AD719" s="4">
        <v>13</v>
      </c>
      <c r="AE719" s="4">
        <v>13</v>
      </c>
      <c r="AF719" s="4">
        <v>7</v>
      </c>
      <c r="AG719" s="4">
        <v>7</v>
      </c>
      <c r="AH719" s="4">
        <v>3</v>
      </c>
      <c r="AI719" s="4">
        <v>3</v>
      </c>
      <c r="AJ719" s="4">
        <v>6</v>
      </c>
      <c r="AK719" s="4">
        <v>6</v>
      </c>
      <c r="AL719" s="4">
        <v>2</v>
      </c>
      <c r="AM719" s="4">
        <v>2</v>
      </c>
      <c r="AN719" s="4">
        <v>0</v>
      </c>
      <c r="AO719" s="4">
        <v>0</v>
      </c>
      <c r="AP719" s="3" t="s">
        <v>59</v>
      </c>
      <c r="AQ719" s="3" t="s">
        <v>69</v>
      </c>
      <c r="AR719" s="6" t="str">
        <f>HYPERLINK("http://catalog.hathitrust.org/Record/004185558","HathiTrust Record")</f>
        <v>HathiTrust Record</v>
      </c>
      <c r="AS719" s="6" t="str">
        <f>HYPERLINK("https://creighton-primo.hosted.exlibrisgroup.com/primo-explore/search?tab=default_tab&amp;search_scope=EVERYTHING&amp;vid=01CRU&amp;lang=en_US&amp;offset=0&amp;query=any,contains,991003859659702656","Catalog Record")</f>
        <v>Catalog Record</v>
      </c>
      <c r="AT719" s="6" t="str">
        <f>HYPERLINK("http://www.worldcat.org/oclc/45123228","WorldCat Record")</f>
        <v>WorldCat Record</v>
      </c>
      <c r="AU719" s="3" t="s">
        <v>8644</v>
      </c>
      <c r="AV719" s="3" t="s">
        <v>8645</v>
      </c>
      <c r="AW719" s="3" t="s">
        <v>8646</v>
      </c>
      <c r="AX719" s="3" t="s">
        <v>8646</v>
      </c>
      <c r="AY719" s="3" t="s">
        <v>8647</v>
      </c>
      <c r="AZ719" s="3" t="s">
        <v>74</v>
      </c>
      <c r="BB719" s="3" t="s">
        <v>8648</v>
      </c>
      <c r="BC719" s="3" t="s">
        <v>8649</v>
      </c>
      <c r="BD719" s="3" t="s">
        <v>8650</v>
      </c>
    </row>
    <row r="720" spans="1:56" ht="57.75" customHeight="1" x14ac:dyDescent="0.25">
      <c r="A720" s="7" t="s">
        <v>59</v>
      </c>
      <c r="B720" s="2" t="s">
        <v>8651</v>
      </c>
      <c r="C720" s="2" t="s">
        <v>8652</v>
      </c>
      <c r="D720" s="2" t="s">
        <v>8653</v>
      </c>
      <c r="F720" s="3" t="s">
        <v>59</v>
      </c>
      <c r="G720" s="3" t="s">
        <v>60</v>
      </c>
      <c r="H720" s="3" t="s">
        <v>59</v>
      </c>
      <c r="I720" s="3" t="s">
        <v>59</v>
      </c>
      <c r="J720" s="3" t="s">
        <v>61</v>
      </c>
      <c r="L720" s="2" t="s">
        <v>8654</v>
      </c>
      <c r="M720" s="3" t="s">
        <v>1757</v>
      </c>
      <c r="O720" s="3" t="s">
        <v>64</v>
      </c>
      <c r="P720" s="3" t="s">
        <v>4329</v>
      </c>
      <c r="Q720" s="2" t="s">
        <v>8655</v>
      </c>
      <c r="R720" s="3" t="s">
        <v>67</v>
      </c>
      <c r="S720" s="4">
        <v>6</v>
      </c>
      <c r="T720" s="4">
        <v>6</v>
      </c>
      <c r="U720" s="5" t="s">
        <v>5651</v>
      </c>
      <c r="V720" s="5" t="s">
        <v>5651</v>
      </c>
      <c r="W720" s="5" t="s">
        <v>8656</v>
      </c>
      <c r="X720" s="5" t="s">
        <v>8656</v>
      </c>
      <c r="Y720" s="4">
        <v>139</v>
      </c>
      <c r="Z720" s="4">
        <v>94</v>
      </c>
      <c r="AA720" s="4">
        <v>95</v>
      </c>
      <c r="AB720" s="4">
        <v>2</v>
      </c>
      <c r="AC720" s="4">
        <v>2</v>
      </c>
      <c r="AD720" s="4">
        <v>2</v>
      </c>
      <c r="AE720" s="4">
        <v>2</v>
      </c>
      <c r="AF720" s="4">
        <v>0</v>
      </c>
      <c r="AG720" s="4">
        <v>0</v>
      </c>
      <c r="AH720" s="4">
        <v>1</v>
      </c>
      <c r="AI720" s="4">
        <v>1</v>
      </c>
      <c r="AJ720" s="4">
        <v>0</v>
      </c>
      <c r="AK720" s="4">
        <v>0</v>
      </c>
      <c r="AL720" s="4">
        <v>1</v>
      </c>
      <c r="AM720" s="4">
        <v>1</v>
      </c>
      <c r="AN720" s="4">
        <v>0</v>
      </c>
      <c r="AO720" s="4">
        <v>0</v>
      </c>
      <c r="AP720" s="3" t="s">
        <v>59</v>
      </c>
      <c r="AQ720" s="3" t="s">
        <v>69</v>
      </c>
      <c r="AR720" s="6" t="str">
        <f>HYPERLINK("http://catalog.hathitrust.org/Record/003966537","HathiTrust Record")</f>
        <v>HathiTrust Record</v>
      </c>
      <c r="AS720" s="6" t="str">
        <f>HYPERLINK("https://creighton-primo.hosted.exlibrisgroup.com/primo-explore/search?tab=default_tab&amp;search_scope=EVERYTHING&amp;vid=01CRU&amp;lang=en_US&amp;offset=0&amp;query=any,contains,991002880759702656","Catalog Record")</f>
        <v>Catalog Record</v>
      </c>
      <c r="AT720" s="6" t="str">
        <f>HYPERLINK("http://www.worldcat.org/oclc/37968162","WorldCat Record")</f>
        <v>WorldCat Record</v>
      </c>
      <c r="AU720" s="3" t="s">
        <v>8657</v>
      </c>
      <c r="AV720" s="3" t="s">
        <v>8658</v>
      </c>
      <c r="AW720" s="3" t="s">
        <v>8659</v>
      </c>
      <c r="AX720" s="3" t="s">
        <v>8659</v>
      </c>
      <c r="AY720" s="3" t="s">
        <v>8660</v>
      </c>
      <c r="AZ720" s="3" t="s">
        <v>74</v>
      </c>
      <c r="BB720" s="3" t="s">
        <v>8661</v>
      </c>
      <c r="BC720" s="3" t="s">
        <v>8662</v>
      </c>
      <c r="BD720" s="3" t="s">
        <v>8663</v>
      </c>
    </row>
    <row r="721" spans="1:56" ht="57.75" customHeight="1" x14ac:dyDescent="0.25">
      <c r="A721" s="7" t="s">
        <v>59</v>
      </c>
      <c r="B721" s="2" t="s">
        <v>8664</v>
      </c>
      <c r="C721" s="2" t="s">
        <v>8665</v>
      </c>
      <c r="D721" s="2" t="s">
        <v>8666</v>
      </c>
      <c r="F721" s="3" t="s">
        <v>59</v>
      </c>
      <c r="G721" s="3" t="s">
        <v>60</v>
      </c>
      <c r="H721" s="3" t="s">
        <v>59</v>
      </c>
      <c r="I721" s="3" t="s">
        <v>59</v>
      </c>
      <c r="J721" s="3" t="s">
        <v>61</v>
      </c>
      <c r="K721" s="2" t="s">
        <v>8667</v>
      </c>
      <c r="L721" s="2" t="s">
        <v>8668</v>
      </c>
      <c r="M721" s="3" t="s">
        <v>239</v>
      </c>
      <c r="O721" s="3" t="s">
        <v>64</v>
      </c>
      <c r="P721" s="3" t="s">
        <v>467</v>
      </c>
      <c r="R721" s="3" t="s">
        <v>67</v>
      </c>
      <c r="S721" s="4">
        <v>0</v>
      </c>
      <c r="T721" s="4">
        <v>0</v>
      </c>
      <c r="U721" s="5" t="s">
        <v>8669</v>
      </c>
      <c r="V721" s="5" t="s">
        <v>8669</v>
      </c>
      <c r="W721" s="5" t="s">
        <v>8566</v>
      </c>
      <c r="X721" s="5" t="s">
        <v>8566</v>
      </c>
      <c r="Y721" s="4">
        <v>189</v>
      </c>
      <c r="Z721" s="4">
        <v>166</v>
      </c>
      <c r="AA721" s="4">
        <v>172</v>
      </c>
      <c r="AB721" s="4">
        <v>2</v>
      </c>
      <c r="AC721" s="4">
        <v>2</v>
      </c>
      <c r="AD721" s="4">
        <v>6</v>
      </c>
      <c r="AE721" s="4">
        <v>6</v>
      </c>
      <c r="AF721" s="4">
        <v>2</v>
      </c>
      <c r="AG721" s="4">
        <v>2</v>
      </c>
      <c r="AH721" s="4">
        <v>3</v>
      </c>
      <c r="AI721" s="4">
        <v>3</v>
      </c>
      <c r="AJ721" s="4">
        <v>1</v>
      </c>
      <c r="AK721" s="4">
        <v>1</v>
      </c>
      <c r="AL721" s="4">
        <v>1</v>
      </c>
      <c r="AM721" s="4">
        <v>1</v>
      </c>
      <c r="AN721" s="4">
        <v>0</v>
      </c>
      <c r="AO721" s="4">
        <v>0</v>
      </c>
      <c r="AP721" s="3" t="s">
        <v>59</v>
      </c>
      <c r="AQ721" s="3" t="s">
        <v>69</v>
      </c>
      <c r="AR721" s="6" t="str">
        <f>HYPERLINK("http://catalog.hathitrust.org/Record/003092673","HathiTrust Record")</f>
        <v>HathiTrust Record</v>
      </c>
      <c r="AS721" s="6" t="str">
        <f>HYPERLINK("https://creighton-primo.hosted.exlibrisgroup.com/primo-explore/search?tab=default_tab&amp;search_scope=EVERYTHING&amp;vid=01CRU&amp;lang=en_US&amp;offset=0&amp;query=any,contains,991002513139702656","Catalog Record")</f>
        <v>Catalog Record</v>
      </c>
      <c r="AT721" s="6" t="str">
        <f>HYPERLINK("http://www.worldcat.org/oclc/32666782","WorldCat Record")</f>
        <v>WorldCat Record</v>
      </c>
      <c r="AU721" s="3" t="s">
        <v>8670</v>
      </c>
      <c r="AV721" s="3" t="s">
        <v>8671</v>
      </c>
      <c r="AW721" s="3" t="s">
        <v>8672</v>
      </c>
      <c r="AX721" s="3" t="s">
        <v>8672</v>
      </c>
      <c r="AY721" s="3" t="s">
        <v>8673</v>
      </c>
      <c r="AZ721" s="3" t="s">
        <v>74</v>
      </c>
      <c r="BB721" s="3" t="s">
        <v>8674</v>
      </c>
      <c r="BC721" s="3" t="s">
        <v>8675</v>
      </c>
      <c r="BD721" s="3" t="s">
        <v>8676</v>
      </c>
    </row>
    <row r="722" spans="1:56" ht="57.75" customHeight="1" x14ac:dyDescent="0.25">
      <c r="A722" s="7" t="s">
        <v>59</v>
      </c>
      <c r="B722" s="2" t="s">
        <v>8677</v>
      </c>
      <c r="C722" s="2" t="s">
        <v>8678</v>
      </c>
      <c r="D722" s="2" t="s">
        <v>8679</v>
      </c>
      <c r="F722" s="3" t="s">
        <v>59</v>
      </c>
      <c r="G722" s="3" t="s">
        <v>60</v>
      </c>
      <c r="H722" s="3" t="s">
        <v>59</v>
      </c>
      <c r="I722" s="3" t="s">
        <v>59</v>
      </c>
      <c r="J722" s="3" t="s">
        <v>61</v>
      </c>
      <c r="K722" s="2" t="s">
        <v>8667</v>
      </c>
      <c r="L722" s="2" t="s">
        <v>8680</v>
      </c>
      <c r="M722" s="3" t="s">
        <v>684</v>
      </c>
      <c r="O722" s="3" t="s">
        <v>64</v>
      </c>
      <c r="P722" s="3" t="s">
        <v>467</v>
      </c>
      <c r="R722" s="3" t="s">
        <v>67</v>
      </c>
      <c r="S722" s="4">
        <v>3</v>
      </c>
      <c r="T722" s="4">
        <v>3</v>
      </c>
      <c r="U722" s="5" t="s">
        <v>1513</v>
      </c>
      <c r="V722" s="5" t="s">
        <v>1513</v>
      </c>
      <c r="W722" s="5" t="s">
        <v>8681</v>
      </c>
      <c r="X722" s="5" t="s">
        <v>8681</v>
      </c>
      <c r="Y722" s="4">
        <v>28</v>
      </c>
      <c r="Z722" s="4">
        <v>17</v>
      </c>
      <c r="AA722" s="4">
        <v>263</v>
      </c>
      <c r="AB722" s="4">
        <v>1</v>
      </c>
      <c r="AC722" s="4">
        <v>4</v>
      </c>
      <c r="AD722" s="4">
        <v>0</v>
      </c>
      <c r="AE722" s="4">
        <v>7</v>
      </c>
      <c r="AF722" s="4">
        <v>0</v>
      </c>
      <c r="AG722" s="4">
        <v>3</v>
      </c>
      <c r="AH722" s="4">
        <v>0</v>
      </c>
      <c r="AI722" s="4">
        <v>1</v>
      </c>
      <c r="AJ722" s="4">
        <v>0</v>
      </c>
      <c r="AK722" s="4">
        <v>3</v>
      </c>
      <c r="AL722" s="4">
        <v>0</v>
      </c>
      <c r="AM722" s="4">
        <v>2</v>
      </c>
      <c r="AN722" s="4">
        <v>0</v>
      </c>
      <c r="AO722" s="4">
        <v>0</v>
      </c>
      <c r="AP722" s="3" t="s">
        <v>59</v>
      </c>
      <c r="AQ722" s="3" t="s">
        <v>59</v>
      </c>
      <c r="AS722" s="6" t="str">
        <f>HYPERLINK("https://creighton-primo.hosted.exlibrisgroup.com/primo-explore/search?tab=default_tab&amp;search_scope=EVERYTHING&amp;vid=01CRU&amp;lang=en_US&amp;offset=0&amp;query=any,contains,991003629099702656","Catalog Record")</f>
        <v>Catalog Record</v>
      </c>
      <c r="AT722" s="6" t="str">
        <f>HYPERLINK("http://www.worldcat.org/oclc/47089183","WorldCat Record")</f>
        <v>WorldCat Record</v>
      </c>
      <c r="AU722" s="3" t="s">
        <v>8682</v>
      </c>
      <c r="AV722" s="3" t="s">
        <v>8683</v>
      </c>
      <c r="AW722" s="3" t="s">
        <v>8684</v>
      </c>
      <c r="AX722" s="3" t="s">
        <v>8684</v>
      </c>
      <c r="AY722" s="3" t="s">
        <v>8685</v>
      </c>
      <c r="AZ722" s="3" t="s">
        <v>74</v>
      </c>
      <c r="BB722" s="3" t="s">
        <v>8686</v>
      </c>
      <c r="BC722" s="3" t="s">
        <v>8687</v>
      </c>
      <c r="BD722" s="3" t="s">
        <v>8688</v>
      </c>
    </row>
    <row r="723" spans="1:56" ht="57.75" customHeight="1" x14ac:dyDescent="0.25">
      <c r="A723" s="7" t="s">
        <v>59</v>
      </c>
      <c r="B723" s="2" t="s">
        <v>8689</v>
      </c>
      <c r="C723" s="2" t="s">
        <v>8690</v>
      </c>
      <c r="D723" s="2" t="s">
        <v>8691</v>
      </c>
      <c r="F723" s="3" t="s">
        <v>59</v>
      </c>
      <c r="G723" s="3" t="s">
        <v>60</v>
      </c>
      <c r="H723" s="3" t="s">
        <v>59</v>
      </c>
      <c r="I723" s="3" t="s">
        <v>59</v>
      </c>
      <c r="J723" s="3" t="s">
        <v>61</v>
      </c>
      <c r="K723" s="2" t="s">
        <v>8692</v>
      </c>
      <c r="L723" s="2" t="s">
        <v>8693</v>
      </c>
      <c r="M723" s="3" t="s">
        <v>1701</v>
      </c>
      <c r="O723" s="3" t="s">
        <v>64</v>
      </c>
      <c r="P723" s="3" t="s">
        <v>2726</v>
      </c>
      <c r="Q723" s="2" t="s">
        <v>8694</v>
      </c>
      <c r="R723" s="3" t="s">
        <v>67</v>
      </c>
      <c r="S723" s="4">
        <v>4</v>
      </c>
      <c r="T723" s="4">
        <v>4</v>
      </c>
      <c r="U723" s="5" t="s">
        <v>8695</v>
      </c>
      <c r="V723" s="5" t="s">
        <v>8695</v>
      </c>
      <c r="W723" s="5" t="s">
        <v>498</v>
      </c>
      <c r="X723" s="5" t="s">
        <v>498</v>
      </c>
      <c r="Y723" s="4">
        <v>149</v>
      </c>
      <c r="Z723" s="4">
        <v>106</v>
      </c>
      <c r="AA723" s="4">
        <v>131</v>
      </c>
      <c r="AB723" s="4">
        <v>2</v>
      </c>
      <c r="AC723" s="4">
        <v>2</v>
      </c>
      <c r="AD723" s="4">
        <v>3</v>
      </c>
      <c r="AE723" s="4">
        <v>5</v>
      </c>
      <c r="AF723" s="4">
        <v>0</v>
      </c>
      <c r="AG723" s="4">
        <v>2</v>
      </c>
      <c r="AH723" s="4">
        <v>1</v>
      </c>
      <c r="AI723" s="4">
        <v>2</v>
      </c>
      <c r="AJ723" s="4">
        <v>1</v>
      </c>
      <c r="AK723" s="4">
        <v>2</v>
      </c>
      <c r="AL723" s="4">
        <v>1</v>
      </c>
      <c r="AM723" s="4">
        <v>1</v>
      </c>
      <c r="AN723" s="4">
        <v>0</v>
      </c>
      <c r="AO723" s="4">
        <v>0</v>
      </c>
      <c r="AP723" s="3" t="s">
        <v>59</v>
      </c>
      <c r="AQ723" s="3" t="s">
        <v>69</v>
      </c>
      <c r="AR723" s="6" t="str">
        <f>HYPERLINK("http://catalog.hathitrust.org/Record/003840129","HathiTrust Record")</f>
        <v>HathiTrust Record</v>
      </c>
      <c r="AS723" s="6" t="str">
        <f>HYPERLINK("https://creighton-primo.hosted.exlibrisgroup.com/primo-explore/search?tab=default_tab&amp;search_scope=EVERYTHING&amp;vid=01CRU&amp;lang=en_US&amp;offset=0&amp;query=any,contains,991004451209702656","Catalog Record")</f>
        <v>Catalog Record</v>
      </c>
      <c r="AT723" s="6" t="str">
        <f>HYPERLINK("http://www.worldcat.org/oclc/3514610","WorldCat Record")</f>
        <v>WorldCat Record</v>
      </c>
      <c r="AU723" s="3" t="s">
        <v>8696</v>
      </c>
      <c r="AV723" s="3" t="s">
        <v>8697</v>
      </c>
      <c r="AW723" s="3" t="s">
        <v>8698</v>
      </c>
      <c r="AX723" s="3" t="s">
        <v>8698</v>
      </c>
      <c r="AY723" s="3" t="s">
        <v>8699</v>
      </c>
      <c r="AZ723" s="3" t="s">
        <v>74</v>
      </c>
      <c r="BB723" s="3" t="s">
        <v>8700</v>
      </c>
      <c r="BC723" s="3" t="s">
        <v>8701</v>
      </c>
      <c r="BD723" s="3" t="s">
        <v>8702</v>
      </c>
    </row>
    <row r="724" spans="1:56" ht="57.75" customHeight="1" x14ac:dyDescent="0.25">
      <c r="A724" s="7" t="s">
        <v>59</v>
      </c>
      <c r="B724" s="2" t="s">
        <v>8703</v>
      </c>
      <c r="C724" s="2" t="s">
        <v>8704</v>
      </c>
      <c r="D724" s="2" t="s">
        <v>8705</v>
      </c>
      <c r="E724" s="3" t="s">
        <v>2287</v>
      </c>
      <c r="F724" s="3" t="s">
        <v>59</v>
      </c>
      <c r="G724" s="3" t="s">
        <v>60</v>
      </c>
      <c r="H724" s="3" t="s">
        <v>59</v>
      </c>
      <c r="I724" s="3" t="s">
        <v>59</v>
      </c>
      <c r="J724" s="3" t="s">
        <v>61</v>
      </c>
      <c r="K724" s="2" t="s">
        <v>8548</v>
      </c>
      <c r="L724" s="2" t="s">
        <v>8706</v>
      </c>
      <c r="M724" s="3" t="s">
        <v>776</v>
      </c>
      <c r="O724" s="3" t="s">
        <v>64</v>
      </c>
      <c r="P724" s="3" t="s">
        <v>8707</v>
      </c>
      <c r="Q724" s="2" t="s">
        <v>8708</v>
      </c>
      <c r="R724" s="3" t="s">
        <v>67</v>
      </c>
      <c r="S724" s="4">
        <v>4</v>
      </c>
      <c r="T724" s="4">
        <v>4</v>
      </c>
      <c r="U724" s="5" t="s">
        <v>8709</v>
      </c>
      <c r="V724" s="5" t="s">
        <v>8709</v>
      </c>
      <c r="W724" s="5" t="s">
        <v>498</v>
      </c>
      <c r="X724" s="5" t="s">
        <v>498</v>
      </c>
      <c r="Y724" s="4">
        <v>62</v>
      </c>
      <c r="Z724" s="4">
        <v>58</v>
      </c>
      <c r="AA724" s="4">
        <v>62</v>
      </c>
      <c r="AB724" s="4">
        <v>1</v>
      </c>
      <c r="AC724" s="4">
        <v>1</v>
      </c>
      <c r="AD724" s="4">
        <v>0</v>
      </c>
      <c r="AE724" s="4">
        <v>0</v>
      </c>
      <c r="AF724" s="4">
        <v>0</v>
      </c>
      <c r="AG724" s="4">
        <v>0</v>
      </c>
      <c r="AH724" s="4">
        <v>0</v>
      </c>
      <c r="AI724" s="4">
        <v>0</v>
      </c>
      <c r="AJ724" s="4">
        <v>0</v>
      </c>
      <c r="AK724" s="4">
        <v>0</v>
      </c>
      <c r="AL724" s="4">
        <v>0</v>
      </c>
      <c r="AM724" s="4">
        <v>0</v>
      </c>
      <c r="AN724" s="4">
        <v>0</v>
      </c>
      <c r="AO724" s="4">
        <v>0</v>
      </c>
      <c r="AP724" s="3" t="s">
        <v>59</v>
      </c>
      <c r="AQ724" s="3" t="s">
        <v>59</v>
      </c>
      <c r="AS724" s="6" t="str">
        <f>HYPERLINK("https://creighton-primo.hosted.exlibrisgroup.com/primo-explore/search?tab=default_tab&amp;search_scope=EVERYTHING&amp;vid=01CRU&amp;lang=en_US&amp;offset=0&amp;query=any,contains,991001927419702656","Catalog Record")</f>
        <v>Catalog Record</v>
      </c>
      <c r="AT724" s="6" t="str">
        <f>HYPERLINK("http://www.worldcat.org/oclc/247396","WorldCat Record")</f>
        <v>WorldCat Record</v>
      </c>
      <c r="AU724" s="3" t="s">
        <v>8710</v>
      </c>
      <c r="AV724" s="3" t="s">
        <v>8711</v>
      </c>
      <c r="AW724" s="3" t="s">
        <v>8712</v>
      </c>
      <c r="AX724" s="3" t="s">
        <v>8712</v>
      </c>
      <c r="AY724" s="3" t="s">
        <v>8713</v>
      </c>
      <c r="AZ724" s="3" t="s">
        <v>74</v>
      </c>
      <c r="BC724" s="3" t="s">
        <v>8714</v>
      </c>
      <c r="BD724" s="3" t="s">
        <v>8715</v>
      </c>
    </row>
    <row r="725" spans="1:56" ht="57.75" customHeight="1" x14ac:dyDescent="0.25">
      <c r="A725" s="7" t="s">
        <v>59</v>
      </c>
      <c r="B725" s="2" t="s">
        <v>8716</v>
      </c>
      <c r="C725" s="2" t="s">
        <v>8717</v>
      </c>
      <c r="D725" s="2" t="s">
        <v>8718</v>
      </c>
      <c r="E725" s="3" t="s">
        <v>2296</v>
      </c>
      <c r="F725" s="3" t="s">
        <v>59</v>
      </c>
      <c r="G725" s="3" t="s">
        <v>60</v>
      </c>
      <c r="H725" s="3" t="s">
        <v>59</v>
      </c>
      <c r="I725" s="3" t="s">
        <v>59</v>
      </c>
      <c r="J725" s="3" t="s">
        <v>61</v>
      </c>
      <c r="K725" s="2" t="s">
        <v>8548</v>
      </c>
      <c r="L725" s="2" t="s">
        <v>8719</v>
      </c>
      <c r="M725" s="3" t="s">
        <v>931</v>
      </c>
      <c r="O725" s="3" t="s">
        <v>64</v>
      </c>
      <c r="P725" s="3" t="s">
        <v>8707</v>
      </c>
      <c r="Q725" s="2" t="s">
        <v>8720</v>
      </c>
      <c r="R725" s="3" t="s">
        <v>67</v>
      </c>
      <c r="S725" s="4">
        <v>2</v>
      </c>
      <c r="T725" s="4">
        <v>2</v>
      </c>
      <c r="U725" s="5" t="s">
        <v>2061</v>
      </c>
      <c r="V725" s="5" t="s">
        <v>2061</v>
      </c>
      <c r="W725" s="5" t="s">
        <v>498</v>
      </c>
      <c r="X725" s="5" t="s">
        <v>498</v>
      </c>
      <c r="Y725" s="4">
        <v>64</v>
      </c>
      <c r="Z725" s="4">
        <v>60</v>
      </c>
      <c r="AA725" s="4">
        <v>60</v>
      </c>
      <c r="AB725" s="4">
        <v>2</v>
      </c>
      <c r="AC725" s="4">
        <v>2</v>
      </c>
      <c r="AD725" s="4">
        <v>1</v>
      </c>
      <c r="AE725" s="4">
        <v>1</v>
      </c>
      <c r="AF725" s="4">
        <v>0</v>
      </c>
      <c r="AG725" s="4">
        <v>0</v>
      </c>
      <c r="AH725" s="4">
        <v>0</v>
      </c>
      <c r="AI725" s="4">
        <v>0</v>
      </c>
      <c r="AJ725" s="4">
        <v>0</v>
      </c>
      <c r="AK725" s="4">
        <v>0</v>
      </c>
      <c r="AL725" s="4">
        <v>1</v>
      </c>
      <c r="AM725" s="4">
        <v>1</v>
      </c>
      <c r="AN725" s="4">
        <v>0</v>
      </c>
      <c r="AO725" s="4">
        <v>0</v>
      </c>
      <c r="AP725" s="3" t="s">
        <v>59</v>
      </c>
      <c r="AQ725" s="3" t="s">
        <v>59</v>
      </c>
      <c r="AS725" s="6" t="str">
        <f>HYPERLINK("https://creighton-primo.hosted.exlibrisgroup.com/primo-explore/search?tab=default_tab&amp;search_scope=EVERYTHING&amp;vid=01CRU&amp;lang=en_US&amp;offset=0&amp;query=any,contains,991003526119702656","Catalog Record")</f>
        <v>Catalog Record</v>
      </c>
      <c r="AT725" s="6" t="str">
        <f>HYPERLINK("http://www.worldcat.org/oclc/1089123","WorldCat Record")</f>
        <v>WorldCat Record</v>
      </c>
      <c r="AU725" s="3" t="s">
        <v>8721</v>
      </c>
      <c r="AV725" s="3" t="s">
        <v>8722</v>
      </c>
      <c r="AW725" s="3" t="s">
        <v>8723</v>
      </c>
      <c r="AX725" s="3" t="s">
        <v>8723</v>
      </c>
      <c r="AY725" s="3" t="s">
        <v>8724</v>
      </c>
      <c r="AZ725" s="3" t="s">
        <v>74</v>
      </c>
      <c r="BC725" s="3" t="s">
        <v>8725</v>
      </c>
      <c r="BD725" s="3" t="s">
        <v>8726</v>
      </c>
    </row>
    <row r="726" spans="1:56" ht="57.75" customHeight="1" x14ac:dyDescent="0.25">
      <c r="A726" s="7" t="s">
        <v>59</v>
      </c>
      <c r="B726" s="2" t="s">
        <v>8727</v>
      </c>
      <c r="C726" s="2" t="s">
        <v>8728</v>
      </c>
      <c r="D726" s="2" t="s">
        <v>8729</v>
      </c>
      <c r="E726" s="3" t="s">
        <v>2280</v>
      </c>
      <c r="F726" s="3" t="s">
        <v>59</v>
      </c>
      <c r="G726" s="3" t="s">
        <v>60</v>
      </c>
      <c r="H726" s="3" t="s">
        <v>59</v>
      </c>
      <c r="I726" s="3" t="s">
        <v>59</v>
      </c>
      <c r="J726" s="3" t="s">
        <v>61</v>
      </c>
      <c r="K726" s="2" t="s">
        <v>8548</v>
      </c>
      <c r="L726" s="2" t="s">
        <v>8730</v>
      </c>
      <c r="M726" s="3" t="s">
        <v>1701</v>
      </c>
      <c r="O726" s="3" t="s">
        <v>64</v>
      </c>
      <c r="P726" s="3" t="s">
        <v>8731</v>
      </c>
      <c r="Q726" s="2" t="s">
        <v>8732</v>
      </c>
      <c r="R726" s="3" t="s">
        <v>67</v>
      </c>
      <c r="S726" s="4">
        <v>1</v>
      </c>
      <c r="T726" s="4">
        <v>1</v>
      </c>
      <c r="U726" s="5" t="s">
        <v>2060</v>
      </c>
      <c r="V726" s="5" t="s">
        <v>2060</v>
      </c>
      <c r="W726" s="5" t="s">
        <v>498</v>
      </c>
      <c r="X726" s="5" t="s">
        <v>498</v>
      </c>
      <c r="Y726" s="4">
        <v>60</v>
      </c>
      <c r="Z726" s="4">
        <v>56</v>
      </c>
      <c r="AA726" s="4">
        <v>56</v>
      </c>
      <c r="AB726" s="4">
        <v>3</v>
      </c>
      <c r="AC726" s="4">
        <v>3</v>
      </c>
      <c r="AD726" s="4">
        <v>2</v>
      </c>
      <c r="AE726" s="4">
        <v>2</v>
      </c>
      <c r="AF726" s="4">
        <v>0</v>
      </c>
      <c r="AG726" s="4">
        <v>0</v>
      </c>
      <c r="AH726" s="4">
        <v>0</v>
      </c>
      <c r="AI726" s="4">
        <v>0</v>
      </c>
      <c r="AJ726" s="4">
        <v>0</v>
      </c>
      <c r="AK726" s="4">
        <v>0</v>
      </c>
      <c r="AL726" s="4">
        <v>2</v>
      </c>
      <c r="AM726" s="4">
        <v>2</v>
      </c>
      <c r="AN726" s="4">
        <v>0</v>
      </c>
      <c r="AO726" s="4">
        <v>0</v>
      </c>
      <c r="AP726" s="3" t="s">
        <v>59</v>
      </c>
      <c r="AQ726" s="3" t="s">
        <v>59</v>
      </c>
      <c r="AS726" s="6" t="str">
        <f>HYPERLINK("https://creighton-primo.hosted.exlibrisgroup.com/primo-explore/search?tab=default_tab&amp;search_scope=EVERYTHING&amp;vid=01CRU&amp;lang=en_US&amp;offset=0&amp;query=any,contains,991004490279702656","Catalog Record")</f>
        <v>Catalog Record</v>
      </c>
      <c r="AT726" s="6" t="str">
        <f>HYPERLINK("http://www.worldcat.org/oclc/3657458","WorldCat Record")</f>
        <v>WorldCat Record</v>
      </c>
      <c r="AU726" s="3" t="s">
        <v>8733</v>
      </c>
      <c r="AV726" s="3" t="s">
        <v>8734</v>
      </c>
      <c r="AW726" s="3" t="s">
        <v>8735</v>
      </c>
      <c r="AX726" s="3" t="s">
        <v>8735</v>
      </c>
      <c r="AY726" s="3" t="s">
        <v>8736</v>
      </c>
      <c r="AZ726" s="3" t="s">
        <v>74</v>
      </c>
      <c r="BC726" s="3" t="s">
        <v>8737</v>
      </c>
      <c r="BD726" s="3" t="s">
        <v>8738</v>
      </c>
    </row>
    <row r="727" spans="1:56" ht="57.75" customHeight="1" x14ac:dyDescent="0.25">
      <c r="A727" s="7" t="s">
        <v>59</v>
      </c>
      <c r="B727" s="2" t="s">
        <v>8739</v>
      </c>
      <c r="C727" s="2" t="s">
        <v>8740</v>
      </c>
      <c r="D727" s="2" t="s">
        <v>8741</v>
      </c>
      <c r="E727" s="3" t="s">
        <v>8742</v>
      </c>
      <c r="F727" s="3" t="s">
        <v>59</v>
      </c>
      <c r="G727" s="3" t="s">
        <v>60</v>
      </c>
      <c r="H727" s="3" t="s">
        <v>59</v>
      </c>
      <c r="I727" s="3" t="s">
        <v>59</v>
      </c>
      <c r="J727" s="3" t="s">
        <v>61</v>
      </c>
      <c r="K727" s="2" t="s">
        <v>8548</v>
      </c>
      <c r="L727" s="2" t="s">
        <v>8743</v>
      </c>
      <c r="M727" s="3" t="s">
        <v>835</v>
      </c>
      <c r="O727" s="3" t="s">
        <v>64</v>
      </c>
      <c r="P727" s="3" t="s">
        <v>8731</v>
      </c>
      <c r="Q727" s="2" t="s">
        <v>8744</v>
      </c>
      <c r="R727" s="3" t="s">
        <v>67</v>
      </c>
      <c r="S727" s="4">
        <v>0</v>
      </c>
      <c r="T727" s="4">
        <v>0</v>
      </c>
      <c r="U727" s="5" t="s">
        <v>8745</v>
      </c>
      <c r="V727" s="5" t="s">
        <v>8745</v>
      </c>
      <c r="W727" s="5" t="s">
        <v>498</v>
      </c>
      <c r="X727" s="5" t="s">
        <v>498</v>
      </c>
      <c r="Y727" s="4">
        <v>54</v>
      </c>
      <c r="Z727" s="4">
        <v>49</v>
      </c>
      <c r="AA727" s="4">
        <v>49</v>
      </c>
      <c r="AB727" s="4">
        <v>2</v>
      </c>
      <c r="AC727" s="4">
        <v>2</v>
      </c>
      <c r="AD727" s="4">
        <v>2</v>
      </c>
      <c r="AE727" s="4">
        <v>2</v>
      </c>
      <c r="AF727" s="4">
        <v>1</v>
      </c>
      <c r="AG727" s="4">
        <v>1</v>
      </c>
      <c r="AH727" s="4">
        <v>0</v>
      </c>
      <c r="AI727" s="4">
        <v>0</v>
      </c>
      <c r="AJ727" s="4">
        <v>0</v>
      </c>
      <c r="AK727" s="4">
        <v>0</v>
      </c>
      <c r="AL727" s="4">
        <v>1</v>
      </c>
      <c r="AM727" s="4">
        <v>1</v>
      </c>
      <c r="AN727" s="4">
        <v>0</v>
      </c>
      <c r="AO727" s="4">
        <v>0</v>
      </c>
      <c r="AP727" s="3" t="s">
        <v>59</v>
      </c>
      <c r="AQ727" s="3" t="s">
        <v>59</v>
      </c>
      <c r="AS727" s="6" t="str">
        <f>HYPERLINK("https://creighton-primo.hosted.exlibrisgroup.com/primo-explore/search?tab=default_tab&amp;search_scope=EVERYTHING&amp;vid=01CRU&amp;lang=en_US&amp;offset=0&amp;query=any,contains,991004954419702656","Catalog Record")</f>
        <v>Catalog Record</v>
      </c>
      <c r="AT727" s="6" t="str">
        <f>HYPERLINK("http://www.worldcat.org/oclc/6275366","WorldCat Record")</f>
        <v>WorldCat Record</v>
      </c>
      <c r="AU727" s="3" t="s">
        <v>8746</v>
      </c>
      <c r="AV727" s="3" t="s">
        <v>8747</v>
      </c>
      <c r="AW727" s="3" t="s">
        <v>8748</v>
      </c>
      <c r="AX727" s="3" t="s">
        <v>8748</v>
      </c>
      <c r="AY727" s="3" t="s">
        <v>8749</v>
      </c>
      <c r="AZ727" s="3" t="s">
        <v>74</v>
      </c>
      <c r="BB727" s="3" t="s">
        <v>8750</v>
      </c>
      <c r="BC727" s="3" t="s">
        <v>8751</v>
      </c>
      <c r="BD727" s="3" t="s">
        <v>8752</v>
      </c>
    </row>
    <row r="728" spans="1:56" ht="57.75" customHeight="1" x14ac:dyDescent="0.25">
      <c r="A728" s="7" t="s">
        <v>59</v>
      </c>
      <c r="B728" s="2" t="s">
        <v>8753</v>
      </c>
      <c r="C728" s="2" t="s">
        <v>8754</v>
      </c>
      <c r="D728" s="2" t="s">
        <v>8755</v>
      </c>
      <c r="F728" s="3" t="s">
        <v>59</v>
      </c>
      <c r="G728" s="3" t="s">
        <v>60</v>
      </c>
      <c r="H728" s="3" t="s">
        <v>59</v>
      </c>
      <c r="I728" s="3" t="s">
        <v>59</v>
      </c>
      <c r="J728" s="3" t="s">
        <v>61</v>
      </c>
      <c r="L728" s="2" t="s">
        <v>8756</v>
      </c>
      <c r="M728" s="3" t="s">
        <v>239</v>
      </c>
      <c r="O728" s="3" t="s">
        <v>64</v>
      </c>
      <c r="P728" s="3" t="s">
        <v>467</v>
      </c>
      <c r="Q728" s="2" t="s">
        <v>8757</v>
      </c>
      <c r="R728" s="3" t="s">
        <v>67</v>
      </c>
      <c r="S728" s="4">
        <v>4</v>
      </c>
      <c r="T728" s="4">
        <v>4</v>
      </c>
      <c r="U728" s="5" t="s">
        <v>1513</v>
      </c>
      <c r="V728" s="5" t="s">
        <v>1513</v>
      </c>
      <c r="W728" s="5" t="s">
        <v>8758</v>
      </c>
      <c r="X728" s="5" t="s">
        <v>8758</v>
      </c>
      <c r="Y728" s="4">
        <v>65</v>
      </c>
      <c r="Z728" s="4">
        <v>49</v>
      </c>
      <c r="AA728" s="4">
        <v>49</v>
      </c>
      <c r="AB728" s="4">
        <v>1</v>
      </c>
      <c r="AC728" s="4">
        <v>1</v>
      </c>
      <c r="AD728" s="4">
        <v>1</v>
      </c>
      <c r="AE728" s="4">
        <v>1</v>
      </c>
      <c r="AF728" s="4">
        <v>1</v>
      </c>
      <c r="AG728" s="4">
        <v>1</v>
      </c>
      <c r="AH728" s="4">
        <v>0</v>
      </c>
      <c r="AI728" s="4">
        <v>0</v>
      </c>
      <c r="AJ728" s="4">
        <v>1</v>
      </c>
      <c r="AK728" s="4">
        <v>1</v>
      </c>
      <c r="AL728" s="4">
        <v>0</v>
      </c>
      <c r="AM728" s="4">
        <v>0</v>
      </c>
      <c r="AN728" s="4">
        <v>0</v>
      </c>
      <c r="AO728" s="4">
        <v>0</v>
      </c>
      <c r="AP728" s="3" t="s">
        <v>59</v>
      </c>
      <c r="AQ728" s="3" t="s">
        <v>59</v>
      </c>
      <c r="AS728" s="6" t="str">
        <f>HYPERLINK("https://creighton-primo.hosted.exlibrisgroup.com/primo-explore/search?tab=default_tab&amp;search_scope=EVERYTHING&amp;vid=01CRU&amp;lang=en_US&amp;offset=0&amp;query=any,contains,991002682509702656","Catalog Record")</f>
        <v>Catalog Record</v>
      </c>
      <c r="AT728" s="6" t="str">
        <f>HYPERLINK("http://www.worldcat.org/oclc/35049452","WorldCat Record")</f>
        <v>WorldCat Record</v>
      </c>
      <c r="AU728" s="3" t="s">
        <v>8759</v>
      </c>
      <c r="AV728" s="3" t="s">
        <v>8760</v>
      </c>
      <c r="AW728" s="3" t="s">
        <v>8761</v>
      </c>
      <c r="AX728" s="3" t="s">
        <v>8761</v>
      </c>
      <c r="AY728" s="3" t="s">
        <v>8762</v>
      </c>
      <c r="AZ728" s="3" t="s">
        <v>74</v>
      </c>
      <c r="BB728" s="3" t="s">
        <v>8763</v>
      </c>
      <c r="BC728" s="3" t="s">
        <v>8764</v>
      </c>
      <c r="BD728" s="3" t="s">
        <v>8765</v>
      </c>
    </row>
    <row r="729" spans="1:56" ht="57.75" customHeight="1" x14ac:dyDescent="0.25">
      <c r="A729" s="7" t="s">
        <v>59</v>
      </c>
      <c r="B729" s="2" t="s">
        <v>8766</v>
      </c>
      <c r="C729" s="2" t="s">
        <v>8767</v>
      </c>
      <c r="D729" s="2" t="s">
        <v>8768</v>
      </c>
      <c r="F729" s="3" t="s">
        <v>59</v>
      </c>
      <c r="G729" s="3" t="s">
        <v>60</v>
      </c>
      <c r="H729" s="3" t="s">
        <v>59</v>
      </c>
      <c r="I729" s="3" t="s">
        <v>59</v>
      </c>
      <c r="J729" s="3" t="s">
        <v>61</v>
      </c>
      <c r="K729" s="2" t="s">
        <v>8769</v>
      </c>
      <c r="L729" s="2" t="s">
        <v>8770</v>
      </c>
      <c r="M729" s="3" t="s">
        <v>1757</v>
      </c>
      <c r="O729" s="3" t="s">
        <v>64</v>
      </c>
      <c r="P729" s="3" t="s">
        <v>2362</v>
      </c>
      <c r="R729" s="3" t="s">
        <v>67</v>
      </c>
      <c r="S729" s="4">
        <v>3</v>
      </c>
      <c r="T729" s="4">
        <v>3</v>
      </c>
      <c r="U729" s="5" t="s">
        <v>8771</v>
      </c>
      <c r="V729" s="5" t="s">
        <v>8771</v>
      </c>
      <c r="W729" s="5" t="s">
        <v>8772</v>
      </c>
      <c r="X729" s="5" t="s">
        <v>8772</v>
      </c>
      <c r="Y729" s="4">
        <v>132</v>
      </c>
      <c r="Z729" s="4">
        <v>105</v>
      </c>
      <c r="AA729" s="4">
        <v>105</v>
      </c>
      <c r="AB729" s="4">
        <v>2</v>
      </c>
      <c r="AC729" s="4">
        <v>2</v>
      </c>
      <c r="AD729" s="4">
        <v>5</v>
      </c>
      <c r="AE729" s="4">
        <v>5</v>
      </c>
      <c r="AF729" s="4">
        <v>0</v>
      </c>
      <c r="AG729" s="4">
        <v>0</v>
      </c>
      <c r="AH729" s="4">
        <v>1</v>
      </c>
      <c r="AI729" s="4">
        <v>1</v>
      </c>
      <c r="AJ729" s="4">
        <v>3</v>
      </c>
      <c r="AK729" s="4">
        <v>3</v>
      </c>
      <c r="AL729" s="4">
        <v>1</v>
      </c>
      <c r="AM729" s="4">
        <v>1</v>
      </c>
      <c r="AN729" s="4">
        <v>0</v>
      </c>
      <c r="AO729" s="4">
        <v>0</v>
      </c>
      <c r="AP729" s="3" t="s">
        <v>59</v>
      </c>
      <c r="AQ729" s="3" t="s">
        <v>59</v>
      </c>
      <c r="AS729" s="6" t="str">
        <f>HYPERLINK("https://creighton-primo.hosted.exlibrisgroup.com/primo-explore/search?tab=default_tab&amp;search_scope=EVERYTHING&amp;vid=01CRU&amp;lang=en_US&amp;offset=0&amp;query=any,contains,991003797799702656","Catalog Record")</f>
        <v>Catalog Record</v>
      </c>
      <c r="AT729" s="6" t="str">
        <f>HYPERLINK("http://www.worldcat.org/oclc/32923165","WorldCat Record")</f>
        <v>WorldCat Record</v>
      </c>
      <c r="AU729" s="3" t="s">
        <v>8773</v>
      </c>
      <c r="AV729" s="3" t="s">
        <v>8774</v>
      </c>
      <c r="AW729" s="3" t="s">
        <v>8775</v>
      </c>
      <c r="AX729" s="3" t="s">
        <v>8775</v>
      </c>
      <c r="AY729" s="3" t="s">
        <v>8776</v>
      </c>
      <c r="AZ729" s="3" t="s">
        <v>74</v>
      </c>
      <c r="BB729" s="3" t="s">
        <v>8777</v>
      </c>
      <c r="BC729" s="3" t="s">
        <v>8778</v>
      </c>
      <c r="BD729" s="3" t="s">
        <v>8779</v>
      </c>
    </row>
    <row r="730" spans="1:56" ht="57.75" customHeight="1" x14ac:dyDescent="0.25">
      <c r="A730" s="7" t="s">
        <v>59</v>
      </c>
      <c r="B730" s="2" t="s">
        <v>8780</v>
      </c>
      <c r="C730" s="2" t="s">
        <v>8781</v>
      </c>
      <c r="D730" s="2" t="s">
        <v>8782</v>
      </c>
      <c r="F730" s="3" t="s">
        <v>59</v>
      </c>
      <c r="G730" s="3" t="s">
        <v>60</v>
      </c>
      <c r="H730" s="3" t="s">
        <v>59</v>
      </c>
      <c r="I730" s="3" t="s">
        <v>59</v>
      </c>
      <c r="J730" s="3" t="s">
        <v>61</v>
      </c>
      <c r="K730" s="2" t="s">
        <v>8783</v>
      </c>
      <c r="L730" s="2" t="s">
        <v>8784</v>
      </c>
      <c r="M730" s="3" t="s">
        <v>93</v>
      </c>
      <c r="N730" s="2" t="s">
        <v>8785</v>
      </c>
      <c r="O730" s="3" t="s">
        <v>64</v>
      </c>
      <c r="P730" s="3" t="s">
        <v>541</v>
      </c>
      <c r="R730" s="3" t="s">
        <v>67</v>
      </c>
      <c r="S730" s="4">
        <v>1</v>
      </c>
      <c r="T730" s="4">
        <v>1</v>
      </c>
      <c r="U730" s="5" t="s">
        <v>8786</v>
      </c>
      <c r="V730" s="5" t="s">
        <v>8786</v>
      </c>
      <c r="W730" s="5" t="s">
        <v>8786</v>
      </c>
      <c r="X730" s="5" t="s">
        <v>8786</v>
      </c>
      <c r="Y730" s="4">
        <v>81</v>
      </c>
      <c r="Z730" s="4">
        <v>72</v>
      </c>
      <c r="AA730" s="4">
        <v>76</v>
      </c>
      <c r="AB730" s="4">
        <v>2</v>
      </c>
      <c r="AC730" s="4">
        <v>2</v>
      </c>
      <c r="AD730" s="4">
        <v>4</v>
      </c>
      <c r="AE730" s="4">
        <v>4</v>
      </c>
      <c r="AF730" s="4">
        <v>2</v>
      </c>
      <c r="AG730" s="4">
        <v>2</v>
      </c>
      <c r="AH730" s="4">
        <v>1</v>
      </c>
      <c r="AI730" s="4">
        <v>1</v>
      </c>
      <c r="AJ730" s="4">
        <v>1</v>
      </c>
      <c r="AK730" s="4">
        <v>1</v>
      </c>
      <c r="AL730" s="4">
        <v>1</v>
      </c>
      <c r="AM730" s="4">
        <v>1</v>
      </c>
      <c r="AN730" s="4">
        <v>0</v>
      </c>
      <c r="AO730" s="4">
        <v>0</v>
      </c>
      <c r="AP730" s="3" t="s">
        <v>59</v>
      </c>
      <c r="AQ730" s="3" t="s">
        <v>59</v>
      </c>
      <c r="AS730" s="6" t="str">
        <f>HYPERLINK("https://creighton-primo.hosted.exlibrisgroup.com/primo-explore/search?tab=default_tab&amp;search_scope=EVERYTHING&amp;vid=01CRU&amp;lang=en_US&amp;offset=0&amp;query=any,contains,991004474739702656","Catalog Record")</f>
        <v>Catalog Record</v>
      </c>
      <c r="AT730" s="6" t="str">
        <f>HYPERLINK("http://www.worldcat.org/oclc/52843681","WorldCat Record")</f>
        <v>WorldCat Record</v>
      </c>
      <c r="AU730" s="3" t="s">
        <v>8787</v>
      </c>
      <c r="AV730" s="3" t="s">
        <v>8788</v>
      </c>
      <c r="AW730" s="3" t="s">
        <v>8789</v>
      </c>
      <c r="AX730" s="3" t="s">
        <v>8789</v>
      </c>
      <c r="AY730" s="3" t="s">
        <v>8790</v>
      </c>
      <c r="AZ730" s="3" t="s">
        <v>74</v>
      </c>
      <c r="BB730" s="3" t="s">
        <v>8791</v>
      </c>
      <c r="BC730" s="3" t="s">
        <v>8792</v>
      </c>
      <c r="BD730" s="3" t="s">
        <v>8793</v>
      </c>
    </row>
    <row r="731" spans="1:56" ht="57.75" customHeight="1" x14ac:dyDescent="0.25">
      <c r="A731" s="7" t="s">
        <v>59</v>
      </c>
      <c r="B731" s="2" t="s">
        <v>8794</v>
      </c>
      <c r="C731" s="2" t="s">
        <v>8795</v>
      </c>
      <c r="D731" s="2" t="s">
        <v>8796</v>
      </c>
      <c r="F731" s="3" t="s">
        <v>59</v>
      </c>
      <c r="G731" s="3" t="s">
        <v>60</v>
      </c>
      <c r="H731" s="3" t="s">
        <v>59</v>
      </c>
      <c r="I731" s="3" t="s">
        <v>59</v>
      </c>
      <c r="J731" s="3" t="s">
        <v>61</v>
      </c>
      <c r="K731" s="2" t="s">
        <v>8797</v>
      </c>
      <c r="L731" s="2" t="s">
        <v>8798</v>
      </c>
      <c r="M731" s="3" t="s">
        <v>684</v>
      </c>
      <c r="O731" s="3" t="s">
        <v>64</v>
      </c>
      <c r="P731" s="3" t="s">
        <v>405</v>
      </c>
      <c r="R731" s="3" t="s">
        <v>67</v>
      </c>
      <c r="S731" s="4">
        <v>1</v>
      </c>
      <c r="T731" s="4">
        <v>1</v>
      </c>
      <c r="U731" s="5" t="s">
        <v>8799</v>
      </c>
      <c r="V731" s="5" t="s">
        <v>8799</v>
      </c>
      <c r="W731" s="5" t="s">
        <v>8799</v>
      </c>
      <c r="X731" s="5" t="s">
        <v>8799</v>
      </c>
      <c r="Y731" s="4">
        <v>258</v>
      </c>
      <c r="Z731" s="4">
        <v>220</v>
      </c>
      <c r="AA731" s="4">
        <v>222</v>
      </c>
      <c r="AB731" s="4">
        <v>2</v>
      </c>
      <c r="AC731" s="4">
        <v>2</v>
      </c>
      <c r="AD731" s="4">
        <v>8</v>
      </c>
      <c r="AE731" s="4">
        <v>8</v>
      </c>
      <c r="AF731" s="4">
        <v>4</v>
      </c>
      <c r="AG731" s="4">
        <v>4</v>
      </c>
      <c r="AH731" s="4">
        <v>2</v>
      </c>
      <c r="AI731" s="4">
        <v>2</v>
      </c>
      <c r="AJ731" s="4">
        <v>3</v>
      </c>
      <c r="AK731" s="4">
        <v>3</v>
      </c>
      <c r="AL731" s="4">
        <v>1</v>
      </c>
      <c r="AM731" s="4">
        <v>1</v>
      </c>
      <c r="AN731" s="4">
        <v>0</v>
      </c>
      <c r="AO731" s="4">
        <v>0</v>
      </c>
      <c r="AP731" s="3" t="s">
        <v>59</v>
      </c>
      <c r="AQ731" s="3" t="s">
        <v>69</v>
      </c>
      <c r="AR731" s="6" t="str">
        <f>HYPERLINK("http://catalog.hathitrust.org/Record/003977513","HathiTrust Record")</f>
        <v>HathiTrust Record</v>
      </c>
      <c r="AS731" s="6" t="str">
        <f>HYPERLINK("https://creighton-primo.hosted.exlibrisgroup.com/primo-explore/search?tab=default_tab&amp;search_scope=EVERYTHING&amp;vid=01CRU&amp;lang=en_US&amp;offset=0&amp;query=any,contains,991003355519702656","Catalog Record")</f>
        <v>Catalog Record</v>
      </c>
      <c r="AT731" s="6" t="str">
        <f>HYPERLINK("http://www.worldcat.org/oclc/43321554","WorldCat Record")</f>
        <v>WorldCat Record</v>
      </c>
      <c r="AU731" s="3" t="s">
        <v>8800</v>
      </c>
      <c r="AV731" s="3" t="s">
        <v>8801</v>
      </c>
      <c r="AW731" s="3" t="s">
        <v>8802</v>
      </c>
      <c r="AX731" s="3" t="s">
        <v>8802</v>
      </c>
      <c r="AY731" s="3" t="s">
        <v>8803</v>
      </c>
      <c r="AZ731" s="3" t="s">
        <v>74</v>
      </c>
      <c r="BB731" s="3" t="s">
        <v>8804</v>
      </c>
      <c r="BC731" s="3" t="s">
        <v>8805</v>
      </c>
      <c r="BD731" s="3" t="s">
        <v>8806</v>
      </c>
    </row>
    <row r="732" spans="1:56" ht="57.75" customHeight="1" x14ac:dyDescent="0.25">
      <c r="A732" s="7" t="s">
        <v>59</v>
      </c>
      <c r="B732" s="2" t="s">
        <v>8807</v>
      </c>
      <c r="C732" s="2" t="s">
        <v>8808</v>
      </c>
      <c r="D732" s="2" t="s">
        <v>8809</v>
      </c>
      <c r="F732" s="3" t="s">
        <v>59</v>
      </c>
      <c r="G732" s="3" t="s">
        <v>60</v>
      </c>
      <c r="H732" s="3" t="s">
        <v>59</v>
      </c>
      <c r="I732" s="3" t="s">
        <v>59</v>
      </c>
      <c r="J732" s="3" t="s">
        <v>61</v>
      </c>
      <c r="K732" s="2" t="s">
        <v>8810</v>
      </c>
      <c r="L732" s="2" t="s">
        <v>8811</v>
      </c>
      <c r="M732" s="3" t="s">
        <v>684</v>
      </c>
      <c r="O732" s="3" t="s">
        <v>64</v>
      </c>
      <c r="P732" s="3" t="s">
        <v>821</v>
      </c>
      <c r="R732" s="3" t="s">
        <v>67</v>
      </c>
      <c r="S732" s="4">
        <v>3</v>
      </c>
      <c r="T732" s="4">
        <v>3</v>
      </c>
      <c r="U732" s="5" t="s">
        <v>8812</v>
      </c>
      <c r="V732" s="5" t="s">
        <v>8812</v>
      </c>
      <c r="W732" s="5" t="s">
        <v>5136</v>
      </c>
      <c r="X732" s="5" t="s">
        <v>5136</v>
      </c>
      <c r="Y732" s="4">
        <v>542</v>
      </c>
      <c r="Z732" s="4">
        <v>501</v>
      </c>
      <c r="AA732" s="4">
        <v>505</v>
      </c>
      <c r="AB732" s="4">
        <v>3</v>
      </c>
      <c r="AC732" s="4">
        <v>3</v>
      </c>
      <c r="AD732" s="4">
        <v>17</v>
      </c>
      <c r="AE732" s="4">
        <v>17</v>
      </c>
      <c r="AF732" s="4">
        <v>8</v>
      </c>
      <c r="AG732" s="4">
        <v>8</v>
      </c>
      <c r="AH732" s="4">
        <v>3</v>
      </c>
      <c r="AI732" s="4">
        <v>3</v>
      </c>
      <c r="AJ732" s="4">
        <v>10</v>
      </c>
      <c r="AK732" s="4">
        <v>10</v>
      </c>
      <c r="AL732" s="4">
        <v>2</v>
      </c>
      <c r="AM732" s="4">
        <v>2</v>
      </c>
      <c r="AN732" s="4">
        <v>0</v>
      </c>
      <c r="AO732" s="4">
        <v>0</v>
      </c>
      <c r="AP732" s="3" t="s">
        <v>59</v>
      </c>
      <c r="AQ732" s="3" t="s">
        <v>59</v>
      </c>
      <c r="AS732" s="6" t="str">
        <f>HYPERLINK("https://creighton-primo.hosted.exlibrisgroup.com/primo-explore/search?tab=default_tab&amp;search_scope=EVERYTHING&amp;vid=01CRU&amp;lang=en_US&amp;offset=0&amp;query=any,contains,991003255539702656","Catalog Record")</f>
        <v>Catalog Record</v>
      </c>
      <c r="AT732" s="6" t="str">
        <f>HYPERLINK("http://www.worldcat.org/oclc/42428782","WorldCat Record")</f>
        <v>WorldCat Record</v>
      </c>
      <c r="AU732" s="3" t="s">
        <v>8813</v>
      </c>
      <c r="AV732" s="3" t="s">
        <v>8814</v>
      </c>
      <c r="AW732" s="3" t="s">
        <v>8815</v>
      </c>
      <c r="AX732" s="3" t="s">
        <v>8815</v>
      </c>
      <c r="AY732" s="3" t="s">
        <v>8816</v>
      </c>
      <c r="AZ732" s="3" t="s">
        <v>74</v>
      </c>
      <c r="BB732" s="3" t="s">
        <v>8817</v>
      </c>
      <c r="BC732" s="3" t="s">
        <v>8818</v>
      </c>
      <c r="BD732" s="3" t="s">
        <v>8819</v>
      </c>
    </row>
    <row r="733" spans="1:56" ht="57.75" customHeight="1" x14ac:dyDescent="0.25">
      <c r="A733" s="7" t="s">
        <v>59</v>
      </c>
      <c r="B733" s="2" t="s">
        <v>8820</v>
      </c>
      <c r="C733" s="2" t="s">
        <v>8821</v>
      </c>
      <c r="D733" s="2" t="s">
        <v>8822</v>
      </c>
      <c r="F733" s="3" t="s">
        <v>59</v>
      </c>
      <c r="G733" s="3" t="s">
        <v>60</v>
      </c>
      <c r="H733" s="3" t="s">
        <v>59</v>
      </c>
      <c r="I733" s="3" t="s">
        <v>59</v>
      </c>
      <c r="J733" s="3" t="s">
        <v>61</v>
      </c>
      <c r="K733" s="2" t="s">
        <v>8823</v>
      </c>
      <c r="L733" s="2" t="s">
        <v>8824</v>
      </c>
      <c r="M733" s="3" t="s">
        <v>63</v>
      </c>
      <c r="O733" s="3" t="s">
        <v>64</v>
      </c>
      <c r="P733" s="3" t="s">
        <v>821</v>
      </c>
      <c r="R733" s="3" t="s">
        <v>67</v>
      </c>
      <c r="S733" s="4">
        <v>1</v>
      </c>
      <c r="T733" s="4">
        <v>1</v>
      </c>
      <c r="U733" s="5" t="s">
        <v>8825</v>
      </c>
      <c r="V733" s="5" t="s">
        <v>8825</v>
      </c>
      <c r="W733" s="5" t="s">
        <v>8825</v>
      </c>
      <c r="X733" s="5" t="s">
        <v>8825</v>
      </c>
      <c r="Y733" s="4">
        <v>280</v>
      </c>
      <c r="Z733" s="4">
        <v>242</v>
      </c>
      <c r="AA733" s="4">
        <v>251</v>
      </c>
      <c r="AB733" s="4">
        <v>2</v>
      </c>
      <c r="AC733" s="4">
        <v>2</v>
      </c>
      <c r="AD733" s="4">
        <v>8</v>
      </c>
      <c r="AE733" s="4">
        <v>8</v>
      </c>
      <c r="AF733" s="4">
        <v>3</v>
      </c>
      <c r="AG733" s="4">
        <v>3</v>
      </c>
      <c r="AH733" s="4">
        <v>2</v>
      </c>
      <c r="AI733" s="4">
        <v>2</v>
      </c>
      <c r="AJ733" s="4">
        <v>3</v>
      </c>
      <c r="AK733" s="4">
        <v>3</v>
      </c>
      <c r="AL733" s="4">
        <v>1</v>
      </c>
      <c r="AM733" s="4">
        <v>1</v>
      </c>
      <c r="AN733" s="4">
        <v>0</v>
      </c>
      <c r="AO733" s="4">
        <v>0</v>
      </c>
      <c r="AP733" s="3" t="s">
        <v>59</v>
      </c>
      <c r="AQ733" s="3" t="s">
        <v>59</v>
      </c>
      <c r="AS733" s="6" t="str">
        <f>HYPERLINK("https://creighton-primo.hosted.exlibrisgroup.com/primo-explore/search?tab=default_tab&amp;search_scope=EVERYTHING&amp;vid=01CRU&amp;lang=en_US&amp;offset=0&amp;query=any,contains,991005202049702656","Catalog Record")</f>
        <v>Catalog Record</v>
      </c>
      <c r="AT733" s="6" t="str">
        <f>HYPERLINK("http://www.worldcat.org/oclc/47927645","WorldCat Record")</f>
        <v>WorldCat Record</v>
      </c>
      <c r="AU733" s="3" t="s">
        <v>8826</v>
      </c>
      <c r="AV733" s="3" t="s">
        <v>8827</v>
      </c>
      <c r="AW733" s="3" t="s">
        <v>8828</v>
      </c>
      <c r="AX733" s="3" t="s">
        <v>8828</v>
      </c>
      <c r="AY733" s="3" t="s">
        <v>8829</v>
      </c>
      <c r="AZ733" s="3" t="s">
        <v>74</v>
      </c>
      <c r="BB733" s="3" t="s">
        <v>8830</v>
      </c>
      <c r="BC733" s="3" t="s">
        <v>8831</v>
      </c>
      <c r="BD733" s="3" t="s">
        <v>8832</v>
      </c>
    </row>
    <row r="734" spans="1:56" ht="57.75" customHeight="1" x14ac:dyDescent="0.25">
      <c r="A734" s="7" t="s">
        <v>59</v>
      </c>
      <c r="B734" s="2" t="s">
        <v>8833</v>
      </c>
      <c r="C734" s="2" t="s">
        <v>8834</v>
      </c>
      <c r="D734" s="2" t="s">
        <v>8835</v>
      </c>
      <c r="F734" s="3" t="s">
        <v>59</v>
      </c>
      <c r="G734" s="3" t="s">
        <v>60</v>
      </c>
      <c r="H734" s="3" t="s">
        <v>59</v>
      </c>
      <c r="I734" s="3" t="s">
        <v>59</v>
      </c>
      <c r="J734" s="3" t="s">
        <v>61</v>
      </c>
      <c r="K734" s="2" t="s">
        <v>8836</v>
      </c>
      <c r="L734" s="2" t="s">
        <v>8837</v>
      </c>
      <c r="M734" s="3" t="s">
        <v>144</v>
      </c>
      <c r="O734" s="3" t="s">
        <v>64</v>
      </c>
      <c r="P734" s="3" t="s">
        <v>467</v>
      </c>
      <c r="Q734" s="2" t="s">
        <v>8642</v>
      </c>
      <c r="R734" s="3" t="s">
        <v>67</v>
      </c>
      <c r="S734" s="4">
        <v>2</v>
      </c>
      <c r="T734" s="4">
        <v>2</v>
      </c>
      <c r="U734" s="5" t="s">
        <v>8838</v>
      </c>
      <c r="V734" s="5" t="s">
        <v>8838</v>
      </c>
      <c r="W734" s="5" t="s">
        <v>8838</v>
      </c>
      <c r="X734" s="5" t="s">
        <v>8838</v>
      </c>
      <c r="Y734" s="4">
        <v>204</v>
      </c>
      <c r="Z734" s="4">
        <v>190</v>
      </c>
      <c r="AA734" s="4">
        <v>193</v>
      </c>
      <c r="AB734" s="4">
        <v>2</v>
      </c>
      <c r="AC734" s="4">
        <v>2</v>
      </c>
      <c r="AD734" s="4">
        <v>7</v>
      </c>
      <c r="AE734" s="4">
        <v>7</v>
      </c>
      <c r="AF734" s="4">
        <v>1</v>
      </c>
      <c r="AG734" s="4">
        <v>1</v>
      </c>
      <c r="AH734" s="4">
        <v>3</v>
      </c>
      <c r="AI734" s="4">
        <v>3</v>
      </c>
      <c r="AJ734" s="4">
        <v>2</v>
      </c>
      <c r="AK734" s="4">
        <v>2</v>
      </c>
      <c r="AL734" s="4">
        <v>1</v>
      </c>
      <c r="AM734" s="4">
        <v>1</v>
      </c>
      <c r="AN734" s="4">
        <v>0</v>
      </c>
      <c r="AO734" s="4">
        <v>0</v>
      </c>
      <c r="AP734" s="3" t="s">
        <v>59</v>
      </c>
      <c r="AQ734" s="3" t="s">
        <v>69</v>
      </c>
      <c r="AR734" s="6" t="str">
        <f>HYPERLINK("http://catalog.hathitrust.org/Record/004941445","HathiTrust Record")</f>
        <v>HathiTrust Record</v>
      </c>
      <c r="AS734" s="6" t="str">
        <f>HYPERLINK("https://creighton-primo.hosted.exlibrisgroup.com/primo-explore/search?tab=default_tab&amp;search_scope=EVERYTHING&amp;vid=01CRU&amp;lang=en_US&amp;offset=0&amp;query=any,contains,991004657329702656","Catalog Record")</f>
        <v>Catalog Record</v>
      </c>
      <c r="AT734" s="6" t="str">
        <f>HYPERLINK("http://www.worldcat.org/oclc/55600899","WorldCat Record")</f>
        <v>WorldCat Record</v>
      </c>
      <c r="AU734" s="3" t="s">
        <v>8839</v>
      </c>
      <c r="AV734" s="3" t="s">
        <v>8840</v>
      </c>
      <c r="AW734" s="3" t="s">
        <v>8841</v>
      </c>
      <c r="AX734" s="3" t="s">
        <v>8841</v>
      </c>
      <c r="AY734" s="3" t="s">
        <v>8842</v>
      </c>
      <c r="AZ734" s="3" t="s">
        <v>74</v>
      </c>
      <c r="BB734" s="3" t="s">
        <v>8843</v>
      </c>
      <c r="BC734" s="3" t="s">
        <v>8844</v>
      </c>
      <c r="BD734" s="3" t="s">
        <v>8845</v>
      </c>
    </row>
    <row r="735" spans="1:56" ht="57.75" customHeight="1" x14ac:dyDescent="0.25">
      <c r="A735" s="7" t="s">
        <v>59</v>
      </c>
      <c r="B735" s="2" t="s">
        <v>8846</v>
      </c>
      <c r="C735" s="2" t="s">
        <v>8847</v>
      </c>
      <c r="D735" s="2" t="s">
        <v>8848</v>
      </c>
      <c r="F735" s="3" t="s">
        <v>59</v>
      </c>
      <c r="G735" s="3" t="s">
        <v>60</v>
      </c>
      <c r="H735" s="3" t="s">
        <v>59</v>
      </c>
      <c r="I735" s="3" t="s">
        <v>59</v>
      </c>
      <c r="J735" s="3" t="s">
        <v>61</v>
      </c>
      <c r="K735" s="2" t="s">
        <v>8849</v>
      </c>
      <c r="L735" s="2" t="s">
        <v>8850</v>
      </c>
      <c r="M735" s="3" t="s">
        <v>571</v>
      </c>
      <c r="N735" s="2" t="s">
        <v>8851</v>
      </c>
      <c r="O735" s="3" t="s">
        <v>64</v>
      </c>
      <c r="P735" s="3" t="s">
        <v>3297</v>
      </c>
      <c r="R735" s="3" t="s">
        <v>67</v>
      </c>
      <c r="S735" s="4">
        <v>1</v>
      </c>
      <c r="T735" s="4">
        <v>1</v>
      </c>
      <c r="U735" s="5" t="s">
        <v>806</v>
      </c>
      <c r="V735" s="5" t="s">
        <v>806</v>
      </c>
      <c r="W735" s="5" t="s">
        <v>4124</v>
      </c>
      <c r="X735" s="5" t="s">
        <v>4124</v>
      </c>
      <c r="Y735" s="4">
        <v>202</v>
      </c>
      <c r="Z735" s="4">
        <v>181</v>
      </c>
      <c r="AA735" s="4">
        <v>185</v>
      </c>
      <c r="AB735" s="4">
        <v>2</v>
      </c>
      <c r="AC735" s="4">
        <v>2</v>
      </c>
      <c r="AD735" s="4">
        <v>7</v>
      </c>
      <c r="AE735" s="4">
        <v>7</v>
      </c>
      <c r="AF735" s="4">
        <v>1</v>
      </c>
      <c r="AG735" s="4">
        <v>1</v>
      </c>
      <c r="AH735" s="4">
        <v>2</v>
      </c>
      <c r="AI735" s="4">
        <v>2</v>
      </c>
      <c r="AJ735" s="4">
        <v>3</v>
      </c>
      <c r="AK735" s="4">
        <v>3</v>
      </c>
      <c r="AL735" s="4">
        <v>1</v>
      </c>
      <c r="AM735" s="4">
        <v>1</v>
      </c>
      <c r="AN735" s="4">
        <v>0</v>
      </c>
      <c r="AO735" s="4">
        <v>0</v>
      </c>
      <c r="AP735" s="3" t="s">
        <v>59</v>
      </c>
      <c r="AQ735" s="3" t="s">
        <v>69</v>
      </c>
      <c r="AR735" s="6" t="str">
        <f>HYPERLINK("http://catalog.hathitrust.org/Record/002014431","HathiTrust Record")</f>
        <v>HathiTrust Record</v>
      </c>
      <c r="AS735" s="6" t="str">
        <f>HYPERLINK("https://creighton-primo.hosted.exlibrisgroup.com/primo-explore/search?tab=default_tab&amp;search_scope=EVERYTHING&amp;vid=01CRU&amp;lang=en_US&amp;offset=0&amp;query=any,contains,991002883419702656","Catalog Record")</f>
        <v>Catalog Record</v>
      </c>
      <c r="AT735" s="6" t="str">
        <f>HYPERLINK("http://www.worldcat.org/oclc/507001","WorldCat Record")</f>
        <v>WorldCat Record</v>
      </c>
      <c r="AU735" s="3" t="s">
        <v>8852</v>
      </c>
      <c r="AV735" s="3" t="s">
        <v>8853</v>
      </c>
      <c r="AW735" s="3" t="s">
        <v>8854</v>
      </c>
      <c r="AX735" s="3" t="s">
        <v>8854</v>
      </c>
      <c r="AY735" s="3" t="s">
        <v>8855</v>
      </c>
      <c r="AZ735" s="3" t="s">
        <v>74</v>
      </c>
      <c r="BC735" s="3" t="s">
        <v>8856</v>
      </c>
      <c r="BD735" s="3" t="s">
        <v>8857</v>
      </c>
    </row>
    <row r="736" spans="1:56" ht="57.75" customHeight="1" x14ac:dyDescent="0.25">
      <c r="A736" s="7" t="s">
        <v>59</v>
      </c>
      <c r="B736" s="2" t="s">
        <v>8858</v>
      </c>
      <c r="C736" s="2" t="s">
        <v>8859</v>
      </c>
      <c r="D736" s="2" t="s">
        <v>8860</v>
      </c>
      <c r="F736" s="3" t="s">
        <v>59</v>
      </c>
      <c r="G736" s="3" t="s">
        <v>60</v>
      </c>
      <c r="H736" s="3" t="s">
        <v>59</v>
      </c>
      <c r="I736" s="3" t="s">
        <v>59</v>
      </c>
      <c r="J736" s="3" t="s">
        <v>61</v>
      </c>
      <c r="K736" s="2" t="s">
        <v>8861</v>
      </c>
      <c r="L736" s="2" t="s">
        <v>8862</v>
      </c>
      <c r="M736" s="3" t="s">
        <v>130</v>
      </c>
      <c r="O736" s="3" t="s">
        <v>64</v>
      </c>
      <c r="P736" s="3" t="s">
        <v>2362</v>
      </c>
      <c r="R736" s="3" t="s">
        <v>67</v>
      </c>
      <c r="S736" s="4">
        <v>1</v>
      </c>
      <c r="T736" s="4">
        <v>1</v>
      </c>
      <c r="U736" s="5" t="s">
        <v>8863</v>
      </c>
      <c r="V736" s="5" t="s">
        <v>8863</v>
      </c>
      <c r="W736" s="5" t="s">
        <v>8863</v>
      </c>
      <c r="X736" s="5" t="s">
        <v>8863</v>
      </c>
      <c r="Y736" s="4">
        <v>69</v>
      </c>
      <c r="Z736" s="4">
        <v>52</v>
      </c>
      <c r="AA736" s="4">
        <v>52</v>
      </c>
      <c r="AB736" s="4">
        <v>1</v>
      </c>
      <c r="AC736" s="4">
        <v>1</v>
      </c>
      <c r="AD736" s="4">
        <v>1</v>
      </c>
      <c r="AE736" s="4">
        <v>1</v>
      </c>
      <c r="AF736" s="4">
        <v>0</v>
      </c>
      <c r="AG736" s="4">
        <v>0</v>
      </c>
      <c r="AH736" s="4">
        <v>0</v>
      </c>
      <c r="AI736" s="4">
        <v>0</v>
      </c>
      <c r="AJ736" s="4">
        <v>1</v>
      </c>
      <c r="AK736" s="4">
        <v>1</v>
      </c>
      <c r="AL736" s="4">
        <v>0</v>
      </c>
      <c r="AM736" s="4">
        <v>0</v>
      </c>
      <c r="AN736" s="4">
        <v>0</v>
      </c>
      <c r="AO736" s="4">
        <v>0</v>
      </c>
      <c r="AP736" s="3" t="s">
        <v>59</v>
      </c>
      <c r="AQ736" s="3" t="s">
        <v>59</v>
      </c>
      <c r="AS736" s="6" t="str">
        <f>HYPERLINK("https://creighton-primo.hosted.exlibrisgroup.com/primo-explore/search?tab=default_tab&amp;search_scope=EVERYTHING&amp;vid=01CRU&amp;lang=en_US&amp;offset=0&amp;query=any,contains,991004634219702656","Catalog Record")</f>
        <v>Catalog Record</v>
      </c>
      <c r="AT736" s="6" t="str">
        <f>HYPERLINK("http://www.worldcat.org/oclc/53231942","WorldCat Record")</f>
        <v>WorldCat Record</v>
      </c>
      <c r="AU736" s="3" t="s">
        <v>8864</v>
      </c>
      <c r="AV736" s="3" t="s">
        <v>8865</v>
      </c>
      <c r="AW736" s="3" t="s">
        <v>8866</v>
      </c>
      <c r="AX736" s="3" t="s">
        <v>8866</v>
      </c>
      <c r="AY736" s="3" t="s">
        <v>8867</v>
      </c>
      <c r="AZ736" s="3" t="s">
        <v>74</v>
      </c>
      <c r="BB736" s="3" t="s">
        <v>8868</v>
      </c>
      <c r="BC736" s="3" t="s">
        <v>8869</v>
      </c>
      <c r="BD736" s="3" t="s">
        <v>8870</v>
      </c>
    </row>
    <row r="737" spans="1:56" ht="57.75" customHeight="1" x14ac:dyDescent="0.25">
      <c r="A737" s="7" t="s">
        <v>59</v>
      </c>
      <c r="B737" s="2" t="s">
        <v>8871</v>
      </c>
      <c r="C737" s="2" t="s">
        <v>8872</v>
      </c>
      <c r="D737" s="2" t="s">
        <v>8873</v>
      </c>
      <c r="F737" s="3" t="s">
        <v>59</v>
      </c>
      <c r="G737" s="3" t="s">
        <v>60</v>
      </c>
      <c r="H737" s="3" t="s">
        <v>59</v>
      </c>
      <c r="I737" s="3" t="s">
        <v>59</v>
      </c>
      <c r="J737" s="3" t="s">
        <v>61</v>
      </c>
      <c r="L737" s="2" t="s">
        <v>8874</v>
      </c>
      <c r="M737" s="3" t="s">
        <v>63</v>
      </c>
      <c r="O737" s="3" t="s">
        <v>64</v>
      </c>
      <c r="P737" s="3" t="s">
        <v>405</v>
      </c>
      <c r="R737" s="3" t="s">
        <v>67</v>
      </c>
      <c r="S737" s="4">
        <v>2</v>
      </c>
      <c r="T737" s="4">
        <v>2</v>
      </c>
      <c r="U737" s="5" t="s">
        <v>3009</v>
      </c>
      <c r="V737" s="5" t="s">
        <v>3009</v>
      </c>
      <c r="W737" s="5" t="s">
        <v>8875</v>
      </c>
      <c r="X737" s="5" t="s">
        <v>8875</v>
      </c>
      <c r="Y737" s="4">
        <v>183</v>
      </c>
      <c r="Z737" s="4">
        <v>153</v>
      </c>
      <c r="AA737" s="4">
        <v>161</v>
      </c>
      <c r="AB737" s="4">
        <v>2</v>
      </c>
      <c r="AC737" s="4">
        <v>2</v>
      </c>
      <c r="AD737" s="4">
        <v>6</v>
      </c>
      <c r="AE737" s="4">
        <v>6</v>
      </c>
      <c r="AF737" s="4">
        <v>1</v>
      </c>
      <c r="AG737" s="4">
        <v>1</v>
      </c>
      <c r="AH737" s="4">
        <v>1</v>
      </c>
      <c r="AI737" s="4">
        <v>1</v>
      </c>
      <c r="AJ737" s="4">
        <v>4</v>
      </c>
      <c r="AK737" s="4">
        <v>4</v>
      </c>
      <c r="AL737" s="4">
        <v>1</v>
      </c>
      <c r="AM737" s="4">
        <v>1</v>
      </c>
      <c r="AN737" s="4">
        <v>0</v>
      </c>
      <c r="AO737" s="4">
        <v>0</v>
      </c>
      <c r="AP737" s="3" t="s">
        <v>59</v>
      </c>
      <c r="AQ737" s="3" t="s">
        <v>59</v>
      </c>
      <c r="AS737" s="6" t="str">
        <f>HYPERLINK("https://creighton-primo.hosted.exlibrisgroup.com/primo-explore/search?tab=default_tab&amp;search_scope=EVERYTHING&amp;vid=01CRU&amp;lang=en_US&amp;offset=0&amp;query=any,contains,991003923259702656","Catalog Record")</f>
        <v>Catalog Record</v>
      </c>
      <c r="AT737" s="6" t="str">
        <f>HYPERLINK("http://www.worldcat.org/oclc/59531271","WorldCat Record")</f>
        <v>WorldCat Record</v>
      </c>
      <c r="AU737" s="3" t="s">
        <v>8876</v>
      </c>
      <c r="AV737" s="3" t="s">
        <v>8877</v>
      </c>
      <c r="AW737" s="3" t="s">
        <v>8878</v>
      </c>
      <c r="AX737" s="3" t="s">
        <v>8878</v>
      </c>
      <c r="AY737" s="3" t="s">
        <v>8879</v>
      </c>
      <c r="AZ737" s="3" t="s">
        <v>74</v>
      </c>
      <c r="BB737" s="3" t="s">
        <v>8880</v>
      </c>
      <c r="BC737" s="3" t="s">
        <v>8881</v>
      </c>
      <c r="BD737" s="3" t="s">
        <v>8882</v>
      </c>
    </row>
    <row r="738" spans="1:56" ht="57.75" customHeight="1" x14ac:dyDescent="0.25">
      <c r="A738" s="7" t="s">
        <v>59</v>
      </c>
      <c r="B738" s="2" t="s">
        <v>8883</v>
      </c>
      <c r="C738" s="2" t="s">
        <v>8884</v>
      </c>
      <c r="D738" s="2" t="s">
        <v>8885</v>
      </c>
      <c r="F738" s="3" t="s">
        <v>59</v>
      </c>
      <c r="G738" s="3" t="s">
        <v>60</v>
      </c>
      <c r="H738" s="3" t="s">
        <v>59</v>
      </c>
      <c r="I738" s="3" t="s">
        <v>59</v>
      </c>
      <c r="J738" s="3" t="s">
        <v>61</v>
      </c>
      <c r="K738" s="2" t="s">
        <v>8886</v>
      </c>
      <c r="L738" s="2" t="s">
        <v>6387</v>
      </c>
      <c r="M738" s="3" t="s">
        <v>313</v>
      </c>
      <c r="O738" s="3" t="s">
        <v>64</v>
      </c>
      <c r="P738" s="3" t="s">
        <v>467</v>
      </c>
      <c r="Q738" s="2" t="s">
        <v>8642</v>
      </c>
      <c r="R738" s="3" t="s">
        <v>67</v>
      </c>
      <c r="S738" s="4">
        <v>2</v>
      </c>
      <c r="T738" s="4">
        <v>2</v>
      </c>
      <c r="U738" s="5" t="s">
        <v>3902</v>
      </c>
      <c r="V738" s="5" t="s">
        <v>3902</v>
      </c>
      <c r="W738" s="5" t="s">
        <v>8887</v>
      </c>
      <c r="X738" s="5" t="s">
        <v>8887</v>
      </c>
      <c r="Y738" s="4">
        <v>214</v>
      </c>
      <c r="Z738" s="4">
        <v>182</v>
      </c>
      <c r="AA738" s="4">
        <v>396</v>
      </c>
      <c r="AB738" s="4">
        <v>3</v>
      </c>
      <c r="AC738" s="4">
        <v>3</v>
      </c>
      <c r="AD738" s="4">
        <v>8</v>
      </c>
      <c r="AE738" s="4">
        <v>22</v>
      </c>
      <c r="AF738" s="4">
        <v>2</v>
      </c>
      <c r="AG738" s="4">
        <v>10</v>
      </c>
      <c r="AH738" s="4">
        <v>1</v>
      </c>
      <c r="AI738" s="4">
        <v>5</v>
      </c>
      <c r="AJ738" s="4">
        <v>3</v>
      </c>
      <c r="AK738" s="4">
        <v>11</v>
      </c>
      <c r="AL738" s="4">
        <v>2</v>
      </c>
      <c r="AM738" s="4">
        <v>2</v>
      </c>
      <c r="AN738" s="4">
        <v>0</v>
      </c>
      <c r="AO738" s="4">
        <v>0</v>
      </c>
      <c r="AP738" s="3" t="s">
        <v>59</v>
      </c>
      <c r="AQ738" s="3" t="s">
        <v>69</v>
      </c>
      <c r="AR738" s="6" t="str">
        <f>HYPERLINK("http://catalog.hathitrust.org/Record/004185547","HathiTrust Record")</f>
        <v>HathiTrust Record</v>
      </c>
      <c r="AS738" s="6" t="str">
        <f>HYPERLINK("https://creighton-primo.hosted.exlibrisgroup.com/primo-explore/search?tab=default_tab&amp;search_scope=EVERYTHING&amp;vid=01CRU&amp;lang=en_US&amp;offset=0&amp;query=any,contains,991004020859702656","Catalog Record")</f>
        <v>Catalog Record</v>
      </c>
      <c r="AT738" s="6" t="str">
        <f>HYPERLINK("http://www.worldcat.org/oclc/47050213","WorldCat Record")</f>
        <v>WorldCat Record</v>
      </c>
      <c r="AU738" s="3" t="s">
        <v>8888</v>
      </c>
      <c r="AV738" s="3" t="s">
        <v>8889</v>
      </c>
      <c r="AW738" s="3" t="s">
        <v>8890</v>
      </c>
      <c r="AX738" s="3" t="s">
        <v>8890</v>
      </c>
      <c r="AY738" s="3" t="s">
        <v>8891</v>
      </c>
      <c r="AZ738" s="3" t="s">
        <v>74</v>
      </c>
      <c r="BB738" s="3" t="s">
        <v>8892</v>
      </c>
      <c r="BC738" s="3" t="s">
        <v>8893</v>
      </c>
      <c r="BD738" s="3" t="s">
        <v>8894</v>
      </c>
    </row>
    <row r="739" spans="1:56" ht="57.75" customHeight="1" x14ac:dyDescent="0.25">
      <c r="A739" s="7" t="s">
        <v>59</v>
      </c>
      <c r="B739" s="2" t="s">
        <v>8895</v>
      </c>
      <c r="C739" s="2" t="s">
        <v>8896</v>
      </c>
      <c r="D739" s="2" t="s">
        <v>8897</v>
      </c>
      <c r="F739" s="3" t="s">
        <v>59</v>
      </c>
      <c r="G739" s="3" t="s">
        <v>60</v>
      </c>
      <c r="H739" s="3" t="s">
        <v>59</v>
      </c>
      <c r="I739" s="3" t="s">
        <v>59</v>
      </c>
      <c r="J739" s="3" t="s">
        <v>61</v>
      </c>
      <c r="L739" s="2" t="s">
        <v>8898</v>
      </c>
      <c r="M739" s="3" t="s">
        <v>617</v>
      </c>
      <c r="O739" s="3" t="s">
        <v>64</v>
      </c>
      <c r="P739" s="3" t="s">
        <v>7194</v>
      </c>
      <c r="Q739" s="2" t="s">
        <v>8899</v>
      </c>
      <c r="R739" s="3" t="s">
        <v>67</v>
      </c>
      <c r="S739" s="4">
        <v>5</v>
      </c>
      <c r="T739" s="4">
        <v>5</v>
      </c>
      <c r="U739" s="5" t="s">
        <v>1513</v>
      </c>
      <c r="V739" s="5" t="s">
        <v>1513</v>
      </c>
      <c r="W739" s="5" t="s">
        <v>498</v>
      </c>
      <c r="X739" s="5" t="s">
        <v>498</v>
      </c>
      <c r="Y739" s="4">
        <v>124</v>
      </c>
      <c r="Z739" s="4">
        <v>100</v>
      </c>
      <c r="AA739" s="4">
        <v>101</v>
      </c>
      <c r="AB739" s="4">
        <v>2</v>
      </c>
      <c r="AC739" s="4">
        <v>2</v>
      </c>
      <c r="AD739" s="4">
        <v>2</v>
      </c>
      <c r="AE739" s="4">
        <v>2</v>
      </c>
      <c r="AF739" s="4">
        <v>0</v>
      </c>
      <c r="AG739" s="4">
        <v>0</v>
      </c>
      <c r="AH739" s="4">
        <v>0</v>
      </c>
      <c r="AI739" s="4">
        <v>0</v>
      </c>
      <c r="AJ739" s="4">
        <v>1</v>
      </c>
      <c r="AK739" s="4">
        <v>1</v>
      </c>
      <c r="AL739" s="4">
        <v>1</v>
      </c>
      <c r="AM739" s="4">
        <v>1</v>
      </c>
      <c r="AN739" s="4">
        <v>0</v>
      </c>
      <c r="AO739" s="4">
        <v>0</v>
      </c>
      <c r="AP739" s="3" t="s">
        <v>59</v>
      </c>
      <c r="AQ739" s="3" t="s">
        <v>69</v>
      </c>
      <c r="AR739" s="6" t="str">
        <f>HYPERLINK("http://catalog.hathitrust.org/Record/000421712","HathiTrust Record")</f>
        <v>HathiTrust Record</v>
      </c>
      <c r="AS739" s="6" t="str">
        <f>HYPERLINK("https://creighton-primo.hosted.exlibrisgroup.com/primo-explore/search?tab=default_tab&amp;search_scope=EVERYTHING&amp;vid=01CRU&amp;lang=en_US&amp;offset=0&amp;query=any,contains,991005180109702656","Catalog Record")</f>
        <v>Catalog Record</v>
      </c>
      <c r="AT739" s="6" t="str">
        <f>HYPERLINK("http://www.worldcat.org/oclc/6714695","WorldCat Record")</f>
        <v>WorldCat Record</v>
      </c>
      <c r="AU739" s="3" t="s">
        <v>8900</v>
      </c>
      <c r="AV739" s="3" t="s">
        <v>8901</v>
      </c>
      <c r="AW739" s="3" t="s">
        <v>8902</v>
      </c>
      <c r="AX739" s="3" t="s">
        <v>8902</v>
      </c>
      <c r="AY739" s="3" t="s">
        <v>8903</v>
      </c>
      <c r="AZ739" s="3" t="s">
        <v>74</v>
      </c>
      <c r="BB739" s="3" t="s">
        <v>8904</v>
      </c>
      <c r="BC739" s="3" t="s">
        <v>8905</v>
      </c>
      <c r="BD739" s="3" t="s">
        <v>8906</v>
      </c>
    </row>
    <row r="740" spans="1:56" ht="57.75" customHeight="1" x14ac:dyDescent="0.25">
      <c r="A740" s="7" t="s">
        <v>59</v>
      </c>
      <c r="B740" s="2" t="s">
        <v>8907</v>
      </c>
      <c r="C740" s="2" t="s">
        <v>8908</v>
      </c>
      <c r="D740" s="2" t="s">
        <v>8909</v>
      </c>
      <c r="F740" s="3" t="s">
        <v>59</v>
      </c>
      <c r="G740" s="3" t="s">
        <v>60</v>
      </c>
      <c r="H740" s="3" t="s">
        <v>59</v>
      </c>
      <c r="I740" s="3" t="s">
        <v>59</v>
      </c>
      <c r="J740" s="3" t="s">
        <v>61</v>
      </c>
      <c r="K740" s="2" t="s">
        <v>8910</v>
      </c>
      <c r="L740" s="2" t="s">
        <v>8911</v>
      </c>
      <c r="M740" s="3" t="s">
        <v>670</v>
      </c>
      <c r="O740" s="3" t="s">
        <v>64</v>
      </c>
      <c r="P740" s="3" t="s">
        <v>405</v>
      </c>
      <c r="Q740" s="2" t="s">
        <v>8912</v>
      </c>
      <c r="R740" s="3" t="s">
        <v>67</v>
      </c>
      <c r="S740" s="4">
        <v>10</v>
      </c>
      <c r="T740" s="4">
        <v>10</v>
      </c>
      <c r="U740" s="5" t="s">
        <v>4072</v>
      </c>
      <c r="V740" s="5" t="s">
        <v>4072</v>
      </c>
      <c r="W740" s="5" t="s">
        <v>1923</v>
      </c>
      <c r="X740" s="5" t="s">
        <v>1923</v>
      </c>
      <c r="Y740" s="4">
        <v>436</v>
      </c>
      <c r="Z740" s="4">
        <v>318</v>
      </c>
      <c r="AA740" s="4">
        <v>321</v>
      </c>
      <c r="AB740" s="4">
        <v>5</v>
      </c>
      <c r="AC740" s="4">
        <v>5</v>
      </c>
      <c r="AD740" s="4">
        <v>10</v>
      </c>
      <c r="AE740" s="4">
        <v>10</v>
      </c>
      <c r="AF740" s="4">
        <v>4</v>
      </c>
      <c r="AG740" s="4">
        <v>4</v>
      </c>
      <c r="AH740" s="4">
        <v>1</v>
      </c>
      <c r="AI740" s="4">
        <v>1</v>
      </c>
      <c r="AJ740" s="4">
        <v>3</v>
      </c>
      <c r="AK740" s="4">
        <v>3</v>
      </c>
      <c r="AL740" s="4">
        <v>4</v>
      </c>
      <c r="AM740" s="4">
        <v>4</v>
      </c>
      <c r="AN740" s="4">
        <v>0</v>
      </c>
      <c r="AO740" s="4">
        <v>0</v>
      </c>
      <c r="AP740" s="3" t="s">
        <v>59</v>
      </c>
      <c r="AQ740" s="3" t="s">
        <v>69</v>
      </c>
      <c r="AR740" s="6" t="str">
        <f>HYPERLINK("http://catalog.hathitrust.org/Record/000149677","HathiTrust Record")</f>
        <v>HathiTrust Record</v>
      </c>
      <c r="AS740" s="6" t="str">
        <f>HYPERLINK("https://creighton-primo.hosted.exlibrisgroup.com/primo-explore/search?tab=default_tab&amp;search_scope=EVERYTHING&amp;vid=01CRU&amp;lang=en_US&amp;offset=0&amp;query=any,contains,991005205699702656","Catalog Record")</f>
        <v>Catalog Record</v>
      </c>
      <c r="AT740" s="6" t="str">
        <f>HYPERLINK("http://www.worldcat.org/oclc/8114378","WorldCat Record")</f>
        <v>WorldCat Record</v>
      </c>
      <c r="AU740" s="3" t="s">
        <v>8913</v>
      </c>
      <c r="AV740" s="3" t="s">
        <v>8914</v>
      </c>
      <c r="AW740" s="3" t="s">
        <v>8915</v>
      </c>
      <c r="AX740" s="3" t="s">
        <v>8915</v>
      </c>
      <c r="AY740" s="3" t="s">
        <v>8916</v>
      </c>
      <c r="AZ740" s="3" t="s">
        <v>74</v>
      </c>
      <c r="BB740" s="3" t="s">
        <v>8917</v>
      </c>
      <c r="BC740" s="3" t="s">
        <v>8918</v>
      </c>
      <c r="BD740" s="3" t="s">
        <v>8919</v>
      </c>
    </row>
    <row r="741" spans="1:56" ht="57.75" customHeight="1" x14ac:dyDescent="0.25">
      <c r="A741" s="7" t="s">
        <v>59</v>
      </c>
      <c r="B741" s="2" t="s">
        <v>8920</v>
      </c>
      <c r="C741" s="2" t="s">
        <v>8921</v>
      </c>
      <c r="D741" s="2" t="s">
        <v>8922</v>
      </c>
      <c r="F741" s="3" t="s">
        <v>59</v>
      </c>
      <c r="G741" s="3" t="s">
        <v>60</v>
      </c>
      <c r="H741" s="3" t="s">
        <v>59</v>
      </c>
      <c r="I741" s="3" t="s">
        <v>59</v>
      </c>
      <c r="J741" s="3" t="s">
        <v>61</v>
      </c>
      <c r="K741" s="2" t="s">
        <v>8923</v>
      </c>
      <c r="L741" s="2" t="s">
        <v>8924</v>
      </c>
      <c r="M741" s="3" t="s">
        <v>2421</v>
      </c>
      <c r="O741" s="3" t="s">
        <v>64</v>
      </c>
      <c r="P741" s="3" t="s">
        <v>467</v>
      </c>
      <c r="R741" s="3" t="s">
        <v>67</v>
      </c>
      <c r="S741" s="4">
        <v>16</v>
      </c>
      <c r="T741" s="4">
        <v>16</v>
      </c>
      <c r="U741" s="5" t="s">
        <v>8925</v>
      </c>
      <c r="V741" s="5" t="s">
        <v>8925</v>
      </c>
      <c r="W741" s="5" t="s">
        <v>8926</v>
      </c>
      <c r="X741" s="5" t="s">
        <v>8926</v>
      </c>
      <c r="Y741" s="4">
        <v>1014</v>
      </c>
      <c r="Z741" s="4">
        <v>960</v>
      </c>
      <c r="AA741" s="4">
        <v>1228</v>
      </c>
      <c r="AB741" s="4">
        <v>5</v>
      </c>
      <c r="AC741" s="4">
        <v>10</v>
      </c>
      <c r="AD741" s="4">
        <v>14</v>
      </c>
      <c r="AE741" s="4">
        <v>15</v>
      </c>
      <c r="AF741" s="4">
        <v>7</v>
      </c>
      <c r="AG741" s="4">
        <v>7</v>
      </c>
      <c r="AH741" s="4">
        <v>0</v>
      </c>
      <c r="AI741" s="4">
        <v>0</v>
      </c>
      <c r="AJ741" s="4">
        <v>9</v>
      </c>
      <c r="AK741" s="4">
        <v>9</v>
      </c>
      <c r="AL741" s="4">
        <v>0</v>
      </c>
      <c r="AM741" s="4">
        <v>1</v>
      </c>
      <c r="AN741" s="4">
        <v>0</v>
      </c>
      <c r="AO741" s="4">
        <v>0</v>
      </c>
      <c r="AP741" s="3" t="s">
        <v>59</v>
      </c>
      <c r="AQ741" s="3" t="s">
        <v>59</v>
      </c>
      <c r="AS741" s="6" t="str">
        <f>HYPERLINK("https://creighton-primo.hosted.exlibrisgroup.com/primo-explore/search?tab=default_tab&amp;search_scope=EVERYTHING&amp;vid=01CRU&amp;lang=en_US&amp;offset=0&amp;query=any,contains,991001284279702656","Catalog Record")</f>
        <v>Catalog Record</v>
      </c>
      <c r="AT741" s="6" t="str">
        <f>HYPERLINK("http://www.worldcat.org/oclc/17952511","WorldCat Record")</f>
        <v>WorldCat Record</v>
      </c>
      <c r="AU741" s="3" t="s">
        <v>8927</v>
      </c>
      <c r="AV741" s="3" t="s">
        <v>8928</v>
      </c>
      <c r="AW741" s="3" t="s">
        <v>8929</v>
      </c>
      <c r="AX741" s="3" t="s">
        <v>8929</v>
      </c>
      <c r="AY741" s="3" t="s">
        <v>8930</v>
      </c>
      <c r="AZ741" s="3" t="s">
        <v>74</v>
      </c>
      <c r="BB741" s="3" t="s">
        <v>8931</v>
      </c>
      <c r="BC741" s="3" t="s">
        <v>8932</v>
      </c>
      <c r="BD741" s="3" t="s">
        <v>8933</v>
      </c>
    </row>
    <row r="742" spans="1:56" ht="57.75" customHeight="1" x14ac:dyDescent="0.25">
      <c r="A742" s="7" t="s">
        <v>59</v>
      </c>
      <c r="B742" s="2" t="s">
        <v>8934</v>
      </c>
      <c r="C742" s="2" t="s">
        <v>8935</v>
      </c>
      <c r="D742" s="2" t="s">
        <v>8936</v>
      </c>
      <c r="F742" s="3" t="s">
        <v>59</v>
      </c>
      <c r="G742" s="3" t="s">
        <v>60</v>
      </c>
      <c r="H742" s="3" t="s">
        <v>59</v>
      </c>
      <c r="I742" s="3" t="s">
        <v>59</v>
      </c>
      <c r="J742" s="3" t="s">
        <v>61</v>
      </c>
      <c r="K742" s="2" t="s">
        <v>8937</v>
      </c>
      <c r="L742" s="2" t="s">
        <v>8938</v>
      </c>
      <c r="M742" s="3" t="s">
        <v>172</v>
      </c>
      <c r="O742" s="3" t="s">
        <v>64</v>
      </c>
      <c r="P742" s="3" t="s">
        <v>65</v>
      </c>
      <c r="R742" s="3" t="s">
        <v>67</v>
      </c>
      <c r="S742" s="4">
        <v>1</v>
      </c>
      <c r="T742" s="4">
        <v>1</v>
      </c>
      <c r="U742" s="5" t="s">
        <v>8939</v>
      </c>
      <c r="V742" s="5" t="s">
        <v>8939</v>
      </c>
      <c r="W742" s="5" t="s">
        <v>8939</v>
      </c>
      <c r="X742" s="5" t="s">
        <v>8939</v>
      </c>
      <c r="Y742" s="4">
        <v>702</v>
      </c>
      <c r="Z742" s="4">
        <v>628</v>
      </c>
      <c r="AA742" s="4">
        <v>637</v>
      </c>
      <c r="AB742" s="4">
        <v>3</v>
      </c>
      <c r="AC742" s="4">
        <v>3</v>
      </c>
      <c r="AD742" s="4">
        <v>17</v>
      </c>
      <c r="AE742" s="4">
        <v>18</v>
      </c>
      <c r="AF742" s="4">
        <v>7</v>
      </c>
      <c r="AG742" s="4">
        <v>8</v>
      </c>
      <c r="AH742" s="4">
        <v>3</v>
      </c>
      <c r="AI742" s="4">
        <v>3</v>
      </c>
      <c r="AJ742" s="4">
        <v>8</v>
      </c>
      <c r="AK742" s="4">
        <v>8</v>
      </c>
      <c r="AL742" s="4">
        <v>2</v>
      </c>
      <c r="AM742" s="4">
        <v>2</v>
      </c>
      <c r="AN742" s="4">
        <v>0</v>
      </c>
      <c r="AO742" s="4">
        <v>0</v>
      </c>
      <c r="AP742" s="3" t="s">
        <v>59</v>
      </c>
      <c r="AQ742" s="3" t="s">
        <v>59</v>
      </c>
      <c r="AS742" s="6" t="str">
        <f>HYPERLINK("https://creighton-primo.hosted.exlibrisgroup.com/primo-explore/search?tab=default_tab&amp;search_scope=EVERYTHING&amp;vid=01CRU&amp;lang=en_US&amp;offset=0&amp;query=any,contains,991005003799702656","Catalog Record")</f>
        <v>Catalog Record</v>
      </c>
      <c r="AT742" s="6" t="str">
        <f>HYPERLINK("http://www.worldcat.org/oclc/63472645","WorldCat Record")</f>
        <v>WorldCat Record</v>
      </c>
      <c r="AU742" s="3" t="s">
        <v>8940</v>
      </c>
      <c r="AV742" s="3" t="s">
        <v>8941</v>
      </c>
      <c r="AW742" s="3" t="s">
        <v>8942</v>
      </c>
      <c r="AX742" s="3" t="s">
        <v>8942</v>
      </c>
      <c r="AY742" s="3" t="s">
        <v>8943</v>
      </c>
      <c r="AZ742" s="3" t="s">
        <v>74</v>
      </c>
      <c r="BB742" s="3" t="s">
        <v>8944</v>
      </c>
      <c r="BC742" s="3" t="s">
        <v>8945</v>
      </c>
      <c r="BD742" s="3" t="s">
        <v>8946</v>
      </c>
    </row>
    <row r="743" spans="1:56" ht="57.75" customHeight="1" x14ac:dyDescent="0.25">
      <c r="A743" s="7" t="s">
        <v>59</v>
      </c>
      <c r="B743" s="2" t="s">
        <v>8947</v>
      </c>
      <c r="C743" s="2" t="s">
        <v>8948</v>
      </c>
      <c r="D743" s="2" t="s">
        <v>8949</v>
      </c>
      <c r="F743" s="3" t="s">
        <v>59</v>
      </c>
      <c r="G743" s="3" t="s">
        <v>60</v>
      </c>
      <c r="H743" s="3" t="s">
        <v>59</v>
      </c>
      <c r="I743" s="3" t="s">
        <v>59</v>
      </c>
      <c r="J743" s="3" t="s">
        <v>61</v>
      </c>
      <c r="K743" s="2" t="s">
        <v>8413</v>
      </c>
      <c r="L743" s="2" t="s">
        <v>8950</v>
      </c>
      <c r="M743" s="3" t="s">
        <v>2965</v>
      </c>
      <c r="O743" s="3" t="s">
        <v>64</v>
      </c>
      <c r="P743" s="3" t="s">
        <v>467</v>
      </c>
      <c r="Q743" s="2" t="s">
        <v>8951</v>
      </c>
      <c r="R743" s="3" t="s">
        <v>67</v>
      </c>
      <c r="S743" s="4">
        <v>13</v>
      </c>
      <c r="T743" s="4">
        <v>13</v>
      </c>
      <c r="U743" s="5" t="s">
        <v>8952</v>
      </c>
      <c r="V743" s="5" t="s">
        <v>8952</v>
      </c>
      <c r="W743" s="5" t="s">
        <v>8953</v>
      </c>
      <c r="X743" s="5" t="s">
        <v>8953</v>
      </c>
      <c r="Y743" s="4">
        <v>1004</v>
      </c>
      <c r="Z743" s="4">
        <v>937</v>
      </c>
      <c r="AA743" s="4">
        <v>1148</v>
      </c>
      <c r="AB743" s="4">
        <v>8</v>
      </c>
      <c r="AC743" s="4">
        <v>9</v>
      </c>
      <c r="AD743" s="4">
        <v>32</v>
      </c>
      <c r="AE743" s="4">
        <v>38</v>
      </c>
      <c r="AF743" s="4">
        <v>13</v>
      </c>
      <c r="AG743" s="4">
        <v>15</v>
      </c>
      <c r="AH743" s="4">
        <v>6</v>
      </c>
      <c r="AI743" s="4">
        <v>6</v>
      </c>
      <c r="AJ743" s="4">
        <v>8</v>
      </c>
      <c r="AK743" s="4">
        <v>13</v>
      </c>
      <c r="AL743" s="4">
        <v>7</v>
      </c>
      <c r="AM743" s="4">
        <v>8</v>
      </c>
      <c r="AN743" s="4">
        <v>0</v>
      </c>
      <c r="AO743" s="4">
        <v>0</v>
      </c>
      <c r="AP743" s="3" t="s">
        <v>59</v>
      </c>
      <c r="AQ743" s="3" t="s">
        <v>69</v>
      </c>
      <c r="AR743" s="6" t="str">
        <f>HYPERLINK("http://catalog.hathitrust.org/Record/001501156","HathiTrust Record")</f>
        <v>HathiTrust Record</v>
      </c>
      <c r="AS743" s="6" t="str">
        <f>HYPERLINK("https://creighton-primo.hosted.exlibrisgroup.com/primo-explore/search?tab=default_tab&amp;search_scope=EVERYTHING&amp;vid=01CRU&amp;lang=en_US&amp;offset=0&amp;query=any,contains,991002990739702656","Catalog Record")</f>
        <v>Catalog Record</v>
      </c>
      <c r="AT743" s="6" t="str">
        <f>HYPERLINK("http://www.worldcat.org/oclc/560429","WorldCat Record")</f>
        <v>WorldCat Record</v>
      </c>
      <c r="AU743" s="3" t="s">
        <v>8954</v>
      </c>
      <c r="AV743" s="3" t="s">
        <v>8955</v>
      </c>
      <c r="AW743" s="3" t="s">
        <v>8956</v>
      </c>
      <c r="AX743" s="3" t="s">
        <v>8956</v>
      </c>
      <c r="AY743" s="3" t="s">
        <v>8957</v>
      </c>
      <c r="AZ743" s="3" t="s">
        <v>74</v>
      </c>
      <c r="BC743" s="3" t="s">
        <v>8958</v>
      </c>
      <c r="BD743" s="3" t="s">
        <v>8959</v>
      </c>
    </row>
    <row r="744" spans="1:56" ht="57.75" customHeight="1" x14ac:dyDescent="0.25">
      <c r="A744" s="7" t="s">
        <v>59</v>
      </c>
      <c r="B744" s="2" t="s">
        <v>8960</v>
      </c>
      <c r="C744" s="2" t="s">
        <v>8961</v>
      </c>
      <c r="D744" s="2" t="s">
        <v>8962</v>
      </c>
      <c r="F744" s="3" t="s">
        <v>59</v>
      </c>
      <c r="G744" s="3" t="s">
        <v>60</v>
      </c>
      <c r="H744" s="3" t="s">
        <v>59</v>
      </c>
      <c r="I744" s="3" t="s">
        <v>59</v>
      </c>
      <c r="J744" s="3" t="s">
        <v>61</v>
      </c>
      <c r="K744" s="2" t="s">
        <v>8413</v>
      </c>
      <c r="L744" s="2" t="s">
        <v>8963</v>
      </c>
      <c r="M744" s="3" t="s">
        <v>481</v>
      </c>
      <c r="N744" s="2" t="s">
        <v>1596</v>
      </c>
      <c r="O744" s="3" t="s">
        <v>64</v>
      </c>
      <c r="P744" s="3" t="s">
        <v>467</v>
      </c>
      <c r="R744" s="3" t="s">
        <v>67</v>
      </c>
      <c r="S744" s="4">
        <v>10</v>
      </c>
      <c r="T744" s="4">
        <v>10</v>
      </c>
      <c r="U744" s="5" t="s">
        <v>8925</v>
      </c>
      <c r="V744" s="5" t="s">
        <v>8925</v>
      </c>
      <c r="W744" s="5" t="s">
        <v>8964</v>
      </c>
      <c r="X744" s="5" t="s">
        <v>8964</v>
      </c>
      <c r="Y744" s="4">
        <v>857</v>
      </c>
      <c r="Z744" s="4">
        <v>809</v>
      </c>
      <c r="AA744" s="4">
        <v>1016</v>
      </c>
      <c r="AB744" s="4">
        <v>5</v>
      </c>
      <c r="AC744" s="4">
        <v>5</v>
      </c>
      <c r="AD744" s="4">
        <v>22</v>
      </c>
      <c r="AE744" s="4">
        <v>26</v>
      </c>
      <c r="AF744" s="4">
        <v>12</v>
      </c>
      <c r="AG744" s="4">
        <v>13</v>
      </c>
      <c r="AH744" s="4">
        <v>2</v>
      </c>
      <c r="AI744" s="4">
        <v>3</v>
      </c>
      <c r="AJ744" s="4">
        <v>8</v>
      </c>
      <c r="AK744" s="4">
        <v>12</v>
      </c>
      <c r="AL744" s="4">
        <v>4</v>
      </c>
      <c r="AM744" s="4">
        <v>4</v>
      </c>
      <c r="AN744" s="4">
        <v>0</v>
      </c>
      <c r="AO744" s="4">
        <v>0</v>
      </c>
      <c r="AP744" s="3" t="s">
        <v>59</v>
      </c>
      <c r="AQ744" s="3" t="s">
        <v>69</v>
      </c>
      <c r="AR744" s="6" t="str">
        <f>HYPERLINK("http://catalog.hathitrust.org/Record/001501157","HathiTrust Record")</f>
        <v>HathiTrust Record</v>
      </c>
      <c r="AS744" s="6" t="str">
        <f>HYPERLINK("https://creighton-primo.hosted.exlibrisgroup.com/primo-explore/search?tab=default_tab&amp;search_scope=EVERYTHING&amp;vid=01CRU&amp;lang=en_US&amp;offset=0&amp;query=any,contains,991003641279702656","Catalog Record")</f>
        <v>Catalog Record</v>
      </c>
      <c r="AT744" s="6" t="str">
        <f>HYPERLINK("http://www.worldcat.org/oclc/1239102","WorldCat Record")</f>
        <v>WorldCat Record</v>
      </c>
      <c r="AU744" s="3" t="s">
        <v>8965</v>
      </c>
      <c r="AV744" s="3" t="s">
        <v>8966</v>
      </c>
      <c r="AW744" s="3" t="s">
        <v>8967</v>
      </c>
      <c r="AX744" s="3" t="s">
        <v>8967</v>
      </c>
      <c r="AY744" s="3" t="s">
        <v>8968</v>
      </c>
      <c r="AZ744" s="3" t="s">
        <v>74</v>
      </c>
      <c r="BC744" s="3" t="s">
        <v>8969</v>
      </c>
      <c r="BD744" s="3" t="s">
        <v>8970</v>
      </c>
    </row>
    <row r="745" spans="1:56" ht="57.75" customHeight="1" x14ac:dyDescent="0.25">
      <c r="A745" s="7" t="s">
        <v>59</v>
      </c>
      <c r="B745" s="2" t="s">
        <v>8971</v>
      </c>
      <c r="C745" s="2" t="s">
        <v>8972</v>
      </c>
      <c r="D745" s="2" t="s">
        <v>8973</v>
      </c>
      <c r="F745" s="3" t="s">
        <v>59</v>
      </c>
      <c r="G745" s="3" t="s">
        <v>60</v>
      </c>
      <c r="H745" s="3" t="s">
        <v>59</v>
      </c>
      <c r="I745" s="3" t="s">
        <v>59</v>
      </c>
      <c r="J745" s="3" t="s">
        <v>61</v>
      </c>
      <c r="K745" s="2" t="s">
        <v>8413</v>
      </c>
      <c r="L745" s="2" t="s">
        <v>8974</v>
      </c>
      <c r="M745" s="3" t="s">
        <v>239</v>
      </c>
      <c r="N745" s="2" t="s">
        <v>8975</v>
      </c>
      <c r="O745" s="3" t="s">
        <v>64</v>
      </c>
      <c r="P745" s="3" t="s">
        <v>1253</v>
      </c>
      <c r="R745" s="3" t="s">
        <v>67</v>
      </c>
      <c r="S745" s="4">
        <v>4</v>
      </c>
      <c r="T745" s="4">
        <v>4</v>
      </c>
      <c r="U745" s="5" t="s">
        <v>8976</v>
      </c>
      <c r="V745" s="5" t="s">
        <v>8976</v>
      </c>
      <c r="W745" s="5" t="s">
        <v>8977</v>
      </c>
      <c r="X745" s="5" t="s">
        <v>8977</v>
      </c>
      <c r="Y745" s="4">
        <v>18</v>
      </c>
      <c r="Z745" s="4">
        <v>18</v>
      </c>
      <c r="AA745" s="4">
        <v>196</v>
      </c>
      <c r="AB745" s="4">
        <v>1</v>
      </c>
      <c r="AC745" s="4">
        <v>1</v>
      </c>
      <c r="AD745" s="4">
        <v>0</v>
      </c>
      <c r="AE745" s="4">
        <v>0</v>
      </c>
      <c r="AF745" s="4">
        <v>0</v>
      </c>
      <c r="AG745" s="4">
        <v>0</v>
      </c>
      <c r="AH745" s="4">
        <v>0</v>
      </c>
      <c r="AI745" s="4">
        <v>0</v>
      </c>
      <c r="AJ745" s="4">
        <v>0</v>
      </c>
      <c r="AK745" s="4">
        <v>0</v>
      </c>
      <c r="AL745" s="4">
        <v>0</v>
      </c>
      <c r="AM745" s="4">
        <v>0</v>
      </c>
      <c r="AN745" s="4">
        <v>0</v>
      </c>
      <c r="AO745" s="4">
        <v>0</v>
      </c>
      <c r="AP745" s="3" t="s">
        <v>59</v>
      </c>
      <c r="AQ745" s="3" t="s">
        <v>59</v>
      </c>
      <c r="AS745" s="6" t="str">
        <f>HYPERLINK("https://creighton-primo.hosted.exlibrisgroup.com/primo-explore/search?tab=default_tab&amp;search_scope=EVERYTHING&amp;vid=01CRU&amp;lang=en_US&amp;offset=0&amp;query=any,contains,991003208889702656","Catalog Record")</f>
        <v>Catalog Record</v>
      </c>
      <c r="AT745" s="6" t="str">
        <f>HYPERLINK("http://www.worldcat.org/oclc/37151477","WorldCat Record")</f>
        <v>WorldCat Record</v>
      </c>
      <c r="AU745" s="3" t="s">
        <v>8978</v>
      </c>
      <c r="AV745" s="3" t="s">
        <v>8979</v>
      </c>
      <c r="AW745" s="3" t="s">
        <v>8980</v>
      </c>
      <c r="AX745" s="3" t="s">
        <v>8980</v>
      </c>
      <c r="AY745" s="3" t="s">
        <v>8981</v>
      </c>
      <c r="AZ745" s="3" t="s">
        <v>74</v>
      </c>
      <c r="BB745" s="3" t="s">
        <v>8982</v>
      </c>
      <c r="BC745" s="3" t="s">
        <v>8983</v>
      </c>
      <c r="BD745" s="3" t="s">
        <v>8984</v>
      </c>
    </row>
    <row r="746" spans="1:56" ht="57.75" customHeight="1" x14ac:dyDescent="0.25">
      <c r="A746" s="7" t="s">
        <v>59</v>
      </c>
      <c r="B746" s="2" t="s">
        <v>8985</v>
      </c>
      <c r="C746" s="2" t="s">
        <v>8986</v>
      </c>
      <c r="D746" s="2" t="s">
        <v>8987</v>
      </c>
      <c r="F746" s="3" t="s">
        <v>59</v>
      </c>
      <c r="G746" s="3" t="s">
        <v>60</v>
      </c>
      <c r="H746" s="3" t="s">
        <v>59</v>
      </c>
      <c r="I746" s="3" t="s">
        <v>59</v>
      </c>
      <c r="J746" s="3" t="s">
        <v>61</v>
      </c>
      <c r="L746" s="2" t="s">
        <v>8988</v>
      </c>
      <c r="M746" s="3" t="s">
        <v>1102</v>
      </c>
      <c r="O746" s="3" t="s">
        <v>64</v>
      </c>
      <c r="P746" s="3" t="s">
        <v>145</v>
      </c>
      <c r="R746" s="3" t="s">
        <v>67</v>
      </c>
      <c r="S746" s="4">
        <v>10</v>
      </c>
      <c r="T746" s="4">
        <v>10</v>
      </c>
      <c r="U746" s="5" t="s">
        <v>1513</v>
      </c>
      <c r="V746" s="5" t="s">
        <v>1513</v>
      </c>
      <c r="W746" s="5" t="s">
        <v>3814</v>
      </c>
      <c r="X746" s="5" t="s">
        <v>3814</v>
      </c>
      <c r="Y746" s="4">
        <v>143</v>
      </c>
      <c r="Z746" s="4">
        <v>110</v>
      </c>
      <c r="AA746" s="4">
        <v>114</v>
      </c>
      <c r="AB746" s="4">
        <v>1</v>
      </c>
      <c r="AC746" s="4">
        <v>1</v>
      </c>
      <c r="AD746" s="4">
        <v>1</v>
      </c>
      <c r="AE746" s="4">
        <v>1</v>
      </c>
      <c r="AF746" s="4">
        <v>1</v>
      </c>
      <c r="AG746" s="4">
        <v>1</v>
      </c>
      <c r="AH746" s="4">
        <v>0</v>
      </c>
      <c r="AI746" s="4">
        <v>0</v>
      </c>
      <c r="AJ746" s="4">
        <v>0</v>
      </c>
      <c r="AK746" s="4">
        <v>0</v>
      </c>
      <c r="AL746" s="4">
        <v>0</v>
      </c>
      <c r="AM746" s="4">
        <v>0</v>
      </c>
      <c r="AN746" s="4">
        <v>0</v>
      </c>
      <c r="AO746" s="4">
        <v>0</v>
      </c>
      <c r="AP746" s="3" t="s">
        <v>59</v>
      </c>
      <c r="AQ746" s="3" t="s">
        <v>69</v>
      </c>
      <c r="AR746" s="6" t="str">
        <f>HYPERLINK("http://catalog.hathitrust.org/Record/001943191","HathiTrust Record")</f>
        <v>HathiTrust Record</v>
      </c>
      <c r="AS746" s="6" t="str">
        <f>HYPERLINK("https://creighton-primo.hosted.exlibrisgroup.com/primo-explore/search?tab=default_tab&amp;search_scope=EVERYTHING&amp;vid=01CRU&amp;lang=en_US&amp;offset=0&amp;query=any,contains,991001590519702656","Catalog Record")</f>
        <v>Catalog Record</v>
      </c>
      <c r="AT746" s="6" t="str">
        <f>HYPERLINK("http://www.worldcat.org/oclc/20566795","WorldCat Record")</f>
        <v>WorldCat Record</v>
      </c>
      <c r="AU746" s="3" t="s">
        <v>8989</v>
      </c>
      <c r="AV746" s="3" t="s">
        <v>8990</v>
      </c>
      <c r="AW746" s="3" t="s">
        <v>8991</v>
      </c>
      <c r="AX746" s="3" t="s">
        <v>8991</v>
      </c>
      <c r="AY746" s="3" t="s">
        <v>8992</v>
      </c>
      <c r="AZ746" s="3" t="s">
        <v>74</v>
      </c>
      <c r="BB746" s="3" t="s">
        <v>8993</v>
      </c>
      <c r="BC746" s="3" t="s">
        <v>8994</v>
      </c>
      <c r="BD746" s="3" t="s">
        <v>8995</v>
      </c>
    </row>
    <row r="747" spans="1:56" ht="57.75" customHeight="1" x14ac:dyDescent="0.25">
      <c r="A747" s="7" t="s">
        <v>59</v>
      </c>
      <c r="B747" s="2" t="s">
        <v>8996</v>
      </c>
      <c r="C747" s="2" t="s">
        <v>8997</v>
      </c>
      <c r="D747" s="2" t="s">
        <v>8998</v>
      </c>
      <c r="F747" s="3" t="s">
        <v>59</v>
      </c>
      <c r="G747" s="3" t="s">
        <v>60</v>
      </c>
      <c r="H747" s="3" t="s">
        <v>59</v>
      </c>
      <c r="I747" s="3" t="s">
        <v>59</v>
      </c>
      <c r="J747" s="3" t="s">
        <v>61</v>
      </c>
      <c r="K747" s="2" t="s">
        <v>8999</v>
      </c>
      <c r="L747" s="2" t="s">
        <v>9000</v>
      </c>
      <c r="M747" s="3" t="s">
        <v>1102</v>
      </c>
      <c r="O747" s="3" t="s">
        <v>64</v>
      </c>
      <c r="P747" s="3" t="s">
        <v>145</v>
      </c>
      <c r="R747" s="3" t="s">
        <v>67</v>
      </c>
      <c r="S747" s="4">
        <v>16</v>
      </c>
      <c r="T747" s="4">
        <v>16</v>
      </c>
      <c r="U747" s="5" t="s">
        <v>4072</v>
      </c>
      <c r="V747" s="5" t="s">
        <v>4072</v>
      </c>
      <c r="W747" s="5" t="s">
        <v>9001</v>
      </c>
      <c r="X747" s="5" t="s">
        <v>9001</v>
      </c>
      <c r="Y747" s="4">
        <v>1037</v>
      </c>
      <c r="Z747" s="4">
        <v>916</v>
      </c>
      <c r="AA747" s="4">
        <v>927</v>
      </c>
      <c r="AB747" s="4">
        <v>10</v>
      </c>
      <c r="AC747" s="4">
        <v>10</v>
      </c>
      <c r="AD747" s="4">
        <v>27</v>
      </c>
      <c r="AE747" s="4">
        <v>27</v>
      </c>
      <c r="AF747" s="4">
        <v>8</v>
      </c>
      <c r="AG747" s="4">
        <v>8</v>
      </c>
      <c r="AH747" s="4">
        <v>2</v>
      </c>
      <c r="AI747" s="4">
        <v>2</v>
      </c>
      <c r="AJ747" s="4">
        <v>14</v>
      </c>
      <c r="AK747" s="4">
        <v>14</v>
      </c>
      <c r="AL747" s="4">
        <v>7</v>
      </c>
      <c r="AM747" s="4">
        <v>7</v>
      </c>
      <c r="AN747" s="4">
        <v>0</v>
      </c>
      <c r="AO747" s="4">
        <v>0</v>
      </c>
      <c r="AP747" s="3" t="s">
        <v>59</v>
      </c>
      <c r="AQ747" s="3" t="s">
        <v>69</v>
      </c>
      <c r="AR747" s="6" t="str">
        <f>HYPERLINK("http://catalog.hathitrust.org/Record/001528306","HathiTrust Record")</f>
        <v>HathiTrust Record</v>
      </c>
      <c r="AS747" s="6" t="str">
        <f>HYPERLINK("https://creighton-primo.hosted.exlibrisgroup.com/primo-explore/search?tab=default_tab&amp;search_scope=EVERYTHING&amp;vid=01CRU&amp;lang=en_US&amp;offset=0&amp;query=any,contains,991001360389702656","Catalog Record")</f>
        <v>Catalog Record</v>
      </c>
      <c r="AT747" s="6" t="str">
        <f>HYPERLINK("http://www.worldcat.org/oclc/18520847","WorldCat Record")</f>
        <v>WorldCat Record</v>
      </c>
      <c r="AU747" s="3" t="s">
        <v>9002</v>
      </c>
      <c r="AV747" s="3" t="s">
        <v>9003</v>
      </c>
      <c r="AW747" s="3" t="s">
        <v>9004</v>
      </c>
      <c r="AX747" s="3" t="s">
        <v>9004</v>
      </c>
      <c r="AY747" s="3" t="s">
        <v>9005</v>
      </c>
      <c r="AZ747" s="3" t="s">
        <v>74</v>
      </c>
      <c r="BB747" s="3" t="s">
        <v>9006</v>
      </c>
      <c r="BC747" s="3" t="s">
        <v>9007</v>
      </c>
      <c r="BD747" s="3" t="s">
        <v>9008</v>
      </c>
    </row>
    <row r="748" spans="1:56" ht="57.75" customHeight="1" x14ac:dyDescent="0.25">
      <c r="A748" s="7" t="s">
        <v>59</v>
      </c>
      <c r="B748" s="2" t="s">
        <v>9009</v>
      </c>
      <c r="C748" s="2" t="s">
        <v>9010</v>
      </c>
      <c r="D748" s="2" t="s">
        <v>9011</v>
      </c>
      <c r="F748" s="3" t="s">
        <v>59</v>
      </c>
      <c r="G748" s="3" t="s">
        <v>60</v>
      </c>
      <c r="H748" s="3" t="s">
        <v>59</v>
      </c>
      <c r="I748" s="3" t="s">
        <v>59</v>
      </c>
      <c r="J748" s="3" t="s">
        <v>61</v>
      </c>
      <c r="L748" s="2" t="s">
        <v>9012</v>
      </c>
      <c r="M748" s="3" t="s">
        <v>617</v>
      </c>
      <c r="O748" s="3" t="s">
        <v>64</v>
      </c>
      <c r="P748" s="3" t="s">
        <v>4538</v>
      </c>
      <c r="R748" s="3" t="s">
        <v>67</v>
      </c>
      <c r="S748" s="4">
        <v>6</v>
      </c>
      <c r="T748" s="4">
        <v>6</v>
      </c>
      <c r="U748" s="5" t="s">
        <v>9013</v>
      </c>
      <c r="V748" s="5" t="s">
        <v>9013</v>
      </c>
      <c r="W748" s="5" t="s">
        <v>543</v>
      </c>
      <c r="X748" s="5" t="s">
        <v>543</v>
      </c>
      <c r="Y748" s="4">
        <v>182</v>
      </c>
      <c r="Z748" s="4">
        <v>159</v>
      </c>
      <c r="AA748" s="4">
        <v>184</v>
      </c>
      <c r="AB748" s="4">
        <v>2</v>
      </c>
      <c r="AC748" s="4">
        <v>2</v>
      </c>
      <c r="AD748" s="4">
        <v>2</v>
      </c>
      <c r="AE748" s="4">
        <v>2</v>
      </c>
      <c r="AF748" s="4">
        <v>1</v>
      </c>
      <c r="AG748" s="4">
        <v>1</v>
      </c>
      <c r="AH748" s="4">
        <v>0</v>
      </c>
      <c r="AI748" s="4">
        <v>0</v>
      </c>
      <c r="AJ748" s="4">
        <v>0</v>
      </c>
      <c r="AK748" s="4">
        <v>0</v>
      </c>
      <c r="AL748" s="4">
        <v>1</v>
      </c>
      <c r="AM748" s="4">
        <v>1</v>
      </c>
      <c r="AN748" s="4">
        <v>0</v>
      </c>
      <c r="AO748" s="4">
        <v>0</v>
      </c>
      <c r="AP748" s="3" t="s">
        <v>59</v>
      </c>
      <c r="AQ748" s="3" t="s">
        <v>69</v>
      </c>
      <c r="AR748" s="6" t="str">
        <f>HYPERLINK("http://catalog.hathitrust.org/Record/009133818","HathiTrust Record")</f>
        <v>HathiTrust Record</v>
      </c>
      <c r="AS748" s="6" t="str">
        <f>HYPERLINK("https://creighton-primo.hosted.exlibrisgroup.com/primo-explore/search?tab=default_tab&amp;search_scope=EVERYTHING&amp;vid=01CRU&amp;lang=en_US&amp;offset=0&amp;query=any,contains,991005066899702656","Catalog Record")</f>
        <v>Catalog Record</v>
      </c>
      <c r="AT748" s="6" t="str">
        <f>HYPERLINK("http://www.worldcat.org/oclc/6976133","WorldCat Record")</f>
        <v>WorldCat Record</v>
      </c>
      <c r="AU748" s="3" t="s">
        <v>9014</v>
      </c>
      <c r="AV748" s="3" t="s">
        <v>9015</v>
      </c>
      <c r="AW748" s="3" t="s">
        <v>9016</v>
      </c>
      <c r="AX748" s="3" t="s">
        <v>9016</v>
      </c>
      <c r="AY748" s="3" t="s">
        <v>9017</v>
      </c>
      <c r="AZ748" s="3" t="s">
        <v>74</v>
      </c>
      <c r="BB748" s="3" t="s">
        <v>9018</v>
      </c>
      <c r="BC748" s="3" t="s">
        <v>9019</v>
      </c>
      <c r="BD748" s="3" t="s">
        <v>9020</v>
      </c>
    </row>
    <row r="749" spans="1:56" ht="57.75" customHeight="1" x14ac:dyDescent="0.25">
      <c r="A749" s="7" t="s">
        <v>59</v>
      </c>
      <c r="B749" s="2" t="s">
        <v>9021</v>
      </c>
      <c r="C749" s="2" t="s">
        <v>9022</v>
      </c>
      <c r="D749" s="2" t="s">
        <v>9023</v>
      </c>
      <c r="F749" s="3" t="s">
        <v>59</v>
      </c>
      <c r="G749" s="3" t="s">
        <v>60</v>
      </c>
      <c r="H749" s="3" t="s">
        <v>59</v>
      </c>
      <c r="I749" s="3" t="s">
        <v>59</v>
      </c>
      <c r="J749" s="3" t="s">
        <v>61</v>
      </c>
      <c r="L749" s="2" t="s">
        <v>9024</v>
      </c>
      <c r="M749" s="3" t="s">
        <v>224</v>
      </c>
      <c r="O749" s="3" t="s">
        <v>64</v>
      </c>
      <c r="P749" s="3" t="s">
        <v>405</v>
      </c>
      <c r="Q749" s="2" t="s">
        <v>9025</v>
      </c>
      <c r="R749" s="3" t="s">
        <v>67</v>
      </c>
      <c r="S749" s="4">
        <v>3</v>
      </c>
      <c r="T749" s="4">
        <v>3</v>
      </c>
      <c r="U749" s="5" t="s">
        <v>9013</v>
      </c>
      <c r="V749" s="5" t="s">
        <v>9013</v>
      </c>
      <c r="W749" s="5" t="s">
        <v>9026</v>
      </c>
      <c r="X749" s="5" t="s">
        <v>9026</v>
      </c>
      <c r="Y749" s="4">
        <v>232</v>
      </c>
      <c r="Z749" s="4">
        <v>148</v>
      </c>
      <c r="AA749" s="4">
        <v>148</v>
      </c>
      <c r="AB749" s="4">
        <v>1</v>
      </c>
      <c r="AC749" s="4">
        <v>1</v>
      </c>
      <c r="AD749" s="4">
        <v>4</v>
      </c>
      <c r="AE749" s="4">
        <v>4</v>
      </c>
      <c r="AF749" s="4">
        <v>0</v>
      </c>
      <c r="AG749" s="4">
        <v>0</v>
      </c>
      <c r="AH749" s="4">
        <v>3</v>
      </c>
      <c r="AI749" s="4">
        <v>3</v>
      </c>
      <c r="AJ749" s="4">
        <v>3</v>
      </c>
      <c r="AK749" s="4">
        <v>3</v>
      </c>
      <c r="AL749" s="4">
        <v>0</v>
      </c>
      <c r="AM749" s="4">
        <v>0</v>
      </c>
      <c r="AN749" s="4">
        <v>0</v>
      </c>
      <c r="AO749" s="4">
        <v>0</v>
      </c>
      <c r="AP749" s="3" t="s">
        <v>59</v>
      </c>
      <c r="AQ749" s="3" t="s">
        <v>59</v>
      </c>
      <c r="AS749" s="6" t="str">
        <f>HYPERLINK("https://creighton-primo.hosted.exlibrisgroup.com/primo-explore/search?tab=default_tab&amp;search_scope=EVERYTHING&amp;vid=01CRU&amp;lang=en_US&amp;offset=0&amp;query=any,contains,991005143049702656","Catalog Record")</f>
        <v>Catalog Record</v>
      </c>
      <c r="AT749" s="6" t="str">
        <f>HYPERLINK("http://www.worldcat.org/oclc/137221640","WorldCat Record")</f>
        <v>WorldCat Record</v>
      </c>
      <c r="AU749" s="3" t="s">
        <v>9027</v>
      </c>
      <c r="AV749" s="3" t="s">
        <v>9028</v>
      </c>
      <c r="AW749" s="3" t="s">
        <v>9029</v>
      </c>
      <c r="AX749" s="3" t="s">
        <v>9029</v>
      </c>
      <c r="AY749" s="3" t="s">
        <v>9030</v>
      </c>
      <c r="AZ749" s="3" t="s">
        <v>74</v>
      </c>
      <c r="BB749" s="3" t="s">
        <v>9031</v>
      </c>
      <c r="BC749" s="3" t="s">
        <v>9032</v>
      </c>
      <c r="BD749" s="3" t="s">
        <v>9033</v>
      </c>
    </row>
    <row r="750" spans="1:56" ht="57.75" customHeight="1" x14ac:dyDescent="0.25">
      <c r="A750" s="7" t="s">
        <v>59</v>
      </c>
      <c r="B750" s="2" t="s">
        <v>9034</v>
      </c>
      <c r="C750" s="2" t="s">
        <v>9035</v>
      </c>
      <c r="D750" s="2" t="s">
        <v>9036</v>
      </c>
      <c r="F750" s="3" t="s">
        <v>59</v>
      </c>
      <c r="G750" s="3" t="s">
        <v>60</v>
      </c>
      <c r="H750" s="3" t="s">
        <v>59</v>
      </c>
      <c r="I750" s="3" t="s">
        <v>59</v>
      </c>
      <c r="J750" s="3" t="s">
        <v>61</v>
      </c>
      <c r="K750" s="2" t="s">
        <v>9037</v>
      </c>
      <c r="L750" s="2" t="s">
        <v>9038</v>
      </c>
      <c r="M750" s="3" t="s">
        <v>239</v>
      </c>
      <c r="O750" s="3" t="s">
        <v>64</v>
      </c>
      <c r="P750" s="3" t="s">
        <v>467</v>
      </c>
      <c r="R750" s="3" t="s">
        <v>67</v>
      </c>
      <c r="S750" s="4">
        <v>7</v>
      </c>
      <c r="T750" s="4">
        <v>7</v>
      </c>
      <c r="U750" s="5" t="s">
        <v>9013</v>
      </c>
      <c r="V750" s="5" t="s">
        <v>9013</v>
      </c>
      <c r="W750" s="5" t="s">
        <v>9039</v>
      </c>
      <c r="X750" s="5" t="s">
        <v>9039</v>
      </c>
      <c r="Y750" s="4">
        <v>316</v>
      </c>
      <c r="Z750" s="4">
        <v>310</v>
      </c>
      <c r="AA750" s="4">
        <v>315</v>
      </c>
      <c r="AB750" s="4">
        <v>1</v>
      </c>
      <c r="AC750" s="4">
        <v>1</v>
      </c>
      <c r="AD750" s="4">
        <v>5</v>
      </c>
      <c r="AE750" s="4">
        <v>5</v>
      </c>
      <c r="AF750" s="4">
        <v>2</v>
      </c>
      <c r="AG750" s="4">
        <v>2</v>
      </c>
      <c r="AH750" s="4">
        <v>1</v>
      </c>
      <c r="AI750" s="4">
        <v>1</v>
      </c>
      <c r="AJ750" s="4">
        <v>3</v>
      </c>
      <c r="AK750" s="4">
        <v>3</v>
      </c>
      <c r="AL750" s="4">
        <v>0</v>
      </c>
      <c r="AM750" s="4">
        <v>0</v>
      </c>
      <c r="AN750" s="4">
        <v>0</v>
      </c>
      <c r="AO750" s="4">
        <v>0</v>
      </c>
      <c r="AP750" s="3" t="s">
        <v>59</v>
      </c>
      <c r="AQ750" s="3" t="s">
        <v>59</v>
      </c>
      <c r="AS750" s="6" t="str">
        <f>HYPERLINK("https://creighton-primo.hosted.exlibrisgroup.com/primo-explore/search?tab=default_tab&amp;search_scope=EVERYTHING&amp;vid=01CRU&amp;lang=en_US&amp;offset=0&amp;query=any,contains,991002512799702656","Catalog Record")</f>
        <v>Catalog Record</v>
      </c>
      <c r="AT750" s="6" t="str">
        <f>HYPERLINK("http://www.worldcat.org/oclc/32665991","WorldCat Record")</f>
        <v>WorldCat Record</v>
      </c>
      <c r="AU750" s="3" t="s">
        <v>9040</v>
      </c>
      <c r="AV750" s="3" t="s">
        <v>9041</v>
      </c>
      <c r="AW750" s="3" t="s">
        <v>9042</v>
      </c>
      <c r="AX750" s="3" t="s">
        <v>9042</v>
      </c>
      <c r="AY750" s="3" t="s">
        <v>9043</v>
      </c>
      <c r="AZ750" s="3" t="s">
        <v>74</v>
      </c>
      <c r="BB750" s="3" t="s">
        <v>9044</v>
      </c>
      <c r="BC750" s="3" t="s">
        <v>9045</v>
      </c>
      <c r="BD750" s="3" t="s">
        <v>9046</v>
      </c>
    </row>
    <row r="751" spans="1:56" ht="57.75" customHeight="1" x14ac:dyDescent="0.25">
      <c r="A751" s="7" t="s">
        <v>59</v>
      </c>
      <c r="B751" s="2" t="s">
        <v>9047</v>
      </c>
      <c r="C751" s="2" t="s">
        <v>9048</v>
      </c>
      <c r="D751" s="2" t="s">
        <v>9049</v>
      </c>
      <c r="F751" s="3" t="s">
        <v>59</v>
      </c>
      <c r="G751" s="3" t="s">
        <v>60</v>
      </c>
      <c r="H751" s="3" t="s">
        <v>59</v>
      </c>
      <c r="I751" s="3" t="s">
        <v>59</v>
      </c>
      <c r="J751" s="3" t="s">
        <v>61</v>
      </c>
      <c r="K751" s="2" t="s">
        <v>9050</v>
      </c>
      <c r="L751" s="2" t="s">
        <v>9051</v>
      </c>
      <c r="M751" s="3" t="s">
        <v>2202</v>
      </c>
      <c r="O751" s="3" t="s">
        <v>64</v>
      </c>
      <c r="P751" s="3" t="s">
        <v>467</v>
      </c>
      <c r="R751" s="3" t="s">
        <v>67</v>
      </c>
      <c r="S751" s="4">
        <v>1</v>
      </c>
      <c r="T751" s="4">
        <v>1</v>
      </c>
      <c r="U751" s="5" t="s">
        <v>9052</v>
      </c>
      <c r="V751" s="5" t="s">
        <v>9052</v>
      </c>
      <c r="W751" s="5" t="s">
        <v>1446</v>
      </c>
      <c r="X751" s="5" t="s">
        <v>1446</v>
      </c>
      <c r="Y751" s="4">
        <v>272</v>
      </c>
      <c r="Z751" s="4">
        <v>261</v>
      </c>
      <c r="AA751" s="4">
        <v>282</v>
      </c>
      <c r="AB751" s="4">
        <v>3</v>
      </c>
      <c r="AC751" s="4">
        <v>3</v>
      </c>
      <c r="AD751" s="4">
        <v>10</v>
      </c>
      <c r="AE751" s="4">
        <v>10</v>
      </c>
      <c r="AF751" s="4">
        <v>2</v>
      </c>
      <c r="AG751" s="4">
        <v>2</v>
      </c>
      <c r="AH751" s="4">
        <v>2</v>
      </c>
      <c r="AI751" s="4">
        <v>2</v>
      </c>
      <c r="AJ751" s="4">
        <v>5</v>
      </c>
      <c r="AK751" s="4">
        <v>5</v>
      </c>
      <c r="AL751" s="4">
        <v>2</v>
      </c>
      <c r="AM751" s="4">
        <v>2</v>
      </c>
      <c r="AN751" s="4">
        <v>0</v>
      </c>
      <c r="AO751" s="4">
        <v>0</v>
      </c>
      <c r="AP751" s="3" t="s">
        <v>59</v>
      </c>
      <c r="AQ751" s="3" t="s">
        <v>69</v>
      </c>
      <c r="AR751" s="6" t="str">
        <f>HYPERLINK("http://catalog.hathitrust.org/Record/001498873","HathiTrust Record")</f>
        <v>HathiTrust Record</v>
      </c>
      <c r="AS751" s="6" t="str">
        <f>HYPERLINK("https://creighton-primo.hosted.exlibrisgroup.com/primo-explore/search?tab=default_tab&amp;search_scope=EVERYTHING&amp;vid=01CRU&amp;lang=en_US&amp;offset=0&amp;query=any,contains,991000148159702656","Catalog Record")</f>
        <v>Catalog Record</v>
      </c>
      <c r="AT751" s="6" t="str">
        <f>HYPERLINK("http://www.worldcat.org/oclc/59369","WorldCat Record")</f>
        <v>WorldCat Record</v>
      </c>
      <c r="AU751" s="3" t="s">
        <v>9053</v>
      </c>
      <c r="AV751" s="3" t="s">
        <v>9054</v>
      </c>
      <c r="AW751" s="3" t="s">
        <v>9055</v>
      </c>
      <c r="AX751" s="3" t="s">
        <v>9055</v>
      </c>
      <c r="AY751" s="3" t="s">
        <v>9056</v>
      </c>
      <c r="AZ751" s="3" t="s">
        <v>74</v>
      </c>
      <c r="BC751" s="3" t="s">
        <v>9057</v>
      </c>
      <c r="BD751" s="3" t="s">
        <v>9058</v>
      </c>
    </row>
    <row r="752" spans="1:56" ht="57.75" customHeight="1" x14ac:dyDescent="0.25">
      <c r="A752" s="7" t="s">
        <v>59</v>
      </c>
      <c r="B752" s="2" t="s">
        <v>9059</v>
      </c>
      <c r="C752" s="2" t="s">
        <v>9060</v>
      </c>
      <c r="D752" s="2" t="s">
        <v>9061</v>
      </c>
      <c r="F752" s="3" t="s">
        <v>59</v>
      </c>
      <c r="G752" s="3" t="s">
        <v>60</v>
      </c>
      <c r="H752" s="3" t="s">
        <v>59</v>
      </c>
      <c r="I752" s="3" t="s">
        <v>59</v>
      </c>
      <c r="J752" s="3" t="s">
        <v>61</v>
      </c>
      <c r="K752" s="2" t="s">
        <v>9062</v>
      </c>
      <c r="L752" s="2" t="s">
        <v>9063</v>
      </c>
      <c r="M752" s="3" t="s">
        <v>2244</v>
      </c>
      <c r="N752" s="2" t="s">
        <v>556</v>
      </c>
      <c r="O752" s="3" t="s">
        <v>64</v>
      </c>
      <c r="P752" s="3" t="s">
        <v>467</v>
      </c>
      <c r="R752" s="3" t="s">
        <v>67</v>
      </c>
      <c r="S752" s="4">
        <v>6</v>
      </c>
      <c r="T752" s="4">
        <v>6</v>
      </c>
      <c r="U752" s="5" t="s">
        <v>8475</v>
      </c>
      <c r="V752" s="5" t="s">
        <v>8475</v>
      </c>
      <c r="W752" s="5" t="s">
        <v>7645</v>
      </c>
      <c r="X752" s="5" t="s">
        <v>7645</v>
      </c>
      <c r="Y752" s="4">
        <v>904</v>
      </c>
      <c r="Z752" s="4">
        <v>877</v>
      </c>
      <c r="AA752" s="4">
        <v>1070</v>
      </c>
      <c r="AB752" s="4">
        <v>9</v>
      </c>
      <c r="AC752" s="4">
        <v>11</v>
      </c>
      <c r="AD752" s="4">
        <v>20</v>
      </c>
      <c r="AE752" s="4">
        <v>22</v>
      </c>
      <c r="AF752" s="4">
        <v>8</v>
      </c>
      <c r="AG752" s="4">
        <v>8</v>
      </c>
      <c r="AH752" s="4">
        <v>4</v>
      </c>
      <c r="AI752" s="4">
        <v>5</v>
      </c>
      <c r="AJ752" s="4">
        <v>7</v>
      </c>
      <c r="AK752" s="4">
        <v>9</v>
      </c>
      <c r="AL752" s="4">
        <v>5</v>
      </c>
      <c r="AM752" s="4">
        <v>5</v>
      </c>
      <c r="AN752" s="4">
        <v>0</v>
      </c>
      <c r="AO752" s="4">
        <v>0</v>
      </c>
      <c r="AP752" s="3" t="s">
        <v>59</v>
      </c>
      <c r="AQ752" s="3" t="s">
        <v>69</v>
      </c>
      <c r="AR752" s="6" t="str">
        <f>HYPERLINK("http://catalog.hathitrust.org/Record/002499211","HathiTrust Record")</f>
        <v>HathiTrust Record</v>
      </c>
      <c r="AS752" s="6" t="str">
        <f>HYPERLINK("https://creighton-primo.hosted.exlibrisgroup.com/primo-explore/search?tab=default_tab&amp;search_scope=EVERYTHING&amp;vid=01CRU&amp;lang=en_US&amp;offset=0&amp;query=any,contains,991001881499702656","Catalog Record")</f>
        <v>Catalog Record</v>
      </c>
      <c r="AT752" s="6" t="str">
        <f>HYPERLINK("http://www.worldcat.org/oclc/23732305","WorldCat Record")</f>
        <v>WorldCat Record</v>
      </c>
      <c r="AU752" s="3" t="s">
        <v>9064</v>
      </c>
      <c r="AV752" s="3" t="s">
        <v>9065</v>
      </c>
      <c r="AW752" s="3" t="s">
        <v>9066</v>
      </c>
      <c r="AX752" s="3" t="s">
        <v>9066</v>
      </c>
      <c r="AY752" s="3" t="s">
        <v>9067</v>
      </c>
      <c r="AZ752" s="3" t="s">
        <v>74</v>
      </c>
      <c r="BB752" s="3" t="s">
        <v>9068</v>
      </c>
      <c r="BC752" s="3" t="s">
        <v>9069</v>
      </c>
      <c r="BD752" s="3" t="s">
        <v>9070</v>
      </c>
    </row>
    <row r="753" spans="1:56" ht="57.75" customHeight="1" x14ac:dyDescent="0.25">
      <c r="A753" s="7" t="s">
        <v>59</v>
      </c>
      <c r="B753" s="2" t="s">
        <v>9071</v>
      </c>
      <c r="C753" s="2" t="s">
        <v>9072</v>
      </c>
      <c r="D753" s="2" t="s">
        <v>9073</v>
      </c>
      <c r="F753" s="3" t="s">
        <v>59</v>
      </c>
      <c r="G753" s="3" t="s">
        <v>60</v>
      </c>
      <c r="H753" s="3" t="s">
        <v>59</v>
      </c>
      <c r="I753" s="3" t="s">
        <v>59</v>
      </c>
      <c r="J753" s="3" t="s">
        <v>61</v>
      </c>
      <c r="K753" s="2" t="s">
        <v>9074</v>
      </c>
      <c r="L753" s="2" t="s">
        <v>9075</v>
      </c>
      <c r="M753" s="3" t="s">
        <v>3095</v>
      </c>
      <c r="O753" s="3" t="s">
        <v>64</v>
      </c>
      <c r="P753" s="3" t="s">
        <v>405</v>
      </c>
      <c r="R753" s="3" t="s">
        <v>67</v>
      </c>
      <c r="S753" s="4">
        <v>7</v>
      </c>
      <c r="T753" s="4">
        <v>7</v>
      </c>
      <c r="U753" s="5" t="s">
        <v>9076</v>
      </c>
      <c r="V753" s="5" t="s">
        <v>9076</v>
      </c>
      <c r="W753" s="5" t="s">
        <v>575</v>
      </c>
      <c r="X753" s="5" t="s">
        <v>575</v>
      </c>
      <c r="Y753" s="4">
        <v>328</v>
      </c>
      <c r="Z753" s="4">
        <v>217</v>
      </c>
      <c r="AA753" s="4">
        <v>251</v>
      </c>
      <c r="AB753" s="4">
        <v>2</v>
      </c>
      <c r="AC753" s="4">
        <v>2</v>
      </c>
      <c r="AD753" s="4">
        <v>5</v>
      </c>
      <c r="AE753" s="4">
        <v>5</v>
      </c>
      <c r="AF753" s="4">
        <v>2</v>
      </c>
      <c r="AG753" s="4">
        <v>2</v>
      </c>
      <c r="AH753" s="4">
        <v>2</v>
      </c>
      <c r="AI753" s="4">
        <v>2</v>
      </c>
      <c r="AJ753" s="4">
        <v>1</v>
      </c>
      <c r="AK753" s="4">
        <v>1</v>
      </c>
      <c r="AL753" s="4">
        <v>1</v>
      </c>
      <c r="AM753" s="4">
        <v>1</v>
      </c>
      <c r="AN753" s="4">
        <v>0</v>
      </c>
      <c r="AO753" s="4">
        <v>0</v>
      </c>
      <c r="AP753" s="3" t="s">
        <v>59</v>
      </c>
      <c r="AQ753" s="3" t="s">
        <v>69</v>
      </c>
      <c r="AR753" s="6" t="str">
        <f>HYPERLINK("http://catalog.hathitrust.org/Record/000704020","HathiTrust Record")</f>
        <v>HathiTrust Record</v>
      </c>
      <c r="AS753" s="6" t="str">
        <f>HYPERLINK("https://creighton-primo.hosted.exlibrisgroup.com/primo-explore/search?tab=default_tab&amp;search_scope=EVERYTHING&amp;vid=01CRU&amp;lang=en_US&amp;offset=0&amp;query=any,contains,991003899699702656","Catalog Record")</f>
        <v>Catalog Record</v>
      </c>
      <c r="AT753" s="6" t="str">
        <f>HYPERLINK("http://www.worldcat.org/oclc/1818802","WorldCat Record")</f>
        <v>WorldCat Record</v>
      </c>
      <c r="AU753" s="3" t="s">
        <v>9077</v>
      </c>
      <c r="AV753" s="3" t="s">
        <v>9078</v>
      </c>
      <c r="AW753" s="3" t="s">
        <v>9079</v>
      </c>
      <c r="AX753" s="3" t="s">
        <v>9079</v>
      </c>
      <c r="AY753" s="3" t="s">
        <v>9080</v>
      </c>
      <c r="AZ753" s="3" t="s">
        <v>74</v>
      </c>
      <c r="BB753" s="3" t="s">
        <v>9081</v>
      </c>
      <c r="BC753" s="3" t="s">
        <v>9082</v>
      </c>
      <c r="BD753" s="3" t="s">
        <v>9083</v>
      </c>
    </row>
    <row r="754" spans="1:56" ht="57.75" customHeight="1" x14ac:dyDescent="0.25">
      <c r="A754" s="7" t="s">
        <v>59</v>
      </c>
      <c r="B754" s="2" t="s">
        <v>9084</v>
      </c>
      <c r="C754" s="2" t="s">
        <v>9085</v>
      </c>
      <c r="D754" s="2" t="s">
        <v>9086</v>
      </c>
      <c r="F754" s="3" t="s">
        <v>59</v>
      </c>
      <c r="G754" s="3" t="s">
        <v>60</v>
      </c>
      <c r="H754" s="3" t="s">
        <v>59</v>
      </c>
      <c r="I754" s="3" t="s">
        <v>59</v>
      </c>
      <c r="J754" s="3" t="s">
        <v>61</v>
      </c>
      <c r="K754" s="2" t="s">
        <v>9087</v>
      </c>
      <c r="L754" s="2" t="s">
        <v>9088</v>
      </c>
      <c r="M754" s="3" t="s">
        <v>1757</v>
      </c>
      <c r="O754" s="3" t="s">
        <v>64</v>
      </c>
      <c r="P754" s="3" t="s">
        <v>2362</v>
      </c>
      <c r="R754" s="3" t="s">
        <v>67</v>
      </c>
      <c r="S754" s="4">
        <v>9</v>
      </c>
      <c r="T754" s="4">
        <v>9</v>
      </c>
      <c r="U754" s="5" t="s">
        <v>5501</v>
      </c>
      <c r="V754" s="5" t="s">
        <v>5501</v>
      </c>
      <c r="W754" s="5" t="s">
        <v>9089</v>
      </c>
      <c r="X754" s="5" t="s">
        <v>9089</v>
      </c>
      <c r="Y754" s="4">
        <v>167</v>
      </c>
      <c r="Z754" s="4">
        <v>131</v>
      </c>
      <c r="AA754" s="4">
        <v>357</v>
      </c>
      <c r="AB754" s="4">
        <v>3</v>
      </c>
      <c r="AC754" s="4">
        <v>4</v>
      </c>
      <c r="AD754" s="4">
        <v>6</v>
      </c>
      <c r="AE754" s="4">
        <v>18</v>
      </c>
      <c r="AF754" s="4">
        <v>2</v>
      </c>
      <c r="AG754" s="4">
        <v>5</v>
      </c>
      <c r="AH754" s="4">
        <v>1</v>
      </c>
      <c r="AI754" s="4">
        <v>2</v>
      </c>
      <c r="AJ754" s="4">
        <v>2</v>
      </c>
      <c r="AK754" s="4">
        <v>4</v>
      </c>
      <c r="AL754" s="4">
        <v>2</v>
      </c>
      <c r="AM754" s="4">
        <v>3</v>
      </c>
      <c r="AN754" s="4">
        <v>0</v>
      </c>
      <c r="AO754" s="4">
        <v>5</v>
      </c>
      <c r="AP754" s="3" t="s">
        <v>59</v>
      </c>
      <c r="AQ754" s="3" t="s">
        <v>59</v>
      </c>
      <c r="AS754" s="6" t="str">
        <f>HYPERLINK("https://creighton-primo.hosted.exlibrisgroup.com/primo-explore/search?tab=default_tab&amp;search_scope=EVERYTHING&amp;vid=01CRU&amp;lang=en_US&amp;offset=0&amp;query=any,contains,991002785829702656","Catalog Record")</f>
        <v>Catalog Record</v>
      </c>
      <c r="AT754" s="6" t="str">
        <f>HYPERLINK("http://www.worldcat.org/oclc/36578299","WorldCat Record")</f>
        <v>WorldCat Record</v>
      </c>
      <c r="AU754" s="3" t="s">
        <v>9090</v>
      </c>
      <c r="AV754" s="3" t="s">
        <v>9091</v>
      </c>
      <c r="AW754" s="3" t="s">
        <v>9092</v>
      </c>
      <c r="AX754" s="3" t="s">
        <v>9092</v>
      </c>
      <c r="AY754" s="3" t="s">
        <v>9093</v>
      </c>
      <c r="AZ754" s="3" t="s">
        <v>74</v>
      </c>
      <c r="BB754" s="3" t="s">
        <v>9094</v>
      </c>
      <c r="BC754" s="3" t="s">
        <v>9095</v>
      </c>
      <c r="BD754" s="3" t="s">
        <v>9096</v>
      </c>
    </row>
    <row r="755" spans="1:56" ht="57.75" customHeight="1" x14ac:dyDescent="0.25">
      <c r="A755" s="7" t="s">
        <v>59</v>
      </c>
      <c r="B755" s="2" t="s">
        <v>9097</v>
      </c>
      <c r="C755" s="2" t="s">
        <v>9098</v>
      </c>
      <c r="D755" s="2" t="s">
        <v>9099</v>
      </c>
      <c r="F755" s="3" t="s">
        <v>59</v>
      </c>
      <c r="G755" s="3" t="s">
        <v>60</v>
      </c>
      <c r="H755" s="3" t="s">
        <v>59</v>
      </c>
      <c r="I755" s="3" t="s">
        <v>59</v>
      </c>
      <c r="J755" s="3" t="s">
        <v>61</v>
      </c>
      <c r="K755" s="2" t="s">
        <v>9100</v>
      </c>
      <c r="L755" s="2" t="s">
        <v>9101</v>
      </c>
      <c r="M755" s="3" t="s">
        <v>1182</v>
      </c>
      <c r="O755" s="3" t="s">
        <v>64</v>
      </c>
      <c r="P755" s="3" t="s">
        <v>145</v>
      </c>
      <c r="R755" s="3" t="s">
        <v>67</v>
      </c>
      <c r="S755" s="4">
        <v>8</v>
      </c>
      <c r="T755" s="4">
        <v>8</v>
      </c>
      <c r="U755" s="5" t="s">
        <v>9102</v>
      </c>
      <c r="V755" s="5" t="s">
        <v>9102</v>
      </c>
      <c r="W755" s="5" t="s">
        <v>9103</v>
      </c>
      <c r="X755" s="5" t="s">
        <v>9103</v>
      </c>
      <c r="Y755" s="4">
        <v>602</v>
      </c>
      <c r="Z755" s="4">
        <v>573</v>
      </c>
      <c r="AA755" s="4">
        <v>578</v>
      </c>
      <c r="AB755" s="4">
        <v>3</v>
      </c>
      <c r="AC755" s="4">
        <v>3</v>
      </c>
      <c r="AD755" s="4">
        <v>5</v>
      </c>
      <c r="AE755" s="4">
        <v>5</v>
      </c>
      <c r="AF755" s="4">
        <v>2</v>
      </c>
      <c r="AG755" s="4">
        <v>2</v>
      </c>
      <c r="AH755" s="4">
        <v>1</v>
      </c>
      <c r="AI755" s="4">
        <v>1</v>
      </c>
      <c r="AJ755" s="4">
        <v>1</v>
      </c>
      <c r="AK755" s="4">
        <v>1</v>
      </c>
      <c r="AL755" s="4">
        <v>1</v>
      </c>
      <c r="AM755" s="4">
        <v>1</v>
      </c>
      <c r="AN755" s="4">
        <v>0</v>
      </c>
      <c r="AO755" s="4">
        <v>0</v>
      </c>
      <c r="AP755" s="3" t="s">
        <v>59</v>
      </c>
      <c r="AQ755" s="3" t="s">
        <v>59</v>
      </c>
      <c r="AS755" s="6" t="str">
        <f>HYPERLINK("https://creighton-primo.hosted.exlibrisgroup.com/primo-explore/search?tab=default_tab&amp;search_scope=EVERYTHING&amp;vid=01CRU&amp;lang=en_US&amp;offset=0&amp;query=any,contains,991001602839702656","Catalog Record")</f>
        <v>Catalog Record</v>
      </c>
      <c r="AT755" s="6" t="str">
        <f>HYPERLINK("http://www.worldcat.org/oclc/20671857","WorldCat Record")</f>
        <v>WorldCat Record</v>
      </c>
      <c r="AU755" s="3" t="s">
        <v>9104</v>
      </c>
      <c r="AV755" s="3" t="s">
        <v>9105</v>
      </c>
      <c r="AW755" s="3" t="s">
        <v>9106</v>
      </c>
      <c r="AX755" s="3" t="s">
        <v>9106</v>
      </c>
      <c r="AY755" s="3" t="s">
        <v>9107</v>
      </c>
      <c r="AZ755" s="3" t="s">
        <v>74</v>
      </c>
      <c r="BB755" s="3" t="s">
        <v>9108</v>
      </c>
      <c r="BC755" s="3" t="s">
        <v>9109</v>
      </c>
      <c r="BD755" s="3" t="s">
        <v>9110</v>
      </c>
    </row>
    <row r="756" spans="1:56" ht="57.75" customHeight="1" x14ac:dyDescent="0.25">
      <c r="A756" s="7" t="s">
        <v>59</v>
      </c>
      <c r="B756" s="2" t="s">
        <v>9111</v>
      </c>
      <c r="C756" s="2" t="s">
        <v>9112</v>
      </c>
      <c r="D756" s="2" t="s">
        <v>9113</v>
      </c>
      <c r="F756" s="3" t="s">
        <v>59</v>
      </c>
      <c r="G756" s="3" t="s">
        <v>60</v>
      </c>
      <c r="H756" s="3" t="s">
        <v>59</v>
      </c>
      <c r="I756" s="3" t="s">
        <v>59</v>
      </c>
      <c r="J756" s="3" t="s">
        <v>61</v>
      </c>
      <c r="L756" s="2" t="s">
        <v>9114</v>
      </c>
      <c r="M756" s="3" t="s">
        <v>511</v>
      </c>
      <c r="O756" s="3" t="s">
        <v>64</v>
      </c>
      <c r="P756" s="3" t="s">
        <v>467</v>
      </c>
      <c r="Q756" s="2" t="s">
        <v>9115</v>
      </c>
      <c r="R756" s="3" t="s">
        <v>67</v>
      </c>
      <c r="S756" s="4">
        <v>11</v>
      </c>
      <c r="T756" s="4">
        <v>11</v>
      </c>
      <c r="U756" s="5" t="s">
        <v>9076</v>
      </c>
      <c r="V756" s="5" t="s">
        <v>9076</v>
      </c>
      <c r="W756" s="5" t="s">
        <v>9116</v>
      </c>
      <c r="X756" s="5" t="s">
        <v>9116</v>
      </c>
      <c r="Y756" s="4">
        <v>274</v>
      </c>
      <c r="Z756" s="4">
        <v>215</v>
      </c>
      <c r="AA756" s="4">
        <v>220</v>
      </c>
      <c r="AB756" s="4">
        <v>3</v>
      </c>
      <c r="AC756" s="4">
        <v>3</v>
      </c>
      <c r="AD756" s="4">
        <v>8</v>
      </c>
      <c r="AE756" s="4">
        <v>8</v>
      </c>
      <c r="AF756" s="4">
        <v>1</v>
      </c>
      <c r="AG756" s="4">
        <v>1</v>
      </c>
      <c r="AH756" s="4">
        <v>1</v>
      </c>
      <c r="AI756" s="4">
        <v>1</v>
      </c>
      <c r="AJ756" s="4">
        <v>5</v>
      </c>
      <c r="AK756" s="4">
        <v>5</v>
      </c>
      <c r="AL756" s="4">
        <v>2</v>
      </c>
      <c r="AM756" s="4">
        <v>2</v>
      </c>
      <c r="AN756" s="4">
        <v>0</v>
      </c>
      <c r="AO756" s="4">
        <v>0</v>
      </c>
      <c r="AP756" s="3" t="s">
        <v>59</v>
      </c>
      <c r="AQ756" s="3" t="s">
        <v>59</v>
      </c>
      <c r="AS756" s="6" t="str">
        <f>HYPERLINK("https://creighton-primo.hosted.exlibrisgroup.com/primo-explore/search?tab=default_tab&amp;search_scope=EVERYTHING&amp;vid=01CRU&amp;lang=en_US&amp;offset=0&amp;query=any,contains,991002402269702656","Catalog Record")</f>
        <v>Catalog Record</v>
      </c>
      <c r="AT756" s="6" t="str">
        <f>HYPERLINK("http://www.worldcat.org/oclc/31239299","WorldCat Record")</f>
        <v>WorldCat Record</v>
      </c>
      <c r="AU756" s="3" t="s">
        <v>9117</v>
      </c>
      <c r="AV756" s="3" t="s">
        <v>9118</v>
      </c>
      <c r="AW756" s="3" t="s">
        <v>9119</v>
      </c>
      <c r="AX756" s="3" t="s">
        <v>9119</v>
      </c>
      <c r="AY756" s="3" t="s">
        <v>9120</v>
      </c>
      <c r="AZ756" s="3" t="s">
        <v>74</v>
      </c>
      <c r="BB756" s="3" t="s">
        <v>9121</v>
      </c>
      <c r="BC756" s="3" t="s">
        <v>9122</v>
      </c>
      <c r="BD756" s="3" t="s">
        <v>9123</v>
      </c>
    </row>
    <row r="757" spans="1:56" ht="57.75" customHeight="1" x14ac:dyDescent="0.25">
      <c r="A757" s="7" t="s">
        <v>59</v>
      </c>
      <c r="B757" s="2" t="s">
        <v>9124</v>
      </c>
      <c r="C757" s="2" t="s">
        <v>9125</v>
      </c>
      <c r="D757" s="2" t="s">
        <v>9126</v>
      </c>
      <c r="F757" s="3" t="s">
        <v>59</v>
      </c>
      <c r="G757" s="3" t="s">
        <v>60</v>
      </c>
      <c r="H757" s="3" t="s">
        <v>59</v>
      </c>
      <c r="I757" s="3" t="s">
        <v>59</v>
      </c>
      <c r="J757" s="3" t="s">
        <v>61</v>
      </c>
      <c r="K757" s="2" t="s">
        <v>9127</v>
      </c>
      <c r="L757" s="2" t="s">
        <v>9128</v>
      </c>
      <c r="M757" s="3" t="s">
        <v>255</v>
      </c>
      <c r="O757" s="3" t="s">
        <v>64</v>
      </c>
      <c r="P757" s="3" t="s">
        <v>145</v>
      </c>
      <c r="Q757" s="2" t="s">
        <v>9129</v>
      </c>
      <c r="R757" s="3" t="s">
        <v>67</v>
      </c>
      <c r="S757" s="4">
        <v>1</v>
      </c>
      <c r="T757" s="4">
        <v>1</v>
      </c>
      <c r="U757" s="5" t="s">
        <v>9130</v>
      </c>
      <c r="V757" s="5" t="s">
        <v>9130</v>
      </c>
      <c r="W757" s="5" t="s">
        <v>9131</v>
      </c>
      <c r="X757" s="5" t="s">
        <v>9131</v>
      </c>
      <c r="Y757" s="4">
        <v>532</v>
      </c>
      <c r="Z757" s="4">
        <v>456</v>
      </c>
      <c r="AA757" s="4">
        <v>464</v>
      </c>
      <c r="AB757" s="4">
        <v>3</v>
      </c>
      <c r="AC757" s="4">
        <v>3</v>
      </c>
      <c r="AD757" s="4">
        <v>20</v>
      </c>
      <c r="AE757" s="4">
        <v>20</v>
      </c>
      <c r="AF757" s="4">
        <v>7</v>
      </c>
      <c r="AG757" s="4">
        <v>7</v>
      </c>
      <c r="AH757" s="4">
        <v>4</v>
      </c>
      <c r="AI757" s="4">
        <v>4</v>
      </c>
      <c r="AJ757" s="4">
        <v>9</v>
      </c>
      <c r="AK757" s="4">
        <v>9</v>
      </c>
      <c r="AL757" s="4">
        <v>2</v>
      </c>
      <c r="AM757" s="4">
        <v>2</v>
      </c>
      <c r="AN757" s="4">
        <v>2</v>
      </c>
      <c r="AO757" s="4">
        <v>2</v>
      </c>
      <c r="AP757" s="3" t="s">
        <v>59</v>
      </c>
      <c r="AQ757" s="3" t="s">
        <v>69</v>
      </c>
      <c r="AR757" s="6" t="str">
        <f>HYPERLINK("http://catalog.hathitrust.org/Record/003321719","HathiTrust Record")</f>
        <v>HathiTrust Record</v>
      </c>
      <c r="AS757" s="6" t="str">
        <f>HYPERLINK("https://creighton-primo.hosted.exlibrisgroup.com/primo-explore/search?tab=default_tab&amp;search_scope=EVERYTHING&amp;vid=01CRU&amp;lang=en_US&amp;offset=0&amp;query=any,contains,991002944839702656","Catalog Record")</f>
        <v>Catalog Record</v>
      </c>
      <c r="AT757" s="6" t="str">
        <f>HYPERLINK("http://www.worldcat.org/oclc/39212553","WorldCat Record")</f>
        <v>WorldCat Record</v>
      </c>
      <c r="AU757" s="3" t="s">
        <v>9132</v>
      </c>
      <c r="AV757" s="3" t="s">
        <v>9133</v>
      </c>
      <c r="AW757" s="3" t="s">
        <v>9134</v>
      </c>
      <c r="AX757" s="3" t="s">
        <v>9134</v>
      </c>
      <c r="AY757" s="3" t="s">
        <v>9135</v>
      </c>
      <c r="AZ757" s="3" t="s">
        <v>74</v>
      </c>
      <c r="BB757" s="3" t="s">
        <v>9136</v>
      </c>
      <c r="BC757" s="3" t="s">
        <v>9137</v>
      </c>
      <c r="BD757" s="3" t="s">
        <v>9138</v>
      </c>
    </row>
    <row r="758" spans="1:56" ht="57.75" customHeight="1" x14ac:dyDescent="0.25">
      <c r="A758" s="7" t="s">
        <v>59</v>
      </c>
      <c r="B758" s="2" t="s">
        <v>9139</v>
      </c>
      <c r="C758" s="2" t="s">
        <v>9140</v>
      </c>
      <c r="D758" s="2" t="s">
        <v>9141</v>
      </c>
      <c r="F758" s="3" t="s">
        <v>59</v>
      </c>
      <c r="G758" s="3" t="s">
        <v>60</v>
      </c>
      <c r="H758" s="3" t="s">
        <v>59</v>
      </c>
      <c r="I758" s="3" t="s">
        <v>59</v>
      </c>
      <c r="J758" s="3" t="s">
        <v>61</v>
      </c>
      <c r="K758" s="2" t="s">
        <v>9142</v>
      </c>
      <c r="L758" s="2" t="s">
        <v>1101</v>
      </c>
      <c r="M758" s="3" t="s">
        <v>1102</v>
      </c>
      <c r="O758" s="3" t="s">
        <v>64</v>
      </c>
      <c r="P758" s="3" t="s">
        <v>467</v>
      </c>
      <c r="Q758" s="2" t="s">
        <v>9143</v>
      </c>
      <c r="R758" s="3" t="s">
        <v>67</v>
      </c>
      <c r="S758" s="4">
        <v>37</v>
      </c>
      <c r="T758" s="4">
        <v>37</v>
      </c>
      <c r="U758" s="5" t="s">
        <v>9130</v>
      </c>
      <c r="V758" s="5" t="s">
        <v>9130</v>
      </c>
      <c r="W758" s="5" t="s">
        <v>9144</v>
      </c>
      <c r="X758" s="5" t="s">
        <v>9144</v>
      </c>
      <c r="Y758" s="4">
        <v>1368</v>
      </c>
      <c r="Z758" s="4">
        <v>1299</v>
      </c>
      <c r="AA758" s="4">
        <v>1351</v>
      </c>
      <c r="AB758" s="4">
        <v>8</v>
      </c>
      <c r="AC758" s="4">
        <v>8</v>
      </c>
      <c r="AD758" s="4">
        <v>35</v>
      </c>
      <c r="AE758" s="4">
        <v>36</v>
      </c>
      <c r="AF758" s="4">
        <v>14</v>
      </c>
      <c r="AG758" s="4">
        <v>15</v>
      </c>
      <c r="AH758" s="4">
        <v>8</v>
      </c>
      <c r="AI758" s="4">
        <v>8</v>
      </c>
      <c r="AJ758" s="4">
        <v>11</v>
      </c>
      <c r="AK758" s="4">
        <v>12</v>
      </c>
      <c r="AL758" s="4">
        <v>7</v>
      </c>
      <c r="AM758" s="4">
        <v>7</v>
      </c>
      <c r="AN758" s="4">
        <v>1</v>
      </c>
      <c r="AO758" s="4">
        <v>1</v>
      </c>
      <c r="AP758" s="3" t="s">
        <v>59</v>
      </c>
      <c r="AQ758" s="3" t="s">
        <v>69</v>
      </c>
      <c r="AR758" s="6" t="str">
        <f>HYPERLINK("http://catalog.hathitrust.org/Record/001815058","HathiTrust Record")</f>
        <v>HathiTrust Record</v>
      </c>
      <c r="AS758" s="6" t="str">
        <f>HYPERLINK("https://creighton-primo.hosted.exlibrisgroup.com/primo-explore/search?tab=default_tab&amp;search_scope=EVERYTHING&amp;vid=01CRU&amp;lang=en_US&amp;offset=0&amp;query=any,contains,991001398829702656","Catalog Record")</f>
        <v>Catalog Record</v>
      </c>
      <c r="AT758" s="6" t="str">
        <f>HYPERLINK("http://www.worldcat.org/oclc/18814766","WorldCat Record")</f>
        <v>WorldCat Record</v>
      </c>
      <c r="AU758" s="3" t="s">
        <v>9145</v>
      </c>
      <c r="AV758" s="3" t="s">
        <v>9146</v>
      </c>
      <c r="AW758" s="3" t="s">
        <v>9147</v>
      </c>
      <c r="AX758" s="3" t="s">
        <v>9147</v>
      </c>
      <c r="AY758" s="3" t="s">
        <v>9148</v>
      </c>
      <c r="AZ758" s="3" t="s">
        <v>74</v>
      </c>
      <c r="BB758" s="3" t="s">
        <v>9149</v>
      </c>
      <c r="BC758" s="3" t="s">
        <v>9150</v>
      </c>
      <c r="BD758" s="3" t="s">
        <v>9151</v>
      </c>
    </row>
    <row r="759" spans="1:56" ht="57.75" customHeight="1" x14ac:dyDescent="0.25">
      <c r="A759" s="7" t="s">
        <v>59</v>
      </c>
      <c r="B759" s="2" t="s">
        <v>9152</v>
      </c>
      <c r="C759" s="2" t="s">
        <v>9153</v>
      </c>
      <c r="D759" s="2" t="s">
        <v>9154</v>
      </c>
      <c r="F759" s="3" t="s">
        <v>59</v>
      </c>
      <c r="G759" s="3" t="s">
        <v>60</v>
      </c>
      <c r="H759" s="3" t="s">
        <v>59</v>
      </c>
      <c r="I759" s="3" t="s">
        <v>59</v>
      </c>
      <c r="J759" s="3" t="s">
        <v>61</v>
      </c>
      <c r="L759" s="2" t="s">
        <v>9155</v>
      </c>
      <c r="M759" s="3" t="s">
        <v>712</v>
      </c>
      <c r="O759" s="3" t="s">
        <v>64</v>
      </c>
      <c r="P759" s="3" t="s">
        <v>145</v>
      </c>
      <c r="R759" s="3" t="s">
        <v>67</v>
      </c>
      <c r="S759" s="4">
        <v>24</v>
      </c>
      <c r="T759" s="4">
        <v>24</v>
      </c>
      <c r="U759" s="5" t="s">
        <v>9130</v>
      </c>
      <c r="V759" s="5" t="s">
        <v>9130</v>
      </c>
      <c r="W759" s="5" t="s">
        <v>9156</v>
      </c>
      <c r="X759" s="5" t="s">
        <v>9156</v>
      </c>
      <c r="Y759" s="4">
        <v>637</v>
      </c>
      <c r="Z759" s="4">
        <v>567</v>
      </c>
      <c r="AA759" s="4">
        <v>573</v>
      </c>
      <c r="AB759" s="4">
        <v>4</v>
      </c>
      <c r="AC759" s="4">
        <v>4</v>
      </c>
      <c r="AD759" s="4">
        <v>26</v>
      </c>
      <c r="AE759" s="4">
        <v>26</v>
      </c>
      <c r="AF759" s="4">
        <v>8</v>
      </c>
      <c r="AG759" s="4">
        <v>8</v>
      </c>
      <c r="AH759" s="4">
        <v>4</v>
      </c>
      <c r="AI759" s="4">
        <v>4</v>
      </c>
      <c r="AJ759" s="4">
        <v>13</v>
      </c>
      <c r="AK759" s="4">
        <v>13</v>
      </c>
      <c r="AL759" s="4">
        <v>3</v>
      </c>
      <c r="AM759" s="4">
        <v>3</v>
      </c>
      <c r="AN759" s="4">
        <v>2</v>
      </c>
      <c r="AO759" s="4">
        <v>2</v>
      </c>
      <c r="AP759" s="3" t="s">
        <v>59</v>
      </c>
      <c r="AQ759" s="3" t="s">
        <v>69</v>
      </c>
      <c r="AR759" s="6" t="str">
        <f>HYPERLINK("http://catalog.hathitrust.org/Record/002898778","HathiTrust Record")</f>
        <v>HathiTrust Record</v>
      </c>
      <c r="AS759" s="6" t="str">
        <f>HYPERLINK("https://creighton-primo.hosted.exlibrisgroup.com/primo-explore/search?tab=default_tab&amp;search_scope=EVERYTHING&amp;vid=01CRU&amp;lang=en_US&amp;offset=0&amp;query=any,contains,991002340109702656","Catalog Record")</f>
        <v>Catalog Record</v>
      </c>
      <c r="AT759" s="6" t="str">
        <f>HYPERLINK("http://www.worldcat.org/oclc/30473323","WorldCat Record")</f>
        <v>WorldCat Record</v>
      </c>
      <c r="AU759" s="3" t="s">
        <v>9157</v>
      </c>
      <c r="AV759" s="3" t="s">
        <v>9158</v>
      </c>
      <c r="AW759" s="3" t="s">
        <v>9159</v>
      </c>
      <c r="AX759" s="3" t="s">
        <v>9159</v>
      </c>
      <c r="AY759" s="3" t="s">
        <v>9160</v>
      </c>
      <c r="AZ759" s="3" t="s">
        <v>74</v>
      </c>
      <c r="BB759" s="3" t="s">
        <v>9161</v>
      </c>
      <c r="BC759" s="3" t="s">
        <v>9162</v>
      </c>
      <c r="BD759" s="3" t="s">
        <v>9163</v>
      </c>
    </row>
    <row r="760" spans="1:56" ht="57.75" customHeight="1" x14ac:dyDescent="0.25">
      <c r="A760" s="7" t="s">
        <v>59</v>
      </c>
      <c r="B760" s="2" t="s">
        <v>9164</v>
      </c>
      <c r="C760" s="2" t="s">
        <v>9165</v>
      </c>
      <c r="D760" s="2" t="s">
        <v>9166</v>
      </c>
      <c r="F760" s="3" t="s">
        <v>59</v>
      </c>
      <c r="G760" s="3" t="s">
        <v>60</v>
      </c>
      <c r="H760" s="3" t="s">
        <v>59</v>
      </c>
      <c r="I760" s="3" t="s">
        <v>59</v>
      </c>
      <c r="J760" s="3" t="s">
        <v>61</v>
      </c>
      <c r="K760" s="2" t="s">
        <v>9167</v>
      </c>
      <c r="L760" s="2" t="s">
        <v>9168</v>
      </c>
      <c r="M760" s="3" t="s">
        <v>3095</v>
      </c>
      <c r="O760" s="3" t="s">
        <v>64</v>
      </c>
      <c r="P760" s="3" t="s">
        <v>467</v>
      </c>
      <c r="R760" s="3" t="s">
        <v>67</v>
      </c>
      <c r="S760" s="4">
        <v>7</v>
      </c>
      <c r="T760" s="4">
        <v>7</v>
      </c>
      <c r="U760" s="5" t="s">
        <v>9169</v>
      </c>
      <c r="V760" s="5" t="s">
        <v>9169</v>
      </c>
      <c r="W760" s="5" t="s">
        <v>9170</v>
      </c>
      <c r="X760" s="5" t="s">
        <v>9170</v>
      </c>
      <c r="Y760" s="4">
        <v>608</v>
      </c>
      <c r="Z760" s="4">
        <v>587</v>
      </c>
      <c r="AA760" s="4">
        <v>602</v>
      </c>
      <c r="AB760" s="4">
        <v>5</v>
      </c>
      <c r="AC760" s="4">
        <v>5</v>
      </c>
      <c r="AD760" s="4">
        <v>20</v>
      </c>
      <c r="AE760" s="4">
        <v>21</v>
      </c>
      <c r="AF760" s="4">
        <v>11</v>
      </c>
      <c r="AG760" s="4">
        <v>12</v>
      </c>
      <c r="AH760" s="4">
        <v>6</v>
      </c>
      <c r="AI760" s="4">
        <v>6</v>
      </c>
      <c r="AJ760" s="4">
        <v>6</v>
      </c>
      <c r="AK760" s="4">
        <v>6</v>
      </c>
      <c r="AL760" s="4">
        <v>2</v>
      </c>
      <c r="AM760" s="4">
        <v>2</v>
      </c>
      <c r="AN760" s="4">
        <v>0</v>
      </c>
      <c r="AO760" s="4">
        <v>0</v>
      </c>
      <c r="AP760" s="3" t="s">
        <v>59</v>
      </c>
      <c r="AQ760" s="3" t="s">
        <v>69</v>
      </c>
      <c r="AR760" s="6" t="str">
        <f>HYPERLINK("http://catalog.hathitrust.org/Record/004413399","HathiTrust Record")</f>
        <v>HathiTrust Record</v>
      </c>
      <c r="AS760" s="6" t="str">
        <f>HYPERLINK("https://creighton-primo.hosted.exlibrisgroup.com/primo-explore/search?tab=default_tab&amp;search_scope=EVERYTHING&amp;vid=01CRU&amp;lang=en_US&amp;offset=0&amp;query=any,contains,991003784479702656","Catalog Record")</f>
        <v>Catalog Record</v>
      </c>
      <c r="AT760" s="6" t="str">
        <f>HYPERLINK("http://www.worldcat.org/oclc/1500073","WorldCat Record")</f>
        <v>WorldCat Record</v>
      </c>
      <c r="AU760" s="3" t="s">
        <v>9171</v>
      </c>
      <c r="AV760" s="3" t="s">
        <v>9172</v>
      </c>
      <c r="AW760" s="3" t="s">
        <v>9173</v>
      </c>
      <c r="AX760" s="3" t="s">
        <v>9173</v>
      </c>
      <c r="AY760" s="3" t="s">
        <v>9174</v>
      </c>
      <c r="AZ760" s="3" t="s">
        <v>74</v>
      </c>
      <c r="BB760" s="3" t="s">
        <v>9175</v>
      </c>
      <c r="BC760" s="3" t="s">
        <v>9176</v>
      </c>
      <c r="BD760" s="3" t="s">
        <v>9177</v>
      </c>
    </row>
    <row r="761" spans="1:56" ht="57.75" customHeight="1" x14ac:dyDescent="0.25">
      <c r="A761" s="7" t="s">
        <v>59</v>
      </c>
      <c r="B761" s="2" t="s">
        <v>9178</v>
      </c>
      <c r="C761" s="2" t="s">
        <v>9179</v>
      </c>
      <c r="D761" s="2" t="s">
        <v>9180</v>
      </c>
      <c r="F761" s="3" t="s">
        <v>59</v>
      </c>
      <c r="G761" s="3" t="s">
        <v>60</v>
      </c>
      <c r="H761" s="3" t="s">
        <v>59</v>
      </c>
      <c r="I761" s="3" t="s">
        <v>59</v>
      </c>
      <c r="J761" s="3" t="s">
        <v>61</v>
      </c>
      <c r="K761" s="2" t="s">
        <v>9181</v>
      </c>
      <c r="L761" s="2" t="s">
        <v>9182</v>
      </c>
      <c r="M761" s="3" t="s">
        <v>670</v>
      </c>
      <c r="O761" s="3" t="s">
        <v>64</v>
      </c>
      <c r="P761" s="3" t="s">
        <v>630</v>
      </c>
      <c r="Q761" s="2" t="s">
        <v>9183</v>
      </c>
      <c r="R761" s="3" t="s">
        <v>67</v>
      </c>
      <c r="S761" s="4">
        <v>26</v>
      </c>
      <c r="T761" s="4">
        <v>26</v>
      </c>
      <c r="U761" s="5" t="s">
        <v>9184</v>
      </c>
      <c r="V761" s="5" t="s">
        <v>9184</v>
      </c>
      <c r="W761" s="5" t="s">
        <v>9185</v>
      </c>
      <c r="X761" s="5" t="s">
        <v>9185</v>
      </c>
      <c r="Y761" s="4">
        <v>436</v>
      </c>
      <c r="Z761" s="4">
        <v>388</v>
      </c>
      <c r="AA761" s="4">
        <v>395</v>
      </c>
      <c r="AB761" s="4">
        <v>4</v>
      </c>
      <c r="AC761" s="4">
        <v>4</v>
      </c>
      <c r="AD761" s="4">
        <v>20</v>
      </c>
      <c r="AE761" s="4">
        <v>20</v>
      </c>
      <c r="AF761" s="4">
        <v>2</v>
      </c>
      <c r="AG761" s="4">
        <v>2</v>
      </c>
      <c r="AH761" s="4">
        <v>3</v>
      </c>
      <c r="AI761" s="4">
        <v>3</v>
      </c>
      <c r="AJ761" s="4">
        <v>2</v>
      </c>
      <c r="AK761" s="4">
        <v>2</v>
      </c>
      <c r="AL761" s="4">
        <v>2</v>
      </c>
      <c r="AM761" s="4">
        <v>2</v>
      </c>
      <c r="AN761" s="4">
        <v>12</v>
      </c>
      <c r="AO761" s="4">
        <v>12</v>
      </c>
      <c r="AP761" s="3" t="s">
        <v>59</v>
      </c>
      <c r="AQ761" s="3" t="s">
        <v>69</v>
      </c>
      <c r="AR761" s="6" t="str">
        <f>HYPERLINK("http://catalog.hathitrust.org/Record/000103553","HathiTrust Record")</f>
        <v>HathiTrust Record</v>
      </c>
      <c r="AS761" s="6" t="str">
        <f>HYPERLINK("https://creighton-primo.hosted.exlibrisgroup.com/primo-explore/search?tab=default_tab&amp;search_scope=EVERYTHING&amp;vid=01CRU&amp;lang=en_US&amp;offset=0&amp;query=any,contains,991005213009702656","Catalog Record")</f>
        <v>Catalog Record</v>
      </c>
      <c r="AT761" s="6" t="str">
        <f>HYPERLINK("http://www.worldcat.org/oclc/8170945","WorldCat Record")</f>
        <v>WorldCat Record</v>
      </c>
      <c r="AU761" s="3" t="s">
        <v>9186</v>
      </c>
      <c r="AV761" s="3" t="s">
        <v>9187</v>
      </c>
      <c r="AW761" s="3" t="s">
        <v>9188</v>
      </c>
      <c r="AX761" s="3" t="s">
        <v>9188</v>
      </c>
      <c r="AY761" s="3" t="s">
        <v>9189</v>
      </c>
      <c r="AZ761" s="3" t="s">
        <v>74</v>
      </c>
      <c r="BB761" s="3" t="s">
        <v>9190</v>
      </c>
      <c r="BC761" s="3" t="s">
        <v>9191</v>
      </c>
      <c r="BD761" s="3" t="s">
        <v>9192</v>
      </c>
    </row>
    <row r="762" spans="1:56" ht="57.75" customHeight="1" x14ac:dyDescent="0.25">
      <c r="A762" s="7" t="s">
        <v>59</v>
      </c>
      <c r="B762" s="2" t="s">
        <v>9193</v>
      </c>
      <c r="C762" s="2" t="s">
        <v>9194</v>
      </c>
      <c r="D762" s="2" t="s">
        <v>9195</v>
      </c>
      <c r="F762" s="3" t="s">
        <v>59</v>
      </c>
      <c r="G762" s="3" t="s">
        <v>60</v>
      </c>
      <c r="H762" s="3" t="s">
        <v>59</v>
      </c>
      <c r="I762" s="3" t="s">
        <v>59</v>
      </c>
      <c r="J762" s="3" t="s">
        <v>61</v>
      </c>
      <c r="K762" s="2" t="s">
        <v>9196</v>
      </c>
      <c r="L762" s="2" t="s">
        <v>9197</v>
      </c>
      <c r="M762" s="3" t="s">
        <v>63</v>
      </c>
      <c r="O762" s="3" t="s">
        <v>64</v>
      </c>
      <c r="P762" s="3" t="s">
        <v>405</v>
      </c>
      <c r="R762" s="3" t="s">
        <v>67</v>
      </c>
      <c r="S762" s="4">
        <v>1</v>
      </c>
      <c r="T762" s="4">
        <v>1</v>
      </c>
      <c r="U762" s="5" t="s">
        <v>9198</v>
      </c>
      <c r="V762" s="5" t="s">
        <v>9198</v>
      </c>
      <c r="W762" s="5" t="s">
        <v>9199</v>
      </c>
      <c r="X762" s="5" t="s">
        <v>9199</v>
      </c>
      <c r="Y762" s="4">
        <v>43</v>
      </c>
      <c r="Z762" s="4">
        <v>3</v>
      </c>
      <c r="AA762" s="4">
        <v>656</v>
      </c>
      <c r="AB762" s="4">
        <v>1</v>
      </c>
      <c r="AC762" s="4">
        <v>3</v>
      </c>
      <c r="AD762" s="4">
        <v>0</v>
      </c>
      <c r="AE762" s="4">
        <v>14</v>
      </c>
      <c r="AF762" s="4">
        <v>0</v>
      </c>
      <c r="AG762" s="4">
        <v>6</v>
      </c>
      <c r="AH762" s="4">
        <v>0</v>
      </c>
      <c r="AI762" s="4">
        <v>3</v>
      </c>
      <c r="AJ762" s="4">
        <v>0</v>
      </c>
      <c r="AK762" s="4">
        <v>7</v>
      </c>
      <c r="AL762" s="4">
        <v>0</v>
      </c>
      <c r="AM762" s="4">
        <v>2</v>
      </c>
      <c r="AN762" s="4">
        <v>0</v>
      </c>
      <c r="AO762" s="4">
        <v>0</v>
      </c>
      <c r="AP762" s="3" t="s">
        <v>59</v>
      </c>
      <c r="AQ762" s="3" t="s">
        <v>59</v>
      </c>
      <c r="AS762" s="6" t="str">
        <f>HYPERLINK("https://creighton-primo.hosted.exlibrisgroup.com/primo-explore/search?tab=default_tab&amp;search_scope=EVERYTHING&amp;vid=01CRU&amp;lang=en_US&amp;offset=0&amp;query=any,contains,991003731329702656","Catalog Record")</f>
        <v>Catalog Record</v>
      </c>
      <c r="AT762" s="6" t="str">
        <f>HYPERLINK("http://www.worldcat.org/oclc/48467100","WorldCat Record")</f>
        <v>WorldCat Record</v>
      </c>
      <c r="AU762" s="3" t="s">
        <v>9200</v>
      </c>
      <c r="AV762" s="3" t="s">
        <v>9201</v>
      </c>
      <c r="AW762" s="3" t="s">
        <v>9202</v>
      </c>
      <c r="AX762" s="3" t="s">
        <v>9202</v>
      </c>
      <c r="AY762" s="3" t="s">
        <v>9203</v>
      </c>
      <c r="AZ762" s="3" t="s">
        <v>74</v>
      </c>
      <c r="BB762" s="3" t="s">
        <v>9204</v>
      </c>
      <c r="BC762" s="3" t="s">
        <v>9205</v>
      </c>
      <c r="BD762" s="3" t="s">
        <v>9206</v>
      </c>
    </row>
    <row r="763" spans="1:56" ht="57.75" customHeight="1" x14ac:dyDescent="0.25">
      <c r="A763" s="7" t="s">
        <v>59</v>
      </c>
      <c r="B763" s="2" t="s">
        <v>9207</v>
      </c>
      <c r="C763" s="2" t="s">
        <v>9208</v>
      </c>
      <c r="D763" s="2" t="s">
        <v>9209</v>
      </c>
      <c r="F763" s="3" t="s">
        <v>59</v>
      </c>
      <c r="G763" s="3" t="s">
        <v>60</v>
      </c>
      <c r="H763" s="3" t="s">
        <v>59</v>
      </c>
      <c r="I763" s="3" t="s">
        <v>59</v>
      </c>
      <c r="J763" s="3" t="s">
        <v>61</v>
      </c>
      <c r="L763" s="2" t="s">
        <v>9210</v>
      </c>
      <c r="M763" s="3" t="s">
        <v>1837</v>
      </c>
      <c r="O763" s="3" t="s">
        <v>64</v>
      </c>
      <c r="P763" s="3" t="s">
        <v>145</v>
      </c>
      <c r="R763" s="3" t="s">
        <v>67</v>
      </c>
      <c r="S763" s="4">
        <v>3</v>
      </c>
      <c r="T763" s="4">
        <v>3</v>
      </c>
      <c r="U763" s="5" t="s">
        <v>174</v>
      </c>
      <c r="V763" s="5" t="s">
        <v>174</v>
      </c>
      <c r="W763" s="5" t="s">
        <v>4848</v>
      </c>
      <c r="X763" s="5" t="s">
        <v>4848</v>
      </c>
      <c r="Y763" s="4">
        <v>124</v>
      </c>
      <c r="Z763" s="4">
        <v>106</v>
      </c>
      <c r="AA763" s="4">
        <v>106</v>
      </c>
      <c r="AB763" s="4">
        <v>2</v>
      </c>
      <c r="AC763" s="4">
        <v>2</v>
      </c>
      <c r="AD763" s="4">
        <v>5</v>
      </c>
      <c r="AE763" s="4">
        <v>5</v>
      </c>
      <c r="AF763" s="4">
        <v>0</v>
      </c>
      <c r="AG763" s="4">
        <v>0</v>
      </c>
      <c r="AH763" s="4">
        <v>2</v>
      </c>
      <c r="AI763" s="4">
        <v>2</v>
      </c>
      <c r="AJ763" s="4">
        <v>2</v>
      </c>
      <c r="AK763" s="4">
        <v>2</v>
      </c>
      <c r="AL763" s="4">
        <v>1</v>
      </c>
      <c r="AM763" s="4">
        <v>1</v>
      </c>
      <c r="AN763" s="4">
        <v>0</v>
      </c>
      <c r="AO763" s="4">
        <v>0</v>
      </c>
      <c r="AP763" s="3" t="s">
        <v>59</v>
      </c>
      <c r="AQ763" s="3" t="s">
        <v>59</v>
      </c>
      <c r="AS763" s="6" t="str">
        <f>HYPERLINK("https://creighton-primo.hosted.exlibrisgroup.com/primo-explore/search?tab=default_tab&amp;search_scope=EVERYTHING&amp;vid=01CRU&amp;lang=en_US&amp;offset=0&amp;query=any,contains,991002197949702656","Catalog Record")</f>
        <v>Catalog Record</v>
      </c>
      <c r="AT763" s="6" t="str">
        <f>HYPERLINK("http://www.worldcat.org/oclc/28257238","WorldCat Record")</f>
        <v>WorldCat Record</v>
      </c>
      <c r="AU763" s="3" t="s">
        <v>9211</v>
      </c>
      <c r="AV763" s="3" t="s">
        <v>9212</v>
      </c>
      <c r="AW763" s="3" t="s">
        <v>9213</v>
      </c>
      <c r="AX763" s="3" t="s">
        <v>9213</v>
      </c>
      <c r="AY763" s="3" t="s">
        <v>9214</v>
      </c>
      <c r="AZ763" s="3" t="s">
        <v>74</v>
      </c>
      <c r="BB763" s="3" t="s">
        <v>9215</v>
      </c>
      <c r="BC763" s="3" t="s">
        <v>9216</v>
      </c>
      <c r="BD763" s="3" t="s">
        <v>9217</v>
      </c>
    </row>
    <row r="764" spans="1:56" ht="57.75" customHeight="1" x14ac:dyDescent="0.25">
      <c r="A764" s="7" t="s">
        <v>59</v>
      </c>
      <c r="B764" s="2" t="s">
        <v>9218</v>
      </c>
      <c r="C764" s="2" t="s">
        <v>9219</v>
      </c>
      <c r="D764" s="2" t="s">
        <v>9220</v>
      </c>
      <c r="F764" s="3" t="s">
        <v>59</v>
      </c>
      <c r="G764" s="3" t="s">
        <v>60</v>
      </c>
      <c r="H764" s="3" t="s">
        <v>59</v>
      </c>
      <c r="I764" s="3" t="s">
        <v>59</v>
      </c>
      <c r="J764" s="3" t="s">
        <v>61</v>
      </c>
      <c r="K764" s="2" t="s">
        <v>9221</v>
      </c>
      <c r="L764" s="2" t="s">
        <v>9222</v>
      </c>
      <c r="M764" s="3" t="s">
        <v>239</v>
      </c>
      <c r="O764" s="3" t="s">
        <v>64</v>
      </c>
      <c r="P764" s="3" t="s">
        <v>467</v>
      </c>
      <c r="R764" s="3" t="s">
        <v>67</v>
      </c>
      <c r="S764" s="4">
        <v>2</v>
      </c>
      <c r="T764" s="4">
        <v>2</v>
      </c>
      <c r="U764" s="5" t="s">
        <v>9223</v>
      </c>
      <c r="V764" s="5" t="s">
        <v>9223</v>
      </c>
      <c r="W764" s="5" t="s">
        <v>9224</v>
      </c>
      <c r="X764" s="5" t="s">
        <v>9224</v>
      </c>
      <c r="Y764" s="4">
        <v>550</v>
      </c>
      <c r="Z764" s="4">
        <v>517</v>
      </c>
      <c r="AA764" s="4">
        <v>576</v>
      </c>
      <c r="AB764" s="4">
        <v>6</v>
      </c>
      <c r="AC764" s="4">
        <v>6</v>
      </c>
      <c r="AD764" s="4">
        <v>10</v>
      </c>
      <c r="AE764" s="4">
        <v>11</v>
      </c>
      <c r="AF764" s="4">
        <v>2</v>
      </c>
      <c r="AG764" s="4">
        <v>2</v>
      </c>
      <c r="AH764" s="4">
        <v>2</v>
      </c>
      <c r="AI764" s="4">
        <v>2</v>
      </c>
      <c r="AJ764" s="4">
        <v>6</v>
      </c>
      <c r="AK764" s="4">
        <v>6</v>
      </c>
      <c r="AL764" s="4">
        <v>1</v>
      </c>
      <c r="AM764" s="4">
        <v>1</v>
      </c>
      <c r="AN764" s="4">
        <v>0</v>
      </c>
      <c r="AO764" s="4">
        <v>1</v>
      </c>
      <c r="AP764" s="3" t="s">
        <v>59</v>
      </c>
      <c r="AQ764" s="3" t="s">
        <v>69</v>
      </c>
      <c r="AR764" s="6" t="str">
        <f>HYPERLINK("http://catalog.hathitrust.org/Record/009159143","HathiTrust Record")</f>
        <v>HathiTrust Record</v>
      </c>
      <c r="AS764" s="6" t="str">
        <f>HYPERLINK("https://creighton-primo.hosted.exlibrisgroup.com/primo-explore/search?tab=default_tab&amp;search_scope=EVERYTHING&amp;vid=01CRU&amp;lang=en_US&amp;offset=0&amp;query=any,contains,991002667669702656","Catalog Record")</f>
        <v>Catalog Record</v>
      </c>
      <c r="AT764" s="6" t="str">
        <f>HYPERLINK("http://www.worldcat.org/oclc/34894335","WorldCat Record")</f>
        <v>WorldCat Record</v>
      </c>
      <c r="AU764" s="3" t="s">
        <v>9225</v>
      </c>
      <c r="AV764" s="3" t="s">
        <v>9226</v>
      </c>
      <c r="AW764" s="3" t="s">
        <v>9227</v>
      </c>
      <c r="AX764" s="3" t="s">
        <v>9227</v>
      </c>
      <c r="AY764" s="3" t="s">
        <v>9228</v>
      </c>
      <c r="AZ764" s="3" t="s">
        <v>74</v>
      </c>
      <c r="BB764" s="3" t="s">
        <v>9229</v>
      </c>
      <c r="BC764" s="3" t="s">
        <v>9230</v>
      </c>
      <c r="BD764" s="3" t="s">
        <v>9231</v>
      </c>
    </row>
    <row r="765" spans="1:56" ht="57.75" customHeight="1" x14ac:dyDescent="0.25">
      <c r="A765" s="7" t="s">
        <v>59</v>
      </c>
      <c r="B765" s="2" t="s">
        <v>9232</v>
      </c>
      <c r="C765" s="2" t="s">
        <v>9233</v>
      </c>
      <c r="D765" s="2" t="s">
        <v>9234</v>
      </c>
      <c r="F765" s="3" t="s">
        <v>59</v>
      </c>
      <c r="G765" s="3" t="s">
        <v>60</v>
      </c>
      <c r="H765" s="3" t="s">
        <v>59</v>
      </c>
      <c r="I765" s="3" t="s">
        <v>59</v>
      </c>
      <c r="J765" s="3" t="s">
        <v>61</v>
      </c>
      <c r="L765" s="2" t="s">
        <v>9235</v>
      </c>
      <c r="M765" s="3" t="s">
        <v>617</v>
      </c>
      <c r="O765" s="3" t="s">
        <v>64</v>
      </c>
      <c r="P765" s="3" t="s">
        <v>467</v>
      </c>
      <c r="Q765" s="2" t="s">
        <v>9236</v>
      </c>
      <c r="R765" s="3" t="s">
        <v>67</v>
      </c>
      <c r="S765" s="4">
        <v>4</v>
      </c>
      <c r="T765" s="4">
        <v>4</v>
      </c>
      <c r="U765" s="5" t="s">
        <v>9237</v>
      </c>
      <c r="V765" s="5" t="s">
        <v>9237</v>
      </c>
      <c r="W765" s="5" t="s">
        <v>543</v>
      </c>
      <c r="X765" s="5" t="s">
        <v>543</v>
      </c>
      <c r="Y765" s="4">
        <v>1238</v>
      </c>
      <c r="Z765" s="4">
        <v>1201</v>
      </c>
      <c r="AA765" s="4">
        <v>1209</v>
      </c>
      <c r="AB765" s="4">
        <v>8</v>
      </c>
      <c r="AC765" s="4">
        <v>8</v>
      </c>
      <c r="AD765" s="4">
        <v>37</v>
      </c>
      <c r="AE765" s="4">
        <v>37</v>
      </c>
      <c r="AF765" s="4">
        <v>14</v>
      </c>
      <c r="AG765" s="4">
        <v>14</v>
      </c>
      <c r="AH765" s="4">
        <v>6</v>
      </c>
      <c r="AI765" s="4">
        <v>6</v>
      </c>
      <c r="AJ765" s="4">
        <v>21</v>
      </c>
      <c r="AK765" s="4">
        <v>21</v>
      </c>
      <c r="AL765" s="4">
        <v>5</v>
      </c>
      <c r="AM765" s="4">
        <v>5</v>
      </c>
      <c r="AN765" s="4">
        <v>0</v>
      </c>
      <c r="AO765" s="4">
        <v>0</v>
      </c>
      <c r="AP765" s="3" t="s">
        <v>59</v>
      </c>
      <c r="AQ765" s="3" t="s">
        <v>69</v>
      </c>
      <c r="AR765" s="6" t="str">
        <f>HYPERLINK("http://catalog.hathitrust.org/Record/000717373","HathiTrust Record")</f>
        <v>HathiTrust Record</v>
      </c>
      <c r="AS765" s="6" t="str">
        <f>HYPERLINK("https://creighton-primo.hosted.exlibrisgroup.com/primo-explore/search?tab=default_tab&amp;search_scope=EVERYTHING&amp;vid=01CRU&amp;lang=en_US&amp;offset=0&amp;query=any,contains,991005016849702656","Catalog Record")</f>
        <v>Catalog Record</v>
      </c>
      <c r="AT765" s="6" t="str">
        <f>HYPERLINK("http://www.worldcat.org/oclc/6627106","WorldCat Record")</f>
        <v>WorldCat Record</v>
      </c>
      <c r="AU765" s="3" t="s">
        <v>9238</v>
      </c>
      <c r="AV765" s="3" t="s">
        <v>9239</v>
      </c>
      <c r="AW765" s="3" t="s">
        <v>9240</v>
      </c>
      <c r="AX765" s="3" t="s">
        <v>9240</v>
      </c>
      <c r="AY765" s="3" t="s">
        <v>9241</v>
      </c>
      <c r="AZ765" s="3" t="s">
        <v>74</v>
      </c>
      <c r="BB765" s="3" t="s">
        <v>9242</v>
      </c>
      <c r="BC765" s="3" t="s">
        <v>9243</v>
      </c>
      <c r="BD765" s="3" t="s">
        <v>9244</v>
      </c>
    </row>
    <row r="766" spans="1:56" ht="57.75" customHeight="1" x14ac:dyDescent="0.25">
      <c r="A766" s="7" t="s">
        <v>59</v>
      </c>
      <c r="B766" s="2" t="s">
        <v>9245</v>
      </c>
      <c r="C766" s="2" t="s">
        <v>9246</v>
      </c>
      <c r="D766" s="2" t="s">
        <v>9247</v>
      </c>
      <c r="F766" s="3" t="s">
        <v>59</v>
      </c>
      <c r="G766" s="3" t="s">
        <v>60</v>
      </c>
      <c r="H766" s="3" t="s">
        <v>59</v>
      </c>
      <c r="I766" s="3" t="s">
        <v>59</v>
      </c>
      <c r="J766" s="3" t="s">
        <v>61</v>
      </c>
      <c r="K766" s="2" t="s">
        <v>9248</v>
      </c>
      <c r="L766" s="2" t="s">
        <v>9249</v>
      </c>
      <c r="M766" s="3" t="s">
        <v>571</v>
      </c>
      <c r="O766" s="3" t="s">
        <v>64</v>
      </c>
      <c r="P766" s="3" t="s">
        <v>145</v>
      </c>
      <c r="Q766" s="2" t="s">
        <v>9250</v>
      </c>
      <c r="R766" s="3" t="s">
        <v>67</v>
      </c>
      <c r="S766" s="4">
        <v>1</v>
      </c>
      <c r="T766" s="4">
        <v>1</v>
      </c>
      <c r="U766" s="5" t="s">
        <v>9251</v>
      </c>
      <c r="V766" s="5" t="s">
        <v>9251</v>
      </c>
      <c r="W766" s="5" t="s">
        <v>9252</v>
      </c>
      <c r="X766" s="5" t="s">
        <v>9252</v>
      </c>
      <c r="Y766" s="4">
        <v>794</v>
      </c>
      <c r="Z766" s="4">
        <v>675</v>
      </c>
      <c r="AA766" s="4">
        <v>677</v>
      </c>
      <c r="AB766" s="4">
        <v>4</v>
      </c>
      <c r="AC766" s="4">
        <v>4</v>
      </c>
      <c r="AD766" s="4">
        <v>26</v>
      </c>
      <c r="AE766" s="4">
        <v>26</v>
      </c>
      <c r="AF766" s="4">
        <v>8</v>
      </c>
      <c r="AG766" s="4">
        <v>8</v>
      </c>
      <c r="AH766" s="4">
        <v>6</v>
      </c>
      <c r="AI766" s="4">
        <v>6</v>
      </c>
      <c r="AJ766" s="4">
        <v>16</v>
      </c>
      <c r="AK766" s="4">
        <v>16</v>
      </c>
      <c r="AL766" s="4">
        <v>3</v>
      </c>
      <c r="AM766" s="4">
        <v>3</v>
      </c>
      <c r="AN766" s="4">
        <v>0</v>
      </c>
      <c r="AO766" s="4">
        <v>0</v>
      </c>
      <c r="AP766" s="3" t="s">
        <v>59</v>
      </c>
      <c r="AQ766" s="3" t="s">
        <v>69</v>
      </c>
      <c r="AR766" s="6" t="str">
        <f>HYPERLINK("http://catalog.hathitrust.org/Record/001498910","HathiTrust Record")</f>
        <v>HathiTrust Record</v>
      </c>
      <c r="AS766" s="6" t="str">
        <f>HYPERLINK("https://creighton-primo.hosted.exlibrisgroup.com/primo-explore/search?tab=default_tab&amp;search_scope=EVERYTHING&amp;vid=01CRU&amp;lang=en_US&amp;offset=0&amp;query=any,contains,991002987309702656","Catalog Record")</f>
        <v>Catalog Record</v>
      </c>
      <c r="AT766" s="6" t="str">
        <f>HYPERLINK("http://www.worldcat.org/oclc/558315","WorldCat Record")</f>
        <v>WorldCat Record</v>
      </c>
      <c r="AU766" s="3" t="s">
        <v>9253</v>
      </c>
      <c r="AV766" s="3" t="s">
        <v>9254</v>
      </c>
      <c r="AW766" s="3" t="s">
        <v>9255</v>
      </c>
      <c r="AX766" s="3" t="s">
        <v>9255</v>
      </c>
      <c r="AY766" s="3" t="s">
        <v>9256</v>
      </c>
      <c r="AZ766" s="3" t="s">
        <v>74</v>
      </c>
      <c r="BC766" s="3" t="s">
        <v>9257</v>
      </c>
      <c r="BD766" s="3" t="s">
        <v>9258</v>
      </c>
    </row>
    <row r="767" spans="1:56" ht="57.75" customHeight="1" x14ac:dyDescent="0.25">
      <c r="A767" s="7" t="s">
        <v>59</v>
      </c>
      <c r="B767" s="2" t="s">
        <v>9259</v>
      </c>
      <c r="C767" s="2" t="s">
        <v>9260</v>
      </c>
      <c r="D767" s="2" t="s">
        <v>9261</v>
      </c>
      <c r="F767" s="3" t="s">
        <v>59</v>
      </c>
      <c r="G767" s="3" t="s">
        <v>60</v>
      </c>
      <c r="H767" s="3" t="s">
        <v>59</v>
      </c>
      <c r="I767" s="3" t="s">
        <v>59</v>
      </c>
      <c r="J767" s="3" t="s">
        <v>61</v>
      </c>
      <c r="K767" s="2" t="s">
        <v>9262</v>
      </c>
      <c r="L767" s="2" t="s">
        <v>9263</v>
      </c>
      <c r="M767" s="3" t="s">
        <v>1757</v>
      </c>
      <c r="N767" s="2" t="s">
        <v>9264</v>
      </c>
      <c r="O767" s="3" t="s">
        <v>64</v>
      </c>
      <c r="P767" s="3" t="s">
        <v>467</v>
      </c>
      <c r="R767" s="3" t="s">
        <v>67</v>
      </c>
      <c r="S767" s="4">
        <v>9</v>
      </c>
      <c r="T767" s="4">
        <v>9</v>
      </c>
      <c r="U767" s="5" t="s">
        <v>9265</v>
      </c>
      <c r="V767" s="5" t="s">
        <v>9265</v>
      </c>
      <c r="W767" s="5" t="s">
        <v>7685</v>
      </c>
      <c r="X767" s="5" t="s">
        <v>7685</v>
      </c>
      <c r="Y767" s="4">
        <v>371</v>
      </c>
      <c r="Z767" s="4">
        <v>355</v>
      </c>
      <c r="AA767" s="4">
        <v>794</v>
      </c>
      <c r="AB767" s="4">
        <v>5</v>
      </c>
      <c r="AC767" s="4">
        <v>8</v>
      </c>
      <c r="AD767" s="4">
        <v>2</v>
      </c>
      <c r="AE767" s="4">
        <v>6</v>
      </c>
      <c r="AF767" s="4">
        <v>0</v>
      </c>
      <c r="AG767" s="4">
        <v>2</v>
      </c>
      <c r="AH767" s="4">
        <v>1</v>
      </c>
      <c r="AI767" s="4">
        <v>2</v>
      </c>
      <c r="AJ767" s="4">
        <v>0</v>
      </c>
      <c r="AK767" s="4">
        <v>0</v>
      </c>
      <c r="AL767" s="4">
        <v>1</v>
      </c>
      <c r="AM767" s="4">
        <v>2</v>
      </c>
      <c r="AN767" s="4">
        <v>0</v>
      </c>
      <c r="AO767" s="4">
        <v>0</v>
      </c>
      <c r="AP767" s="3" t="s">
        <v>59</v>
      </c>
      <c r="AQ767" s="3" t="s">
        <v>69</v>
      </c>
      <c r="AR767" s="6" t="str">
        <f>HYPERLINK("http://catalog.hathitrust.org/Record/009474439","HathiTrust Record")</f>
        <v>HathiTrust Record</v>
      </c>
      <c r="AS767" s="6" t="str">
        <f>HYPERLINK("https://creighton-primo.hosted.exlibrisgroup.com/primo-explore/search?tab=default_tab&amp;search_scope=EVERYTHING&amp;vid=01CRU&amp;lang=en_US&amp;offset=0&amp;query=any,contains,991002762319702656","Catalog Record")</f>
        <v>Catalog Record</v>
      </c>
      <c r="AT767" s="6" t="str">
        <f>HYPERLINK("http://www.worldcat.org/oclc/36240227","WorldCat Record")</f>
        <v>WorldCat Record</v>
      </c>
      <c r="AU767" s="3" t="s">
        <v>9266</v>
      </c>
      <c r="AV767" s="3" t="s">
        <v>9267</v>
      </c>
      <c r="AW767" s="3" t="s">
        <v>9268</v>
      </c>
      <c r="AX767" s="3" t="s">
        <v>9268</v>
      </c>
      <c r="AY767" s="3" t="s">
        <v>9269</v>
      </c>
      <c r="AZ767" s="3" t="s">
        <v>74</v>
      </c>
      <c r="BB767" s="3" t="s">
        <v>9270</v>
      </c>
      <c r="BC767" s="3" t="s">
        <v>9271</v>
      </c>
      <c r="BD767" s="3" t="s">
        <v>9272</v>
      </c>
    </row>
    <row r="768" spans="1:56" ht="57.75" customHeight="1" x14ac:dyDescent="0.25">
      <c r="A768" s="7" t="s">
        <v>59</v>
      </c>
      <c r="B768" s="2" t="s">
        <v>9273</v>
      </c>
      <c r="C768" s="2" t="s">
        <v>9274</v>
      </c>
      <c r="D768" s="2" t="s">
        <v>9275</v>
      </c>
      <c r="F768" s="3" t="s">
        <v>59</v>
      </c>
      <c r="G768" s="3" t="s">
        <v>60</v>
      </c>
      <c r="H768" s="3" t="s">
        <v>59</v>
      </c>
      <c r="I768" s="3" t="s">
        <v>59</v>
      </c>
      <c r="J768" s="3" t="s">
        <v>61</v>
      </c>
      <c r="K768" s="2" t="s">
        <v>9276</v>
      </c>
      <c r="L768" s="2" t="s">
        <v>9277</v>
      </c>
      <c r="M768" s="3" t="s">
        <v>452</v>
      </c>
      <c r="N768" s="2" t="s">
        <v>572</v>
      </c>
      <c r="O768" s="3" t="s">
        <v>64</v>
      </c>
      <c r="P768" s="3" t="s">
        <v>467</v>
      </c>
      <c r="R768" s="3" t="s">
        <v>67</v>
      </c>
      <c r="S768" s="4">
        <v>3</v>
      </c>
      <c r="T768" s="4">
        <v>3</v>
      </c>
      <c r="U768" s="5" t="s">
        <v>5826</v>
      </c>
      <c r="V768" s="5" t="s">
        <v>5826</v>
      </c>
      <c r="W768" s="5" t="s">
        <v>575</v>
      </c>
      <c r="X768" s="5" t="s">
        <v>575</v>
      </c>
      <c r="Y768" s="4">
        <v>678</v>
      </c>
      <c r="Z768" s="4">
        <v>643</v>
      </c>
      <c r="AA768" s="4">
        <v>682</v>
      </c>
      <c r="AB768" s="4">
        <v>6</v>
      </c>
      <c r="AC768" s="4">
        <v>6</v>
      </c>
      <c r="AD768" s="4">
        <v>15</v>
      </c>
      <c r="AE768" s="4">
        <v>15</v>
      </c>
      <c r="AF768" s="4">
        <v>4</v>
      </c>
      <c r="AG768" s="4">
        <v>4</v>
      </c>
      <c r="AH768" s="4">
        <v>2</v>
      </c>
      <c r="AI768" s="4">
        <v>2</v>
      </c>
      <c r="AJ768" s="4">
        <v>8</v>
      </c>
      <c r="AK768" s="4">
        <v>8</v>
      </c>
      <c r="AL768" s="4">
        <v>5</v>
      </c>
      <c r="AM768" s="4">
        <v>5</v>
      </c>
      <c r="AN768" s="4">
        <v>0</v>
      </c>
      <c r="AO768" s="4">
        <v>0</v>
      </c>
      <c r="AP768" s="3" t="s">
        <v>59</v>
      </c>
      <c r="AQ768" s="3" t="s">
        <v>69</v>
      </c>
      <c r="AR768" s="6" t="str">
        <f>HYPERLINK("http://catalog.hathitrust.org/Record/001498913","HathiTrust Record")</f>
        <v>HathiTrust Record</v>
      </c>
      <c r="AS768" s="6" t="str">
        <f>HYPERLINK("https://creighton-primo.hosted.exlibrisgroup.com/primo-explore/search?tab=default_tab&amp;search_scope=EVERYTHING&amp;vid=01CRU&amp;lang=en_US&amp;offset=0&amp;query=any,contains,991003181959702656","Catalog Record")</f>
        <v>Catalog Record</v>
      </c>
      <c r="AT768" s="6" t="str">
        <f>HYPERLINK("http://www.worldcat.org/oclc/711939","WorldCat Record")</f>
        <v>WorldCat Record</v>
      </c>
      <c r="AU768" s="3" t="s">
        <v>9278</v>
      </c>
      <c r="AV768" s="3" t="s">
        <v>9279</v>
      </c>
      <c r="AW768" s="3" t="s">
        <v>9280</v>
      </c>
      <c r="AX768" s="3" t="s">
        <v>9280</v>
      </c>
      <c r="AY768" s="3" t="s">
        <v>9281</v>
      </c>
      <c r="AZ768" s="3" t="s">
        <v>74</v>
      </c>
      <c r="BC768" s="3" t="s">
        <v>9282</v>
      </c>
      <c r="BD768" s="3" t="s">
        <v>9283</v>
      </c>
    </row>
    <row r="769" spans="1:56" ht="57.75" customHeight="1" x14ac:dyDescent="0.25">
      <c r="A769" s="7" t="s">
        <v>59</v>
      </c>
      <c r="B769" s="2" t="s">
        <v>9284</v>
      </c>
      <c r="C769" s="2" t="s">
        <v>9285</v>
      </c>
      <c r="D769" s="2" t="s">
        <v>9286</v>
      </c>
      <c r="F769" s="3" t="s">
        <v>59</v>
      </c>
      <c r="G769" s="3" t="s">
        <v>60</v>
      </c>
      <c r="H769" s="3" t="s">
        <v>59</v>
      </c>
      <c r="I769" s="3" t="s">
        <v>59</v>
      </c>
      <c r="J769" s="3" t="s">
        <v>61</v>
      </c>
      <c r="K769" s="2" t="s">
        <v>9287</v>
      </c>
      <c r="L769" s="2" t="s">
        <v>9288</v>
      </c>
      <c r="M769" s="3" t="s">
        <v>313</v>
      </c>
      <c r="N769" s="2" t="s">
        <v>556</v>
      </c>
      <c r="O769" s="3" t="s">
        <v>64</v>
      </c>
      <c r="P769" s="3" t="s">
        <v>467</v>
      </c>
      <c r="R769" s="3" t="s">
        <v>67</v>
      </c>
      <c r="S769" s="4">
        <v>2</v>
      </c>
      <c r="T769" s="4">
        <v>2</v>
      </c>
      <c r="U769" s="5" t="s">
        <v>8643</v>
      </c>
      <c r="V769" s="5" t="s">
        <v>8643</v>
      </c>
      <c r="W769" s="5" t="s">
        <v>8643</v>
      </c>
      <c r="X769" s="5" t="s">
        <v>8643</v>
      </c>
      <c r="Y769" s="4">
        <v>1143</v>
      </c>
      <c r="Z769" s="4">
        <v>1078</v>
      </c>
      <c r="AA769" s="4">
        <v>1141</v>
      </c>
      <c r="AB769" s="4">
        <v>7</v>
      </c>
      <c r="AC769" s="4">
        <v>7</v>
      </c>
      <c r="AD769" s="4">
        <v>33</v>
      </c>
      <c r="AE769" s="4">
        <v>33</v>
      </c>
      <c r="AF769" s="4">
        <v>13</v>
      </c>
      <c r="AG769" s="4">
        <v>13</v>
      </c>
      <c r="AH769" s="4">
        <v>4</v>
      </c>
      <c r="AI769" s="4">
        <v>4</v>
      </c>
      <c r="AJ769" s="4">
        <v>17</v>
      </c>
      <c r="AK769" s="4">
        <v>17</v>
      </c>
      <c r="AL769" s="4">
        <v>4</v>
      </c>
      <c r="AM769" s="4">
        <v>4</v>
      </c>
      <c r="AN769" s="4">
        <v>1</v>
      </c>
      <c r="AO769" s="4">
        <v>1</v>
      </c>
      <c r="AP769" s="3" t="s">
        <v>59</v>
      </c>
      <c r="AQ769" s="3" t="s">
        <v>59</v>
      </c>
      <c r="AS769" s="6" t="str">
        <f>HYPERLINK("https://creighton-primo.hosted.exlibrisgroup.com/primo-explore/search?tab=default_tab&amp;search_scope=EVERYTHING&amp;vid=01CRU&amp;lang=en_US&amp;offset=0&amp;query=any,contains,991003859749702656","Catalog Record")</f>
        <v>Catalog Record</v>
      </c>
      <c r="AT769" s="6" t="str">
        <f>HYPERLINK("http://www.worldcat.org/oclc/44619479","WorldCat Record")</f>
        <v>WorldCat Record</v>
      </c>
      <c r="AU769" s="3" t="s">
        <v>9289</v>
      </c>
      <c r="AV769" s="3" t="s">
        <v>9290</v>
      </c>
      <c r="AW769" s="3" t="s">
        <v>9291</v>
      </c>
      <c r="AX769" s="3" t="s">
        <v>9291</v>
      </c>
      <c r="AY769" s="3" t="s">
        <v>9292</v>
      </c>
      <c r="AZ769" s="3" t="s">
        <v>74</v>
      </c>
      <c r="BB769" s="3" t="s">
        <v>9293</v>
      </c>
      <c r="BC769" s="3" t="s">
        <v>9294</v>
      </c>
      <c r="BD769" s="3" t="s">
        <v>9295</v>
      </c>
    </row>
    <row r="770" spans="1:56" ht="57.75" customHeight="1" x14ac:dyDescent="0.25">
      <c r="A770" s="7" t="s">
        <v>59</v>
      </c>
      <c r="B770" s="2" t="s">
        <v>9296</v>
      </c>
      <c r="C770" s="2" t="s">
        <v>9297</v>
      </c>
      <c r="D770" s="2" t="s">
        <v>9298</v>
      </c>
      <c r="F770" s="3" t="s">
        <v>59</v>
      </c>
      <c r="G770" s="3" t="s">
        <v>60</v>
      </c>
      <c r="H770" s="3" t="s">
        <v>59</v>
      </c>
      <c r="I770" s="3" t="s">
        <v>59</v>
      </c>
      <c r="J770" s="3" t="s">
        <v>61</v>
      </c>
      <c r="K770" s="2" t="s">
        <v>9299</v>
      </c>
      <c r="L770" s="2" t="s">
        <v>9300</v>
      </c>
      <c r="M770" s="3" t="s">
        <v>931</v>
      </c>
      <c r="O770" s="3" t="s">
        <v>64</v>
      </c>
      <c r="P770" s="3" t="s">
        <v>467</v>
      </c>
      <c r="Q770" s="2" t="s">
        <v>9301</v>
      </c>
      <c r="R770" s="3" t="s">
        <v>67</v>
      </c>
      <c r="S770" s="4">
        <v>6</v>
      </c>
      <c r="T770" s="4">
        <v>6</v>
      </c>
      <c r="U770" s="5" t="s">
        <v>9302</v>
      </c>
      <c r="V770" s="5" t="s">
        <v>9302</v>
      </c>
      <c r="W770" s="5" t="s">
        <v>9303</v>
      </c>
      <c r="X770" s="5" t="s">
        <v>9303</v>
      </c>
      <c r="Y770" s="4">
        <v>621</v>
      </c>
      <c r="Z770" s="4">
        <v>569</v>
      </c>
      <c r="AA770" s="4">
        <v>721</v>
      </c>
      <c r="AB770" s="4">
        <v>2</v>
      </c>
      <c r="AC770" s="4">
        <v>3</v>
      </c>
      <c r="AD770" s="4">
        <v>27</v>
      </c>
      <c r="AE770" s="4">
        <v>33</v>
      </c>
      <c r="AF770" s="4">
        <v>10</v>
      </c>
      <c r="AG770" s="4">
        <v>13</v>
      </c>
      <c r="AH770" s="4">
        <v>6</v>
      </c>
      <c r="AI770" s="4">
        <v>7</v>
      </c>
      <c r="AJ770" s="4">
        <v>18</v>
      </c>
      <c r="AK770" s="4">
        <v>22</v>
      </c>
      <c r="AL770" s="4">
        <v>1</v>
      </c>
      <c r="AM770" s="4">
        <v>2</v>
      </c>
      <c r="AN770" s="4">
        <v>0</v>
      </c>
      <c r="AO770" s="4">
        <v>0</v>
      </c>
      <c r="AP770" s="3" t="s">
        <v>59</v>
      </c>
      <c r="AQ770" s="3" t="s">
        <v>69</v>
      </c>
      <c r="AR770" s="6" t="str">
        <f>HYPERLINK("http://catalog.hathitrust.org/Record/000352242","HathiTrust Record")</f>
        <v>HathiTrust Record</v>
      </c>
      <c r="AS770" s="6" t="str">
        <f>HYPERLINK("https://creighton-primo.hosted.exlibrisgroup.com/primo-explore/search?tab=default_tab&amp;search_scope=EVERYTHING&amp;vid=01CRU&amp;lang=en_US&amp;offset=0&amp;query=any,contains,991003199689702656","Catalog Record")</f>
        <v>Catalog Record</v>
      </c>
      <c r="AT770" s="6" t="str">
        <f>HYPERLINK("http://www.worldcat.org/oclc/724190","WorldCat Record")</f>
        <v>WorldCat Record</v>
      </c>
      <c r="AU770" s="3" t="s">
        <v>9304</v>
      </c>
      <c r="AV770" s="3" t="s">
        <v>9305</v>
      </c>
      <c r="AW770" s="3" t="s">
        <v>9306</v>
      </c>
      <c r="AX770" s="3" t="s">
        <v>9306</v>
      </c>
      <c r="AY770" s="3" t="s">
        <v>9307</v>
      </c>
      <c r="AZ770" s="3" t="s">
        <v>74</v>
      </c>
      <c r="BB770" s="3" t="s">
        <v>9308</v>
      </c>
      <c r="BC770" s="3" t="s">
        <v>9309</v>
      </c>
      <c r="BD770" s="3" t="s">
        <v>9310</v>
      </c>
    </row>
    <row r="771" spans="1:56" ht="57.75" customHeight="1" x14ac:dyDescent="0.25">
      <c r="A771" s="7" t="s">
        <v>59</v>
      </c>
      <c r="B771" s="2" t="s">
        <v>9311</v>
      </c>
      <c r="C771" s="2" t="s">
        <v>9312</v>
      </c>
      <c r="D771" s="2" t="s">
        <v>9313</v>
      </c>
      <c r="F771" s="3" t="s">
        <v>59</v>
      </c>
      <c r="G771" s="3" t="s">
        <v>60</v>
      </c>
      <c r="H771" s="3" t="s">
        <v>59</v>
      </c>
      <c r="I771" s="3" t="s">
        <v>59</v>
      </c>
      <c r="J771" s="3" t="s">
        <v>61</v>
      </c>
      <c r="K771" s="2" t="s">
        <v>9314</v>
      </c>
      <c r="L771" s="2" t="s">
        <v>9315</v>
      </c>
      <c r="M771" s="3" t="s">
        <v>404</v>
      </c>
      <c r="O771" s="3" t="s">
        <v>64</v>
      </c>
      <c r="P771" s="3" t="s">
        <v>467</v>
      </c>
      <c r="R771" s="3" t="s">
        <v>67</v>
      </c>
      <c r="S771" s="4">
        <v>1</v>
      </c>
      <c r="T771" s="4">
        <v>1</v>
      </c>
      <c r="U771" s="5" t="s">
        <v>9316</v>
      </c>
      <c r="V771" s="5" t="s">
        <v>9316</v>
      </c>
      <c r="W771" s="5" t="s">
        <v>575</v>
      </c>
      <c r="X771" s="5" t="s">
        <v>575</v>
      </c>
      <c r="Y771" s="4">
        <v>592</v>
      </c>
      <c r="Z771" s="4">
        <v>565</v>
      </c>
      <c r="AA771" s="4">
        <v>603</v>
      </c>
      <c r="AB771" s="4">
        <v>4</v>
      </c>
      <c r="AC771" s="4">
        <v>4</v>
      </c>
      <c r="AD771" s="4">
        <v>10</v>
      </c>
      <c r="AE771" s="4">
        <v>10</v>
      </c>
      <c r="AF771" s="4">
        <v>4</v>
      </c>
      <c r="AG771" s="4">
        <v>4</v>
      </c>
      <c r="AH771" s="4">
        <v>1</v>
      </c>
      <c r="AI771" s="4">
        <v>1</v>
      </c>
      <c r="AJ771" s="4">
        <v>5</v>
      </c>
      <c r="AK771" s="4">
        <v>5</v>
      </c>
      <c r="AL771" s="4">
        <v>2</v>
      </c>
      <c r="AM771" s="4">
        <v>2</v>
      </c>
      <c r="AN771" s="4">
        <v>0</v>
      </c>
      <c r="AO771" s="4">
        <v>0</v>
      </c>
      <c r="AP771" s="3" t="s">
        <v>59</v>
      </c>
      <c r="AQ771" s="3" t="s">
        <v>69</v>
      </c>
      <c r="AR771" s="6" t="str">
        <f>HYPERLINK("http://catalog.hathitrust.org/Record/001498916","HathiTrust Record")</f>
        <v>HathiTrust Record</v>
      </c>
      <c r="AS771" s="6" t="str">
        <f>HYPERLINK("https://creighton-primo.hosted.exlibrisgroup.com/primo-explore/search?tab=default_tab&amp;search_scope=EVERYTHING&amp;vid=01CRU&amp;lang=en_US&amp;offset=0&amp;query=any,contains,991002780869702656","Catalog Record")</f>
        <v>Catalog Record</v>
      </c>
      <c r="AT771" s="6" t="str">
        <f>HYPERLINK("http://www.worldcat.org/oclc/440180","WorldCat Record")</f>
        <v>WorldCat Record</v>
      </c>
      <c r="AU771" s="3" t="s">
        <v>9317</v>
      </c>
      <c r="AV771" s="3" t="s">
        <v>9318</v>
      </c>
      <c r="AW771" s="3" t="s">
        <v>9319</v>
      </c>
      <c r="AX771" s="3" t="s">
        <v>9319</v>
      </c>
      <c r="AY771" s="3" t="s">
        <v>9320</v>
      </c>
      <c r="AZ771" s="3" t="s">
        <v>74</v>
      </c>
      <c r="BC771" s="3" t="s">
        <v>9321</v>
      </c>
      <c r="BD771" s="3" t="s">
        <v>9322</v>
      </c>
    </row>
    <row r="772" spans="1:56" ht="57.75" customHeight="1" x14ac:dyDescent="0.25">
      <c r="A772" s="7" t="s">
        <v>59</v>
      </c>
      <c r="B772" s="2" t="s">
        <v>9323</v>
      </c>
      <c r="C772" s="2" t="s">
        <v>9324</v>
      </c>
      <c r="D772" s="2" t="s">
        <v>9325</v>
      </c>
      <c r="F772" s="3" t="s">
        <v>59</v>
      </c>
      <c r="G772" s="3" t="s">
        <v>60</v>
      </c>
      <c r="H772" s="3" t="s">
        <v>59</v>
      </c>
      <c r="I772" s="3" t="s">
        <v>59</v>
      </c>
      <c r="J772" s="3" t="s">
        <v>61</v>
      </c>
      <c r="K772" s="2" t="s">
        <v>9326</v>
      </c>
      <c r="L772" s="2" t="s">
        <v>9327</v>
      </c>
      <c r="M772" s="3" t="s">
        <v>2510</v>
      </c>
      <c r="O772" s="3" t="s">
        <v>64</v>
      </c>
      <c r="P772" s="3" t="s">
        <v>467</v>
      </c>
      <c r="R772" s="3" t="s">
        <v>67</v>
      </c>
      <c r="S772" s="4">
        <v>112</v>
      </c>
      <c r="T772" s="4">
        <v>112</v>
      </c>
      <c r="U772" s="5" t="s">
        <v>6753</v>
      </c>
      <c r="V772" s="5" t="s">
        <v>6753</v>
      </c>
      <c r="W772" s="5" t="s">
        <v>9328</v>
      </c>
      <c r="X772" s="5" t="s">
        <v>9328</v>
      </c>
      <c r="Y772" s="4">
        <v>1107</v>
      </c>
      <c r="Z772" s="4">
        <v>979</v>
      </c>
      <c r="AA772" s="4">
        <v>1009</v>
      </c>
      <c r="AB772" s="4">
        <v>8</v>
      </c>
      <c r="AC772" s="4">
        <v>8</v>
      </c>
      <c r="AD772" s="4">
        <v>31</v>
      </c>
      <c r="AE772" s="4">
        <v>31</v>
      </c>
      <c r="AF772" s="4">
        <v>11</v>
      </c>
      <c r="AG772" s="4">
        <v>11</v>
      </c>
      <c r="AH772" s="4">
        <v>7</v>
      </c>
      <c r="AI772" s="4">
        <v>7</v>
      </c>
      <c r="AJ772" s="4">
        <v>17</v>
      </c>
      <c r="AK772" s="4">
        <v>17</v>
      </c>
      <c r="AL772" s="4">
        <v>5</v>
      </c>
      <c r="AM772" s="4">
        <v>5</v>
      </c>
      <c r="AN772" s="4">
        <v>0</v>
      </c>
      <c r="AO772" s="4">
        <v>0</v>
      </c>
      <c r="AP772" s="3" t="s">
        <v>59</v>
      </c>
      <c r="AQ772" s="3" t="s">
        <v>59</v>
      </c>
      <c r="AS772" s="6" t="str">
        <f>HYPERLINK("https://creighton-primo.hosted.exlibrisgroup.com/primo-explore/search?tab=default_tab&amp;search_scope=EVERYTHING&amp;vid=01CRU&amp;lang=en_US&amp;offset=0&amp;query=any,contains,991001881959702656","Catalog Record")</f>
        <v>Catalog Record</v>
      </c>
      <c r="AT772" s="6" t="str">
        <f>HYPERLINK("http://www.worldcat.org/oclc/23732474","WorldCat Record")</f>
        <v>WorldCat Record</v>
      </c>
      <c r="AU772" s="3" t="s">
        <v>9329</v>
      </c>
      <c r="AV772" s="3" t="s">
        <v>9330</v>
      </c>
      <c r="AW772" s="3" t="s">
        <v>9331</v>
      </c>
      <c r="AX772" s="3" t="s">
        <v>9331</v>
      </c>
      <c r="AY772" s="3" t="s">
        <v>9332</v>
      </c>
      <c r="AZ772" s="3" t="s">
        <v>74</v>
      </c>
      <c r="BB772" s="3" t="s">
        <v>9333</v>
      </c>
      <c r="BC772" s="3" t="s">
        <v>9334</v>
      </c>
      <c r="BD772" s="3" t="s">
        <v>9335</v>
      </c>
    </row>
    <row r="773" spans="1:56" ht="57.75" customHeight="1" x14ac:dyDescent="0.25">
      <c r="A773" s="7" t="s">
        <v>59</v>
      </c>
      <c r="B773" s="2" t="s">
        <v>9336</v>
      </c>
      <c r="C773" s="2" t="s">
        <v>9337</v>
      </c>
      <c r="D773" s="2" t="s">
        <v>9338</v>
      </c>
      <c r="F773" s="3" t="s">
        <v>59</v>
      </c>
      <c r="G773" s="3" t="s">
        <v>60</v>
      </c>
      <c r="H773" s="3" t="s">
        <v>59</v>
      </c>
      <c r="I773" s="3" t="s">
        <v>59</v>
      </c>
      <c r="J773" s="3" t="s">
        <v>61</v>
      </c>
      <c r="K773" s="2" t="s">
        <v>9339</v>
      </c>
      <c r="L773" s="2" t="s">
        <v>9340</v>
      </c>
      <c r="M773" s="3" t="s">
        <v>9341</v>
      </c>
      <c r="O773" s="3" t="s">
        <v>64</v>
      </c>
      <c r="P773" s="3" t="s">
        <v>932</v>
      </c>
      <c r="R773" s="3" t="s">
        <v>67</v>
      </c>
      <c r="S773" s="4">
        <v>2</v>
      </c>
      <c r="T773" s="4">
        <v>2</v>
      </c>
      <c r="U773" s="5" t="s">
        <v>9342</v>
      </c>
      <c r="V773" s="5" t="s">
        <v>9342</v>
      </c>
      <c r="W773" s="5" t="s">
        <v>575</v>
      </c>
      <c r="X773" s="5" t="s">
        <v>575</v>
      </c>
      <c r="Y773" s="4">
        <v>164</v>
      </c>
      <c r="Z773" s="4">
        <v>157</v>
      </c>
      <c r="AA773" s="4">
        <v>163</v>
      </c>
      <c r="AB773" s="4">
        <v>1</v>
      </c>
      <c r="AC773" s="4">
        <v>1</v>
      </c>
      <c r="AD773" s="4">
        <v>1</v>
      </c>
      <c r="AE773" s="4">
        <v>1</v>
      </c>
      <c r="AF773" s="4">
        <v>0</v>
      </c>
      <c r="AG773" s="4">
        <v>0</v>
      </c>
      <c r="AH773" s="4">
        <v>0</v>
      </c>
      <c r="AI773" s="4">
        <v>0</v>
      </c>
      <c r="AJ773" s="4">
        <v>1</v>
      </c>
      <c r="AK773" s="4">
        <v>1</v>
      </c>
      <c r="AL773" s="4">
        <v>0</v>
      </c>
      <c r="AM773" s="4">
        <v>0</v>
      </c>
      <c r="AN773" s="4">
        <v>0</v>
      </c>
      <c r="AO773" s="4">
        <v>0</v>
      </c>
      <c r="AP773" s="3" t="s">
        <v>59</v>
      </c>
      <c r="AQ773" s="3" t="s">
        <v>69</v>
      </c>
      <c r="AR773" s="6" t="str">
        <f>HYPERLINK("http://catalog.hathitrust.org/Record/102102412","HathiTrust Record")</f>
        <v>HathiTrust Record</v>
      </c>
      <c r="AS773" s="6" t="str">
        <f>HYPERLINK("https://creighton-primo.hosted.exlibrisgroup.com/primo-explore/search?tab=default_tab&amp;search_scope=EVERYTHING&amp;vid=01CRU&amp;lang=en_US&amp;offset=0&amp;query=any,contains,991002635179702656","Catalog Record")</f>
        <v>Catalog Record</v>
      </c>
      <c r="AT773" s="6" t="str">
        <f>HYPERLINK("http://www.worldcat.org/oclc/382398","WorldCat Record")</f>
        <v>WorldCat Record</v>
      </c>
      <c r="AU773" s="3" t="s">
        <v>9343</v>
      </c>
      <c r="AV773" s="3" t="s">
        <v>9344</v>
      </c>
      <c r="AW773" s="3" t="s">
        <v>9345</v>
      </c>
      <c r="AX773" s="3" t="s">
        <v>9345</v>
      </c>
      <c r="AY773" s="3" t="s">
        <v>9346</v>
      </c>
      <c r="AZ773" s="3" t="s">
        <v>74</v>
      </c>
      <c r="BC773" s="3" t="s">
        <v>9347</v>
      </c>
      <c r="BD773" s="3" t="s">
        <v>9348</v>
      </c>
    </row>
  </sheetData>
  <sheetProtection sheet="1" objects="1" scenarios="1"/>
  <protectedRanges>
    <protectedRange sqref="A2:A773" name="Range1"/>
    <protectedRange sqref="A1" name="Range1_1"/>
  </protectedRanges>
  <dataValidations count="1">
    <dataValidation type="list" allowBlank="1" showInputMessage="1" showErrorMessage="1" sqref="A2:A773" xr:uid="{25FF8A8B-1E44-4D2A-8A2C-36B05135C5FF}">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4733F3F6-D91D-4004-85F2-D49DFFFCC2D3}"/>
</file>

<file path=customXml/itemProps2.xml><?xml version="1.0" encoding="utf-8"?>
<ds:datastoreItem xmlns:ds="http://schemas.openxmlformats.org/officeDocument/2006/customXml" ds:itemID="{0D88DDBB-19E5-4B3B-AD5F-10377A92B79B}"/>
</file>

<file path=customXml/itemProps3.xml><?xml version="1.0" encoding="utf-8"?>
<ds:datastoreItem xmlns:ds="http://schemas.openxmlformats.org/officeDocument/2006/customXml" ds:itemID="{6C66311E-1753-42F8-AE5C-99760A0A0B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2022-03-04T02:37:43Z</dcterms:created>
  <dcterms:modified xsi:type="dcterms:W3CDTF">2022-03-04T02:39:14Z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288400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