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eightonuniv-my.sharepoint.com/personal/ejk60737_creighton_edu/Documents/Collections/Print Book Deselection/"/>
    </mc:Choice>
  </mc:AlternateContent>
  <xr:revisionPtr revIDLastSave="18" documentId="8_{A98D6D41-0F06-40CD-A4D2-81F238EC488B}" xr6:coauthVersionLast="47" xr6:coauthVersionMax="47" xr10:uidLastSave="{56229DFC-D3E5-4A61-8F63-E8EE79F0E806}"/>
  <bookViews>
    <workbookView xWindow="-28920" yWindow="-120" windowWidth="29040" windowHeight="15840" xr2:uid="{7F5DEF62-0FB0-4113-9AA1-954217DD4C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60" i="1" l="1"/>
  <c r="AS260" i="1"/>
  <c r="AT259" i="1"/>
  <c r="AS259" i="1"/>
  <c r="AT258" i="1"/>
  <c r="AS258" i="1"/>
  <c r="AR258" i="1"/>
  <c r="AT257" i="1"/>
  <c r="AS257" i="1"/>
  <c r="AT256" i="1"/>
  <c r="AS256" i="1"/>
  <c r="AR256" i="1"/>
  <c r="AT255" i="1"/>
  <c r="AS255" i="1"/>
  <c r="AR255" i="1"/>
  <c r="AT254" i="1"/>
  <c r="AS254" i="1"/>
  <c r="AT253" i="1"/>
  <c r="AS253" i="1"/>
  <c r="AR253" i="1"/>
  <c r="AT252" i="1"/>
  <c r="AS252" i="1"/>
  <c r="AR252" i="1"/>
  <c r="AT251" i="1"/>
  <c r="AS251" i="1"/>
  <c r="AR251" i="1"/>
  <c r="AT250" i="1"/>
  <c r="AS250" i="1"/>
  <c r="AT249" i="1"/>
  <c r="AS249" i="1"/>
  <c r="AT248" i="1"/>
  <c r="AS248" i="1"/>
  <c r="AR248" i="1"/>
  <c r="AT247" i="1"/>
  <c r="AS247" i="1"/>
  <c r="AT246" i="1"/>
  <c r="AS246" i="1"/>
  <c r="AT245" i="1"/>
  <c r="AS245" i="1"/>
  <c r="AR245" i="1"/>
  <c r="AT244" i="1"/>
  <c r="AS244" i="1"/>
  <c r="AR244" i="1"/>
  <c r="AT243" i="1"/>
  <c r="AS243" i="1"/>
  <c r="AR243" i="1"/>
  <c r="AT242" i="1"/>
  <c r="AS242" i="1"/>
  <c r="AT241" i="1"/>
  <c r="AS241" i="1"/>
  <c r="AR241" i="1"/>
  <c r="AT240" i="1"/>
  <c r="AS240" i="1"/>
  <c r="AR240" i="1"/>
  <c r="AT239" i="1"/>
  <c r="AS239" i="1"/>
  <c r="AR239" i="1"/>
  <c r="AT238" i="1"/>
  <c r="AS238" i="1"/>
  <c r="AR238" i="1"/>
  <c r="AT237" i="1"/>
  <c r="AS237" i="1"/>
  <c r="AT236" i="1"/>
  <c r="AS236" i="1"/>
  <c r="AR236" i="1"/>
  <c r="AT235" i="1"/>
  <c r="AS235" i="1"/>
  <c r="AR235" i="1"/>
  <c r="AT234" i="1"/>
  <c r="AS234" i="1"/>
  <c r="AR234" i="1"/>
  <c r="AT233" i="1"/>
  <c r="AS233" i="1"/>
  <c r="AT232" i="1"/>
  <c r="AS232" i="1"/>
  <c r="AT231" i="1"/>
  <c r="AS231" i="1"/>
  <c r="AT230" i="1"/>
  <c r="AS230" i="1"/>
  <c r="AT229" i="1"/>
  <c r="AS229" i="1"/>
  <c r="AR229" i="1"/>
  <c r="AT228" i="1"/>
  <c r="AS228" i="1"/>
  <c r="AR228" i="1"/>
  <c r="AT227" i="1"/>
  <c r="AS227" i="1"/>
  <c r="AR227" i="1"/>
  <c r="AT226" i="1"/>
  <c r="AS226" i="1"/>
  <c r="AT225" i="1"/>
  <c r="AS225" i="1"/>
  <c r="AT224" i="1"/>
  <c r="AS224" i="1"/>
  <c r="AR224" i="1"/>
  <c r="AT223" i="1"/>
  <c r="AS223" i="1"/>
  <c r="AR223" i="1"/>
  <c r="AT222" i="1"/>
  <c r="AS222" i="1"/>
  <c r="AR222" i="1"/>
  <c r="AT221" i="1"/>
  <c r="AS221" i="1"/>
  <c r="AR221" i="1"/>
  <c r="AT220" i="1"/>
  <c r="AS220" i="1"/>
  <c r="AR220" i="1"/>
  <c r="AT219" i="1"/>
  <c r="AS219" i="1"/>
  <c r="AR219" i="1"/>
  <c r="AT218" i="1"/>
  <c r="AS218" i="1"/>
  <c r="AR218" i="1"/>
  <c r="AT217" i="1"/>
  <c r="AS217" i="1"/>
  <c r="AR217" i="1"/>
  <c r="AT216" i="1"/>
  <c r="AS216" i="1"/>
  <c r="AR216" i="1"/>
  <c r="AT215" i="1"/>
  <c r="AS215" i="1"/>
  <c r="AR215" i="1"/>
  <c r="AT214" i="1"/>
  <c r="AS214" i="1"/>
  <c r="AT213" i="1"/>
  <c r="AS213" i="1"/>
  <c r="AT212" i="1"/>
  <c r="AS212" i="1"/>
  <c r="AR212" i="1"/>
  <c r="AT211" i="1"/>
  <c r="AS211" i="1"/>
  <c r="AR211" i="1"/>
  <c r="AT210" i="1"/>
  <c r="AS210" i="1"/>
  <c r="AR210" i="1"/>
  <c r="AT209" i="1"/>
  <c r="AS209" i="1"/>
  <c r="AR209" i="1"/>
  <c r="AT208" i="1"/>
  <c r="AS208" i="1"/>
  <c r="AT207" i="1"/>
  <c r="AS207" i="1"/>
  <c r="AR207" i="1"/>
  <c r="AT206" i="1"/>
  <c r="AS206" i="1"/>
  <c r="AR206" i="1"/>
  <c r="AT205" i="1"/>
  <c r="AS205" i="1"/>
  <c r="AR205" i="1"/>
  <c r="AT204" i="1"/>
  <c r="AS204" i="1"/>
  <c r="AR204" i="1"/>
  <c r="AT203" i="1"/>
  <c r="AS203" i="1"/>
  <c r="AR203" i="1"/>
  <c r="AT202" i="1"/>
  <c r="AS202" i="1"/>
  <c r="AR202" i="1"/>
  <c r="AT201" i="1"/>
  <c r="AS201" i="1"/>
  <c r="AR201" i="1"/>
  <c r="AT200" i="1"/>
  <c r="AS200" i="1"/>
  <c r="AT199" i="1"/>
  <c r="AS199" i="1"/>
  <c r="AR199" i="1"/>
  <c r="AT198" i="1"/>
  <c r="AS198" i="1"/>
  <c r="AR198" i="1"/>
  <c r="AT197" i="1"/>
  <c r="AS197" i="1"/>
  <c r="AR197" i="1"/>
  <c r="AT196" i="1"/>
  <c r="AS196" i="1"/>
  <c r="AR196" i="1"/>
  <c r="AT195" i="1"/>
  <c r="AS195" i="1"/>
  <c r="AR195" i="1"/>
  <c r="AT194" i="1"/>
  <c r="AS194" i="1"/>
  <c r="AR194" i="1"/>
  <c r="AT193" i="1"/>
  <c r="AS193" i="1"/>
  <c r="AR193" i="1"/>
  <c r="AT192" i="1"/>
  <c r="AS192" i="1"/>
  <c r="AR192" i="1"/>
  <c r="AT191" i="1"/>
  <c r="AS191" i="1"/>
  <c r="AT190" i="1"/>
  <c r="AS190" i="1"/>
  <c r="AT189" i="1"/>
  <c r="AS189" i="1"/>
  <c r="AT188" i="1"/>
  <c r="AS188" i="1"/>
  <c r="AT187" i="1"/>
  <c r="AS187" i="1"/>
  <c r="AT186" i="1"/>
  <c r="AS186" i="1"/>
  <c r="AT185" i="1"/>
  <c r="AS185" i="1"/>
  <c r="AT184" i="1"/>
  <c r="AS184" i="1"/>
  <c r="AT183" i="1"/>
  <c r="AS183" i="1"/>
  <c r="AT182" i="1"/>
  <c r="AS182" i="1"/>
  <c r="AT181" i="1"/>
  <c r="AS181" i="1"/>
  <c r="AT180" i="1"/>
  <c r="AS180" i="1"/>
  <c r="AT179" i="1"/>
  <c r="AS179" i="1"/>
  <c r="AT178" i="1"/>
  <c r="AS178" i="1"/>
  <c r="AT177" i="1"/>
  <c r="AS177" i="1"/>
  <c r="AR177" i="1"/>
  <c r="AT176" i="1"/>
  <c r="AS176" i="1"/>
  <c r="AT175" i="1"/>
  <c r="AS175" i="1"/>
  <c r="AT174" i="1"/>
  <c r="AS174" i="1"/>
  <c r="AT173" i="1"/>
  <c r="AS173" i="1"/>
  <c r="AT172" i="1"/>
  <c r="AS172" i="1"/>
  <c r="AT171" i="1"/>
  <c r="AS171" i="1"/>
  <c r="AT170" i="1"/>
  <c r="AS170" i="1"/>
  <c r="AT169" i="1"/>
  <c r="AS169" i="1"/>
  <c r="AT168" i="1"/>
  <c r="AS168" i="1"/>
  <c r="AT167" i="1"/>
  <c r="AS167" i="1"/>
  <c r="AR167" i="1"/>
  <c r="AT166" i="1"/>
  <c r="AS166" i="1"/>
  <c r="AT165" i="1"/>
  <c r="AS165" i="1"/>
  <c r="AT164" i="1"/>
  <c r="AS164" i="1"/>
  <c r="AT163" i="1"/>
  <c r="AS163" i="1"/>
  <c r="AT162" i="1"/>
  <c r="AS162" i="1"/>
  <c r="AT161" i="1"/>
  <c r="AS161" i="1"/>
  <c r="AT160" i="1"/>
  <c r="AS160" i="1"/>
  <c r="AT159" i="1"/>
  <c r="AS159" i="1"/>
  <c r="AT158" i="1"/>
  <c r="AS158" i="1"/>
  <c r="AT157" i="1"/>
  <c r="AS157" i="1"/>
  <c r="AT156" i="1"/>
  <c r="AS156" i="1"/>
  <c r="AT155" i="1"/>
  <c r="AS155" i="1"/>
  <c r="AT154" i="1"/>
  <c r="AS154" i="1"/>
  <c r="AT153" i="1"/>
  <c r="AS153" i="1"/>
  <c r="AT152" i="1"/>
  <c r="AS152" i="1"/>
  <c r="AT151" i="1"/>
  <c r="AS151" i="1"/>
  <c r="AT150" i="1"/>
  <c r="AS150" i="1"/>
  <c r="AT149" i="1"/>
  <c r="AS149" i="1"/>
  <c r="AR149" i="1"/>
  <c r="AT148" i="1"/>
  <c r="AS148" i="1"/>
  <c r="AR148" i="1"/>
  <c r="AT147" i="1"/>
  <c r="AS147" i="1"/>
  <c r="AR147" i="1"/>
  <c r="AT146" i="1"/>
  <c r="AS146" i="1"/>
  <c r="AR146" i="1"/>
  <c r="AT145" i="1"/>
  <c r="AS145" i="1"/>
  <c r="AR145" i="1"/>
  <c r="AT144" i="1"/>
  <c r="AS144" i="1"/>
  <c r="AR144" i="1"/>
  <c r="AT143" i="1"/>
  <c r="AS143" i="1"/>
  <c r="AR143" i="1"/>
  <c r="AT142" i="1"/>
  <c r="AS142" i="1"/>
  <c r="AT141" i="1"/>
  <c r="AS141" i="1"/>
  <c r="AR141" i="1"/>
  <c r="AT140" i="1"/>
  <c r="AS140" i="1"/>
  <c r="AR140" i="1"/>
  <c r="AT139" i="1"/>
  <c r="AS139" i="1"/>
  <c r="AR139" i="1"/>
  <c r="AT138" i="1"/>
  <c r="AS138" i="1"/>
  <c r="AR138" i="1"/>
  <c r="AT137" i="1"/>
  <c r="AS137" i="1"/>
  <c r="AT136" i="1"/>
  <c r="AS136" i="1"/>
  <c r="AT135" i="1"/>
  <c r="AS135" i="1"/>
  <c r="AR135" i="1"/>
  <c r="AT134" i="1"/>
  <c r="AS134" i="1"/>
  <c r="AR134" i="1"/>
  <c r="AT133" i="1"/>
  <c r="AS133" i="1"/>
  <c r="AR133" i="1"/>
  <c r="AT132" i="1"/>
  <c r="AS132" i="1"/>
  <c r="AT131" i="1"/>
  <c r="AS131" i="1"/>
  <c r="AT130" i="1"/>
  <c r="AS130" i="1"/>
  <c r="AT129" i="1"/>
  <c r="AS129" i="1"/>
  <c r="AT128" i="1"/>
  <c r="AS128" i="1"/>
  <c r="AR128" i="1"/>
  <c r="AT127" i="1"/>
  <c r="AS127" i="1"/>
  <c r="AT126" i="1"/>
  <c r="AS126" i="1"/>
  <c r="AR126" i="1"/>
  <c r="AT125" i="1"/>
  <c r="AS125" i="1"/>
  <c r="AR125" i="1"/>
  <c r="AT124" i="1"/>
  <c r="AS124" i="1"/>
  <c r="AT123" i="1"/>
  <c r="AS123" i="1"/>
  <c r="AR123" i="1"/>
  <c r="AT122" i="1"/>
  <c r="AS122" i="1"/>
  <c r="AR122" i="1"/>
  <c r="AT121" i="1"/>
  <c r="AS121" i="1"/>
  <c r="AR121" i="1"/>
  <c r="AT120" i="1"/>
  <c r="AS120" i="1"/>
  <c r="AT119" i="1"/>
  <c r="AS119" i="1"/>
  <c r="AR119" i="1"/>
  <c r="AT118" i="1"/>
  <c r="AS118" i="1"/>
  <c r="AT117" i="1"/>
  <c r="AS117" i="1"/>
  <c r="AT116" i="1"/>
  <c r="AS116" i="1"/>
  <c r="AT115" i="1"/>
  <c r="AS115" i="1"/>
  <c r="AR115" i="1"/>
  <c r="AT114" i="1"/>
  <c r="AS114" i="1"/>
  <c r="AT113" i="1"/>
  <c r="AS113" i="1"/>
  <c r="AR113" i="1"/>
  <c r="AT112" i="1"/>
  <c r="AS112" i="1"/>
  <c r="AT111" i="1"/>
  <c r="AS111" i="1"/>
  <c r="AT110" i="1"/>
  <c r="AS110" i="1"/>
  <c r="AT109" i="1"/>
  <c r="AS109" i="1"/>
  <c r="AT108" i="1"/>
  <c r="AS108" i="1"/>
  <c r="AR108" i="1"/>
  <c r="AT107" i="1"/>
  <c r="AS107" i="1"/>
  <c r="AR107" i="1"/>
  <c r="AT106" i="1"/>
  <c r="AS106" i="1"/>
  <c r="AR106" i="1"/>
  <c r="AT105" i="1"/>
  <c r="AS105" i="1"/>
  <c r="AR105" i="1"/>
  <c r="AT104" i="1"/>
  <c r="AS104" i="1"/>
  <c r="AT103" i="1"/>
  <c r="AS103" i="1"/>
  <c r="AT102" i="1"/>
  <c r="AS102" i="1"/>
  <c r="AT101" i="1"/>
  <c r="AS101" i="1"/>
  <c r="AT100" i="1"/>
  <c r="AS100" i="1"/>
  <c r="AR100" i="1"/>
  <c r="AT99" i="1"/>
  <c r="AS99" i="1"/>
  <c r="AR99" i="1"/>
  <c r="AT98" i="1"/>
  <c r="AS98" i="1"/>
  <c r="AT97" i="1"/>
  <c r="AS97" i="1"/>
  <c r="AT96" i="1"/>
  <c r="AS96" i="1"/>
  <c r="AT95" i="1"/>
  <c r="AS95" i="1"/>
  <c r="AT94" i="1"/>
  <c r="AS94" i="1"/>
  <c r="AT93" i="1"/>
  <c r="AS93" i="1"/>
  <c r="AT92" i="1"/>
  <c r="AS92" i="1"/>
  <c r="AR92" i="1"/>
  <c r="AT91" i="1"/>
  <c r="AS91" i="1"/>
  <c r="AT90" i="1"/>
  <c r="AS90" i="1"/>
  <c r="AR90" i="1"/>
  <c r="AT89" i="1"/>
  <c r="AS89" i="1"/>
  <c r="AT88" i="1"/>
  <c r="AS88" i="1"/>
  <c r="AR88" i="1"/>
  <c r="AT87" i="1"/>
  <c r="AS87" i="1"/>
  <c r="AT86" i="1"/>
  <c r="AS86" i="1"/>
  <c r="AT85" i="1"/>
  <c r="AS85" i="1"/>
  <c r="AT84" i="1"/>
  <c r="AS84" i="1"/>
  <c r="AR84" i="1"/>
  <c r="AT83" i="1"/>
  <c r="AS83" i="1"/>
  <c r="AT82" i="1"/>
  <c r="AS82" i="1"/>
  <c r="AR82" i="1"/>
  <c r="AT81" i="1"/>
  <c r="AS81" i="1"/>
  <c r="AR81" i="1"/>
  <c r="AT80" i="1"/>
  <c r="AS80" i="1"/>
  <c r="AR80" i="1"/>
  <c r="AT79" i="1"/>
  <c r="AS79" i="1"/>
  <c r="AR79" i="1"/>
  <c r="AT78" i="1"/>
  <c r="AS78" i="1"/>
  <c r="AR78" i="1"/>
  <c r="AT77" i="1"/>
  <c r="AS77" i="1"/>
  <c r="AT76" i="1"/>
  <c r="AS76" i="1"/>
  <c r="AT75" i="1"/>
  <c r="AS75" i="1"/>
  <c r="AR75" i="1"/>
  <c r="AT74" i="1"/>
  <c r="AS74" i="1"/>
  <c r="AT73" i="1"/>
  <c r="AS73" i="1"/>
  <c r="AR73" i="1"/>
  <c r="AT72" i="1"/>
  <c r="AS72" i="1"/>
  <c r="AR72" i="1"/>
  <c r="AT71" i="1"/>
  <c r="AS71" i="1"/>
  <c r="AR71" i="1"/>
  <c r="AT70" i="1"/>
  <c r="AS70" i="1"/>
  <c r="AR70" i="1"/>
  <c r="AT69" i="1"/>
  <c r="AS69" i="1"/>
  <c r="AR69" i="1"/>
  <c r="AT68" i="1"/>
  <c r="AS68" i="1"/>
  <c r="AR68" i="1"/>
  <c r="AT67" i="1"/>
  <c r="AS67" i="1"/>
  <c r="AR67" i="1"/>
  <c r="AT66" i="1"/>
  <c r="AS66" i="1"/>
  <c r="AT65" i="1"/>
  <c r="AS65" i="1"/>
  <c r="AT64" i="1"/>
  <c r="AS64" i="1"/>
  <c r="AR64" i="1"/>
  <c r="AT63" i="1"/>
  <c r="AS63" i="1"/>
  <c r="AR63" i="1"/>
  <c r="AT62" i="1"/>
  <c r="AS62" i="1"/>
  <c r="AR62" i="1"/>
  <c r="AT61" i="1"/>
  <c r="AS61" i="1"/>
  <c r="AT60" i="1"/>
  <c r="AS60" i="1"/>
  <c r="AR60" i="1"/>
  <c r="AT59" i="1"/>
  <c r="AS59" i="1"/>
  <c r="AT58" i="1"/>
  <c r="AS58" i="1"/>
  <c r="AR58" i="1"/>
  <c r="AT57" i="1"/>
  <c r="AS57" i="1"/>
  <c r="AR57" i="1"/>
  <c r="AT56" i="1"/>
  <c r="AS56" i="1"/>
  <c r="AR56" i="1"/>
  <c r="AT55" i="1"/>
  <c r="AS55" i="1"/>
  <c r="AR55" i="1"/>
  <c r="AT54" i="1"/>
  <c r="AS54" i="1"/>
  <c r="AR54" i="1"/>
  <c r="AT53" i="1"/>
  <c r="AS53" i="1"/>
  <c r="AR53" i="1"/>
  <c r="AT52" i="1"/>
  <c r="AS52" i="1"/>
  <c r="AR52" i="1"/>
  <c r="AT51" i="1"/>
  <c r="AS51" i="1"/>
  <c r="AR51" i="1"/>
  <c r="AT50" i="1"/>
  <c r="AS50" i="1"/>
  <c r="AR50" i="1"/>
  <c r="AT49" i="1"/>
  <c r="AS49" i="1"/>
  <c r="AR49" i="1"/>
  <c r="AT48" i="1"/>
  <c r="AS48" i="1"/>
  <c r="AT47" i="1"/>
  <c r="AS47" i="1"/>
  <c r="AT46" i="1"/>
  <c r="AS46" i="1"/>
  <c r="AT45" i="1"/>
  <c r="AS45" i="1"/>
  <c r="AT44" i="1"/>
  <c r="AS44" i="1"/>
  <c r="AR44" i="1"/>
  <c r="AT43" i="1"/>
  <c r="AS43" i="1"/>
  <c r="AR43" i="1"/>
  <c r="AT42" i="1"/>
  <c r="AS42" i="1"/>
  <c r="AR42" i="1"/>
  <c r="AT41" i="1"/>
  <c r="AS41" i="1"/>
  <c r="AR41" i="1"/>
  <c r="AT40" i="1"/>
  <c r="AS40" i="1"/>
  <c r="AR40" i="1"/>
  <c r="AT39" i="1"/>
  <c r="AS39" i="1"/>
  <c r="AR39" i="1"/>
  <c r="AT38" i="1"/>
  <c r="AS38" i="1"/>
  <c r="AR38" i="1"/>
  <c r="AT37" i="1"/>
  <c r="AS37" i="1"/>
  <c r="AT36" i="1"/>
  <c r="AS36" i="1"/>
  <c r="AT35" i="1"/>
  <c r="AS35" i="1"/>
  <c r="AR35" i="1"/>
  <c r="AT34" i="1"/>
  <c r="AS34" i="1"/>
  <c r="AT33" i="1"/>
  <c r="AS33" i="1"/>
  <c r="AR33" i="1"/>
  <c r="AT32" i="1"/>
  <c r="AS32" i="1"/>
  <c r="AR32" i="1"/>
  <c r="AT31" i="1"/>
  <c r="AS31" i="1"/>
  <c r="AR31" i="1"/>
  <c r="AT30" i="1"/>
  <c r="AS30" i="1"/>
  <c r="AR30" i="1"/>
  <c r="AT29" i="1"/>
  <c r="AS29" i="1"/>
  <c r="AT28" i="1"/>
  <c r="AS28" i="1"/>
  <c r="AR28" i="1"/>
  <c r="AT27" i="1"/>
  <c r="AS27" i="1"/>
  <c r="AR27" i="1"/>
  <c r="AT26" i="1"/>
  <c r="AS26" i="1"/>
  <c r="AT25" i="1"/>
  <c r="AS25" i="1"/>
  <c r="AT24" i="1"/>
  <c r="AS24" i="1"/>
  <c r="AT23" i="1"/>
  <c r="AS23" i="1"/>
  <c r="AT22" i="1"/>
  <c r="AS22" i="1"/>
  <c r="AT21" i="1"/>
  <c r="AS21" i="1"/>
  <c r="AT20" i="1"/>
  <c r="AS20" i="1"/>
  <c r="AT19" i="1"/>
  <c r="AS19" i="1"/>
  <c r="AT18" i="1"/>
  <c r="AS18" i="1"/>
  <c r="AT17" i="1"/>
  <c r="AS17" i="1"/>
  <c r="AT16" i="1"/>
  <c r="AS16" i="1"/>
  <c r="AT15" i="1"/>
  <c r="AS15" i="1"/>
  <c r="AT14" i="1"/>
  <c r="AS14" i="1"/>
  <c r="AT13" i="1"/>
  <c r="AS13" i="1"/>
  <c r="AR13" i="1"/>
  <c r="AT12" i="1"/>
  <c r="AS12" i="1"/>
  <c r="AR12" i="1"/>
  <c r="AT11" i="1"/>
  <c r="AS11" i="1"/>
  <c r="AR11" i="1"/>
  <c r="AT10" i="1"/>
  <c r="AS10" i="1"/>
  <c r="AR10" i="1"/>
  <c r="AT9" i="1"/>
  <c r="AS9" i="1"/>
  <c r="AR9" i="1"/>
  <c r="AT8" i="1"/>
  <c r="AS8" i="1"/>
  <c r="AT7" i="1"/>
  <c r="AS7" i="1"/>
  <c r="AT6" i="1"/>
  <c r="AS6" i="1"/>
  <c r="AR6" i="1"/>
  <c r="AT5" i="1"/>
  <c r="AS5" i="1"/>
  <c r="AR5" i="1"/>
  <c r="AT4" i="1"/>
  <c r="AS4" i="1"/>
  <c r="AR4" i="1"/>
  <c r="AT3" i="1"/>
  <c r="AS3" i="1"/>
  <c r="AT2" i="1"/>
  <c r="AS2" i="1"/>
</calcChain>
</file>

<file path=xl/sharedStrings.xml><?xml version="1.0" encoding="utf-8"?>
<sst xmlns="http://schemas.openxmlformats.org/spreadsheetml/2006/main" count="6262" uniqueCount="1992">
  <si>
    <t>Display Call Number</t>
  </si>
  <si>
    <t>Display Call Number Normalized</t>
  </si>
  <si>
    <t>Title</t>
  </si>
  <si>
    <t>Enumeration</t>
  </si>
  <si>
    <t>Possible Multi-Volume Set</t>
  </si>
  <si>
    <t>Copy Number</t>
  </si>
  <si>
    <t>Possible Duplicate</t>
  </si>
  <si>
    <t>Multi-Edition Title</t>
  </si>
  <si>
    <t>Number of Related Ebooks</t>
  </si>
  <si>
    <t>Author</t>
  </si>
  <si>
    <t>Publisher</t>
  </si>
  <si>
    <t>Publication Year</t>
  </si>
  <si>
    <t>Edition</t>
  </si>
  <si>
    <t>Primary Language</t>
  </si>
  <si>
    <t>Place of Publication</t>
  </si>
  <si>
    <t>Series</t>
  </si>
  <si>
    <t>LC Subclass</t>
  </si>
  <si>
    <t>Recorded Uses - Item</t>
  </si>
  <si>
    <t>Recorded Uses - Title</t>
  </si>
  <si>
    <t>Last Charge Date - Item</t>
  </si>
  <si>
    <t>Last Charge Date - Title</t>
  </si>
  <si>
    <t>Last Add Date - Item</t>
  </si>
  <si>
    <t>Last Add Date - Title</t>
  </si>
  <si>
    <t>Global Holdings - Same Edition</t>
  </si>
  <si>
    <t>US Holdings - Same Edition</t>
  </si>
  <si>
    <t>US Holdings</t>
  </si>
  <si>
    <t>Nebraska Holdings - Same Edition</t>
  </si>
  <si>
    <t>Nebraska Holdings</t>
  </si>
  <si>
    <t>All Comparator Library Holdings - Same Edition</t>
  </si>
  <si>
    <t>All Comparator Library Holdings</t>
  </si>
  <si>
    <t>Affinity Libraries - Same Edition</t>
  </si>
  <si>
    <t>Affinity Libraries - Any Edition</t>
  </si>
  <si>
    <t>Big East - Same Edition</t>
  </si>
  <si>
    <t>Big East - Any Edition</t>
  </si>
  <si>
    <t>AJCU - Same Edition</t>
  </si>
  <si>
    <t>AJCU - Any Edition</t>
  </si>
  <si>
    <t>Nebraska Colleges &amp; Universities - Same Edition</t>
  </si>
  <si>
    <t>Nebraska Colleges &amp; Universities - Any Edition</t>
  </si>
  <si>
    <t>MALLCO - Same Edition</t>
  </si>
  <si>
    <t>MALLCO - Any Edition</t>
  </si>
  <si>
    <t>HathiTrust Public Domain</t>
  </si>
  <si>
    <t>HathiTrust In Copyright</t>
  </si>
  <si>
    <t>HathiTrust URL</t>
  </si>
  <si>
    <t>OPAC URL</t>
  </si>
  <si>
    <t>WorldCat URL</t>
  </si>
  <si>
    <t>OCLC Work ID</t>
  </si>
  <si>
    <t>WorldCat OCLC Number</t>
  </si>
  <si>
    <t>Bib Record Number</t>
  </si>
  <si>
    <t>Bib Control Number</t>
  </si>
  <si>
    <t>Item Control Number</t>
  </si>
  <si>
    <t>Item Type Code</t>
  </si>
  <si>
    <t>Item Status Code</t>
  </si>
  <si>
    <t>ISBN</t>
  </si>
  <si>
    <t>Barcode</t>
  </si>
  <si>
    <t>SCS Item ID</t>
  </si>
  <si>
    <t>QM100 .C34 2010</t>
  </si>
  <si>
    <t>0                      QM 0100000C  34          2010</t>
  </si>
  <si>
    <t>Functional anatomy : musculoskeletal anatomy, kinesiology, and palpation for manual therapists / Christy Cael.</t>
  </si>
  <si>
    <t>No</t>
  </si>
  <si>
    <t>1</t>
  </si>
  <si>
    <t>0</t>
  </si>
  <si>
    <t>Cael, Christy.</t>
  </si>
  <si>
    <t>Philadelphia : Lippincott, Williams &amp; Wilkins, c2010.</t>
  </si>
  <si>
    <t>2010</t>
  </si>
  <si>
    <t>eng</t>
  </si>
  <si>
    <t>pau</t>
  </si>
  <si>
    <t>LWW massage therapy &amp; Bodywork educational series</t>
  </si>
  <si>
    <t xml:space="preserve">QM </t>
  </si>
  <si>
    <t>2010-04-16</t>
  </si>
  <si>
    <t>2009-12-10</t>
  </si>
  <si>
    <t>892370109:eng</t>
  </si>
  <si>
    <t>316421053</t>
  </si>
  <si>
    <t>991005344809702656</t>
  </si>
  <si>
    <t>2263567850002656</t>
  </si>
  <si>
    <t>BOOK</t>
  </si>
  <si>
    <t>9780781774048</t>
  </si>
  <si>
    <t>32285005554455</t>
  </si>
  <si>
    <t>893701415</t>
  </si>
  <si>
    <t>QM101 .A38 1994b</t>
  </si>
  <si>
    <t>0                      QM 0101000A  38          1994b</t>
  </si>
  <si>
    <t>Bones : the unity of form and function / R. McNeill Alexander ; photography by Brian Kosoff ; foreword by Mark A. Norell ; illustrations by Edward Heck.</t>
  </si>
  <si>
    <t>Alexander, R. McNeill.</t>
  </si>
  <si>
    <t>London : Weidenfeld &amp; Nicholson, 1994.</t>
  </si>
  <si>
    <t>1994</t>
  </si>
  <si>
    <t>enk</t>
  </si>
  <si>
    <t>2006-08-11</t>
  </si>
  <si>
    <t>1996-12-16</t>
  </si>
  <si>
    <t>51302:eng</t>
  </si>
  <si>
    <t>32029176</t>
  </si>
  <si>
    <t>991002457829702656</t>
  </si>
  <si>
    <t>2262296000002656</t>
  </si>
  <si>
    <t>32285002393683</t>
  </si>
  <si>
    <t>893616140</t>
  </si>
  <si>
    <t>QM101 .G63 1982</t>
  </si>
  <si>
    <t>0                      QM 0101000G  63          1982</t>
  </si>
  <si>
    <t>The skeleton : fantastic framework / by Kathy E. Goldberg and the editors of U.S. News Books.</t>
  </si>
  <si>
    <t>Goldberg, Kathy E. (Kathy Ellen), 1953-</t>
  </si>
  <si>
    <t>Washington, D.C. : U.S. News Books, c1982.</t>
  </si>
  <si>
    <t>1982</t>
  </si>
  <si>
    <t>dcu</t>
  </si>
  <si>
    <t>The Human body</t>
  </si>
  <si>
    <t>2005-01-25</t>
  </si>
  <si>
    <t>1993-02-22</t>
  </si>
  <si>
    <t>Yes</t>
  </si>
  <si>
    <t>54477337:eng</t>
  </si>
  <si>
    <t>8113163</t>
  </si>
  <si>
    <t>991005205169702656</t>
  </si>
  <si>
    <t>2256632640002656</t>
  </si>
  <si>
    <t>9780891936053</t>
  </si>
  <si>
    <t>32285001547917</t>
  </si>
  <si>
    <t>893801912</t>
  </si>
  <si>
    <t>QM101 .W3</t>
  </si>
  <si>
    <t>0                      QM 0101000W  3</t>
  </si>
  <si>
    <t>The human skeleton, an interpretation.</t>
  </si>
  <si>
    <t>Walter, Herbert Eugene, 1867-1945.</t>
  </si>
  <si>
    <t>New York, Macmillan, 1918.</t>
  </si>
  <si>
    <t>1918</t>
  </si>
  <si>
    <t xml:space="preserve">xx </t>
  </si>
  <si>
    <t>2007-11-07</t>
  </si>
  <si>
    <t>1997-08-04</t>
  </si>
  <si>
    <t>190654696:eng</t>
  </si>
  <si>
    <t>1098809</t>
  </si>
  <si>
    <t>991003534789702656</t>
  </si>
  <si>
    <t>2267469120002656</t>
  </si>
  <si>
    <t>32285003011201</t>
  </si>
  <si>
    <t>893874860</t>
  </si>
  <si>
    <t>QM11 .S6 1957</t>
  </si>
  <si>
    <t>0                      QM 0011000S  6           1957</t>
  </si>
  <si>
    <t>A short history of anatomy from the Greeks to Harvey.</t>
  </si>
  <si>
    <t>Singer, Charles, 1876-1960.</t>
  </si>
  <si>
    <t>New York, Dover Publications [1957]</t>
  </si>
  <si>
    <t>1957</t>
  </si>
  <si>
    <t>[2d ed.]</t>
  </si>
  <si>
    <t>nyu</t>
  </si>
  <si>
    <t>2004-04-17</t>
  </si>
  <si>
    <t>353525677:eng</t>
  </si>
  <si>
    <t>339059</t>
  </si>
  <si>
    <t>991002409709702656</t>
  </si>
  <si>
    <t>2259141680002656</t>
  </si>
  <si>
    <t>32285003011151</t>
  </si>
  <si>
    <t>893697738</t>
  </si>
  <si>
    <t>QM151 .B52 1998</t>
  </si>
  <si>
    <t>0                      QM 0151000B  52          1998</t>
  </si>
  <si>
    <t>The muscle book / Paul Blakey.</t>
  </si>
  <si>
    <t>Blakey, Paul.</t>
  </si>
  <si>
    <t>Stafford : Bibliotek Books, 1998, c1992.</t>
  </si>
  <si>
    <t>1998</t>
  </si>
  <si>
    <t>Rev. ed.</t>
  </si>
  <si>
    <t>2004-03-04</t>
  </si>
  <si>
    <t>20141022:eng</t>
  </si>
  <si>
    <t>28583582</t>
  </si>
  <si>
    <t>991004224469702656</t>
  </si>
  <si>
    <t>2265640270002656</t>
  </si>
  <si>
    <t>9781873017005</t>
  </si>
  <si>
    <t>32285004892278</t>
  </si>
  <si>
    <t>893599582</t>
  </si>
  <si>
    <t>QM16.G73 H39 2008</t>
  </si>
  <si>
    <t>0                      QM 0016000G  73                 H  39          2008</t>
  </si>
  <si>
    <t>The anatomist : a true story of Gray's anatomy / Bill Hayes.</t>
  </si>
  <si>
    <t>Hayes, Bill, 1961-</t>
  </si>
  <si>
    <t>New York, N.Y. : Ballantine Books, c2008.</t>
  </si>
  <si>
    <t>2008</t>
  </si>
  <si>
    <t>1st ed.</t>
  </si>
  <si>
    <t>2008-06-03</t>
  </si>
  <si>
    <t>196546174:eng</t>
  </si>
  <si>
    <t>156863680</t>
  </si>
  <si>
    <t>991005222169702656</t>
  </si>
  <si>
    <t>2265336050002656</t>
  </si>
  <si>
    <t>9780345456892</t>
  </si>
  <si>
    <t>32285005442057</t>
  </si>
  <si>
    <t>893701227</t>
  </si>
  <si>
    <t>QM16.L4 B4 1969</t>
  </si>
  <si>
    <t>0                      QM 0016000L  4                  B  4           1969</t>
  </si>
  <si>
    <t>Leonardo the anatomist.</t>
  </si>
  <si>
    <t>Belt, Elmer, 1893-1980.</t>
  </si>
  <si>
    <t>New York : Greenwood Press, [1969, c1955]</t>
  </si>
  <si>
    <t>1969</t>
  </si>
  <si>
    <t>Logan Clendening lectures on the history and philosophy of medicine ; 4th ser.</t>
  </si>
  <si>
    <t>2000-11-05</t>
  </si>
  <si>
    <t>1992-01-16</t>
  </si>
  <si>
    <t>1315019:eng</t>
  </si>
  <si>
    <t>218587</t>
  </si>
  <si>
    <t>991001293319702656</t>
  </si>
  <si>
    <t>2258801810002656</t>
  </si>
  <si>
    <t>32285000913334</t>
  </si>
  <si>
    <t>893238017</t>
  </si>
  <si>
    <t>QM21 .L49</t>
  </si>
  <si>
    <t>0                      QM 0021000L  49</t>
  </si>
  <si>
    <t>Leonardo da Vinci on the human body : the anatomical, physiological, and embryological drawings of Leonardo da Vinci / with translations, emendations and a biographical introd., by Charles D. O'Malley and J.B. de C.M. Saunders.</t>
  </si>
  <si>
    <t>Leonardo, da Vinci, 1452-1519.</t>
  </si>
  <si>
    <t>New York : H. Schuman, [1952]</t>
  </si>
  <si>
    <t>1952</t>
  </si>
  <si>
    <t>2006-01-26</t>
  </si>
  <si>
    <t>1992-09-14</t>
  </si>
  <si>
    <t>2863666690:eng</t>
  </si>
  <si>
    <t>424922</t>
  </si>
  <si>
    <t>991001783389702656</t>
  </si>
  <si>
    <t>2268420650002656</t>
  </si>
  <si>
    <t>32285001300168</t>
  </si>
  <si>
    <t>893238336</t>
  </si>
  <si>
    <t>QM23 .D28</t>
  </si>
  <si>
    <t>0                      QM 0023000D  28</t>
  </si>
  <si>
    <t>Basic human anatomy / [by] Helen L. Dawson.</t>
  </si>
  <si>
    <t>Dawson, Helen L. (Helen Lucerne), 1904-</t>
  </si>
  <si>
    <t>New York : Appleton-Century-Crofts, [1966]</t>
  </si>
  <si>
    <t>1966</t>
  </si>
  <si>
    <t>2008-06-18</t>
  </si>
  <si>
    <t>1992-07-28</t>
  </si>
  <si>
    <t>2011166:eng</t>
  </si>
  <si>
    <t>1841532</t>
  </si>
  <si>
    <t>991003907139702656</t>
  </si>
  <si>
    <t>2263199310002656</t>
  </si>
  <si>
    <t>32285001206472</t>
  </si>
  <si>
    <t>893353105</t>
  </si>
  <si>
    <t>QM23 .G7 1954</t>
  </si>
  <si>
    <t>0                      QM 0023000G  7           1954</t>
  </si>
  <si>
    <t>Anatomy of the human body.</t>
  </si>
  <si>
    <t>Gray, Henry, 1825-1861.</t>
  </si>
  <si>
    <t>Philadelphia, Lea &amp; Febiger, 1954.</t>
  </si>
  <si>
    <t>1954</t>
  </si>
  <si>
    <t>26th American ed., edited by Charles Mayo Goss.</t>
  </si>
  <si>
    <t>1998-12-16</t>
  </si>
  <si>
    <t>1992-05-06</t>
  </si>
  <si>
    <t>1083663653:eng</t>
  </si>
  <si>
    <t>2015826</t>
  </si>
  <si>
    <t>991003979029702656</t>
  </si>
  <si>
    <t>2261569300002656</t>
  </si>
  <si>
    <t>32285001121614</t>
  </si>
  <si>
    <t>893699664</t>
  </si>
  <si>
    <t>QM23 .M3 1946</t>
  </si>
  <si>
    <t>0                      QM 0023000M  3           1946</t>
  </si>
  <si>
    <t>An introduction to human anatomy / by Clyde Marshall. Revised by Edgar L. Lazier.</t>
  </si>
  <si>
    <t>Marshall, Clyde, 1902-</t>
  </si>
  <si>
    <t>Philadelphia ; London : W. B. Saunders company, 1946.</t>
  </si>
  <si>
    <t>1946</t>
  </si>
  <si>
    <t>3d ed. / With 303 illustrations, 13 in color.</t>
  </si>
  <si>
    <t>2010-08-24</t>
  </si>
  <si>
    <t>1994-02-23</t>
  </si>
  <si>
    <t>1625458:eng</t>
  </si>
  <si>
    <t>1536319</t>
  </si>
  <si>
    <t>991003810659702656</t>
  </si>
  <si>
    <t>2270111170002656</t>
  </si>
  <si>
    <t>32285001839439</t>
  </si>
  <si>
    <t>893806245</t>
  </si>
  <si>
    <t>QM23 .P7</t>
  </si>
  <si>
    <t>0                      QM 0023000P  7</t>
  </si>
  <si>
    <t>A Programmed approach to anatomy and physiology.</t>
  </si>
  <si>
    <t>V.5</t>
  </si>
  <si>
    <t>[Washington : R.J. Brady Co., c1968]</t>
  </si>
  <si>
    <t>1968</t>
  </si>
  <si>
    <t>1994-02-11</t>
  </si>
  <si>
    <t>3373029511:eng</t>
  </si>
  <si>
    <t>4997504</t>
  </si>
  <si>
    <t>991004760639702656</t>
  </si>
  <si>
    <t>2266567500002656</t>
  </si>
  <si>
    <t>32285001547792</t>
  </si>
  <si>
    <t>893325742</t>
  </si>
  <si>
    <t>V.4</t>
  </si>
  <si>
    <t>32285001547784</t>
  </si>
  <si>
    <t>893325743</t>
  </si>
  <si>
    <t>V.8</t>
  </si>
  <si>
    <t>32285001547826</t>
  </si>
  <si>
    <t>893338102</t>
  </si>
  <si>
    <t>V.9</t>
  </si>
  <si>
    <t>32285001547834</t>
  </si>
  <si>
    <t>893319595</t>
  </si>
  <si>
    <t>V.10</t>
  </si>
  <si>
    <t>32285001547842</t>
  </si>
  <si>
    <t>893350355</t>
  </si>
  <si>
    <t>V.2</t>
  </si>
  <si>
    <t>32285001206464</t>
  </si>
  <si>
    <t>893325741</t>
  </si>
  <si>
    <t>V.1</t>
  </si>
  <si>
    <t>32285001547768</t>
  </si>
  <si>
    <t>893319598</t>
  </si>
  <si>
    <t>V.6</t>
  </si>
  <si>
    <t>32285001547800</t>
  </si>
  <si>
    <t>893332008</t>
  </si>
  <si>
    <t>V.12</t>
  </si>
  <si>
    <t>32285001547867</t>
  </si>
  <si>
    <t>893325744</t>
  </si>
  <si>
    <t>V.11</t>
  </si>
  <si>
    <t>32285001547859</t>
  </si>
  <si>
    <t>893332009</t>
  </si>
  <si>
    <t>V.14</t>
  </si>
  <si>
    <t>32285001547875</t>
  </si>
  <si>
    <t>893319597</t>
  </si>
  <si>
    <t>V.3</t>
  </si>
  <si>
    <t>32285001547776</t>
  </si>
  <si>
    <t>893319596</t>
  </si>
  <si>
    <t>V.7</t>
  </si>
  <si>
    <t>32285001547818</t>
  </si>
  <si>
    <t>893332007</t>
  </si>
  <si>
    <t>QM23.2 .C7 1979</t>
  </si>
  <si>
    <t>0                      QM 0023200C  7           1979</t>
  </si>
  <si>
    <t>A textbook of human anatomy / Roger C. Crafts.</t>
  </si>
  <si>
    <t>Crafts, Roger C. (Roger Conant), 1911-</t>
  </si>
  <si>
    <t>New York : Wiley, c1979.</t>
  </si>
  <si>
    <t>1979</t>
  </si>
  <si>
    <t>2d ed.</t>
  </si>
  <si>
    <t>A Wiley medical publication</t>
  </si>
  <si>
    <t>1993-04-22</t>
  </si>
  <si>
    <t>3887552177:eng</t>
  </si>
  <si>
    <t>4498441</t>
  </si>
  <si>
    <t>991005264099702656</t>
  </si>
  <si>
    <t>2262893600002656</t>
  </si>
  <si>
    <t>9780471044543</t>
  </si>
  <si>
    <t>32285001547883</t>
  </si>
  <si>
    <t>893507876</t>
  </si>
  <si>
    <t>QM23.2 .J63 1986</t>
  </si>
  <si>
    <t>0                      QM 0023200J  63          1986</t>
  </si>
  <si>
    <t>The Johns Hopkins atlas of human functional anatomy / original illustrations, with descriptive legends by Leon Schlossberg ; text edited by George D. Zuidema.</t>
  </si>
  <si>
    <t>Baltimore : Johns Hopkins University Press, c1986.</t>
  </si>
  <si>
    <t>1986</t>
  </si>
  <si>
    <t>3rd ed., rev. and expanded.</t>
  </si>
  <si>
    <t>mdu</t>
  </si>
  <si>
    <t>1996-01-30</t>
  </si>
  <si>
    <t>1991-12-10</t>
  </si>
  <si>
    <t>350034911:eng</t>
  </si>
  <si>
    <t>12664155</t>
  </si>
  <si>
    <t>991000719179702656</t>
  </si>
  <si>
    <t>2264881930002656</t>
  </si>
  <si>
    <t>9780801832833</t>
  </si>
  <si>
    <t>32285000886886</t>
  </si>
  <si>
    <t>893897150</t>
  </si>
  <si>
    <t>QM23.2 .W54 1983</t>
  </si>
  <si>
    <t>0                      QM 0023200W  54          1983</t>
  </si>
  <si>
    <t>Human anatomy / Doris Burda Wilson, Wilfred J. Wilson ; with illustrations by Ruth Valleau.</t>
  </si>
  <si>
    <t>Wilson, Doris Burda.</t>
  </si>
  <si>
    <t>New York : Oxford University Press, 1983.</t>
  </si>
  <si>
    <t>1983</t>
  </si>
  <si>
    <t>2nd ed.</t>
  </si>
  <si>
    <t>1991-12-09</t>
  </si>
  <si>
    <t>415261:eng</t>
  </si>
  <si>
    <t>8954422</t>
  </si>
  <si>
    <t>991000101969702656</t>
  </si>
  <si>
    <t>2271006370002656</t>
  </si>
  <si>
    <t>9780195031089</t>
  </si>
  <si>
    <t>32285000885912</t>
  </si>
  <si>
    <t>893601449</t>
  </si>
  <si>
    <t>QM26 .A83</t>
  </si>
  <si>
    <t>0                      QM 0026000A  83</t>
  </si>
  <si>
    <t>The human body : its structure and operation / illustrated by Anthony Ravielli.</t>
  </si>
  <si>
    <t>Asimov, Isaac, 1920-1992.</t>
  </si>
  <si>
    <t>Boston, Houghton Mifflin, 1963.</t>
  </si>
  <si>
    <t>1963</t>
  </si>
  <si>
    <t>mau</t>
  </si>
  <si>
    <t>2000-01-18</t>
  </si>
  <si>
    <t>50863840:eng</t>
  </si>
  <si>
    <t>608182</t>
  </si>
  <si>
    <t>991003047699702656</t>
  </si>
  <si>
    <t>2262474970002656</t>
  </si>
  <si>
    <t>32285001839421</t>
  </si>
  <si>
    <t>893874374</t>
  </si>
  <si>
    <t>QM26 .M67 1985</t>
  </si>
  <si>
    <t>0                      QM 0026000M  67          1985</t>
  </si>
  <si>
    <t>Bodywatching : a field guide to the human species / Desmond Morris.</t>
  </si>
  <si>
    <t>Morris, Desmond.</t>
  </si>
  <si>
    <t>New York : Crown, 1985.</t>
  </si>
  <si>
    <t>1985</t>
  </si>
  <si>
    <t>2009-11-06</t>
  </si>
  <si>
    <t>1992-06-04</t>
  </si>
  <si>
    <t>61678502:eng</t>
  </si>
  <si>
    <t>12108016</t>
  </si>
  <si>
    <t>991000643489702656</t>
  </si>
  <si>
    <t>2268688270002656</t>
  </si>
  <si>
    <t>9780517558140</t>
  </si>
  <si>
    <t>32285001130193</t>
  </si>
  <si>
    <t>893708566</t>
  </si>
  <si>
    <t>QM28 .T56 1996</t>
  </si>
  <si>
    <t>0                      QM 0028000T  56          1996</t>
  </si>
  <si>
    <t>Anatomy and kinesiology for ballet teachers / Eivind Thomasen, Rachel-Anne Rist.</t>
  </si>
  <si>
    <t>Thomasen, Eivind.</t>
  </si>
  <si>
    <t>London : Dance Books, 1996.</t>
  </si>
  <si>
    <t>1996</t>
  </si>
  <si>
    <t>2000-04-11</t>
  </si>
  <si>
    <t>45866964:eng</t>
  </si>
  <si>
    <t>36095345</t>
  </si>
  <si>
    <t>991002750709702656</t>
  </si>
  <si>
    <t>2268303450002656</t>
  </si>
  <si>
    <t>9781852730482</t>
  </si>
  <si>
    <t>32285003676912</t>
  </si>
  <si>
    <t>893524009</t>
  </si>
  <si>
    <t>QM33.4 .W37 2009</t>
  </si>
  <si>
    <t>0                      QM 0033400W  37          2009</t>
  </si>
  <si>
    <t>Dissection : photographs of a rite of passage in American medicine, 1880-1930 / John Harley Warner, James M. Edmonson.</t>
  </si>
  <si>
    <t>Warner, John Harley, 1953-</t>
  </si>
  <si>
    <t>New York : Blast Books, 2009.</t>
  </si>
  <si>
    <t>2009</t>
  </si>
  <si>
    <t>2009-06-01</t>
  </si>
  <si>
    <t>2009-05-20</t>
  </si>
  <si>
    <t>815193452:eng</t>
  </si>
  <si>
    <t>275864822</t>
  </si>
  <si>
    <t>991001801489702656</t>
  </si>
  <si>
    <t>2263566110002656</t>
  </si>
  <si>
    <t>9780922233342</t>
  </si>
  <si>
    <t>32285005532576</t>
  </si>
  <si>
    <t>893879197</t>
  </si>
  <si>
    <t>QM34 .D38 1974</t>
  </si>
  <si>
    <t>0                      QM 0034000D  38          1974</t>
  </si>
  <si>
    <t>Laboratory manual of human anatomy and physiology [by] Russell M. DeCoursey [and] Frank Dolyak.</t>
  </si>
  <si>
    <t>De Coursey, Russell Myles, 1900-</t>
  </si>
  <si>
    <t>New York, McGraw-Hill [1974]</t>
  </si>
  <si>
    <t>1974</t>
  </si>
  <si>
    <t>3d ed.</t>
  </si>
  <si>
    <t>___</t>
  </si>
  <si>
    <t>2003-02-09</t>
  </si>
  <si>
    <t>4747441:eng</t>
  </si>
  <si>
    <t>1160351</t>
  </si>
  <si>
    <t>991003579519702656</t>
  </si>
  <si>
    <t>2269717590002656</t>
  </si>
  <si>
    <t>32285001547909</t>
  </si>
  <si>
    <t>893258584</t>
  </si>
  <si>
    <t>QM34 .F5</t>
  </si>
  <si>
    <t>0                      QM 0034000F  5</t>
  </si>
  <si>
    <t>An elementary study of the brain, based on the dissection of the brain of the sheep, by Eben W. Fiske, illustrated with photographs and diagrams by the author.</t>
  </si>
  <si>
    <t>Fiske, Eben Winslow, 1886-</t>
  </si>
  <si>
    <t>New York, The Macmillan company, 1913.</t>
  </si>
  <si>
    <t>1913</t>
  </si>
  <si>
    <t>2000-02-16</t>
  </si>
  <si>
    <t>14713318:eng</t>
  </si>
  <si>
    <t>4330494</t>
  </si>
  <si>
    <t>991004624809702656</t>
  </si>
  <si>
    <t>2265621350002656</t>
  </si>
  <si>
    <t>32285003011185</t>
  </si>
  <si>
    <t>893618880</t>
  </si>
  <si>
    <t>QM34 .K35 1980</t>
  </si>
  <si>
    <t>0                      QM 0034000K  35          1980</t>
  </si>
  <si>
    <t>Exercises, experiments &amp; study aids for Anatomy &amp; physiology / by Barbara H. Kalbus &amp; Kenneth G. Neal.</t>
  </si>
  <si>
    <t>Kalbus, Barbara H.</t>
  </si>
  <si>
    <t>Long Beach (Calif.) : Elot Publishing Co., inc., 1980.</t>
  </si>
  <si>
    <t>1980</t>
  </si>
  <si>
    <t>cau</t>
  </si>
  <si>
    <t>1994-02-13</t>
  </si>
  <si>
    <t>1992-03-31</t>
  </si>
  <si>
    <t>21658320:eng</t>
  </si>
  <si>
    <t>7677973</t>
  </si>
  <si>
    <t>991005148459702656</t>
  </si>
  <si>
    <t>2256427680002656</t>
  </si>
  <si>
    <t>32285001031680</t>
  </si>
  <si>
    <t>893338595</t>
  </si>
  <si>
    <t>QM451 .B895 1996</t>
  </si>
  <si>
    <t>0                      QM 0451000B  895         1996</t>
  </si>
  <si>
    <t>Comparative vertebrate neuroanatomy : evolution and adaptation / Ann B. Butler, William Hodos.</t>
  </si>
  <si>
    <t>Butler, Ann B.</t>
  </si>
  <si>
    <t>New York : Wiley-Liss, c1996.</t>
  </si>
  <si>
    <t>2000-10-09</t>
  </si>
  <si>
    <t>1997-01-28</t>
  </si>
  <si>
    <t>802007690:eng</t>
  </si>
  <si>
    <t>33819357</t>
  </si>
  <si>
    <t>991002580839702656</t>
  </si>
  <si>
    <t>2272793220002656</t>
  </si>
  <si>
    <t>9780471888895</t>
  </si>
  <si>
    <t>32285002405735</t>
  </si>
  <si>
    <t>893704240</t>
  </si>
  <si>
    <t>QM451 .R3 1959</t>
  </si>
  <si>
    <t>0                      QM 0451000R  3           1959</t>
  </si>
  <si>
    <t>The anatomy of the nervous system; its development and function. Revised by Sam Lillard Clark.</t>
  </si>
  <si>
    <t>Ranson, Stephen Walter, 1880-1942.</t>
  </si>
  <si>
    <t>Philadelphia, Saunders, 1959.</t>
  </si>
  <si>
    <t>1959</t>
  </si>
  <si>
    <t>10th ed.</t>
  </si>
  <si>
    <t>1992-02-10</t>
  </si>
  <si>
    <t>4799686887:eng</t>
  </si>
  <si>
    <t>224139</t>
  </si>
  <si>
    <t>991005266039702656</t>
  </si>
  <si>
    <t>2264235380002656</t>
  </si>
  <si>
    <t>32285000946094</t>
  </si>
  <si>
    <t>893514360</t>
  </si>
  <si>
    <t>QM451 .S47 1991</t>
  </si>
  <si>
    <t>0                      QM 0451000S  47          1991</t>
  </si>
  <si>
    <t>Foundations of the neuron doctrine / Gordon M. Shepherd.</t>
  </si>
  <si>
    <t>Shepherd, Gordon M., 1933-</t>
  </si>
  <si>
    <t>New York : Oxford University Press, 1991.</t>
  </si>
  <si>
    <t>1991</t>
  </si>
  <si>
    <t>History of neuroscience ; no. 6</t>
  </si>
  <si>
    <t>2007-03-20</t>
  </si>
  <si>
    <t>1992-06-22</t>
  </si>
  <si>
    <t>24224087:eng</t>
  </si>
  <si>
    <t>23015568</t>
  </si>
  <si>
    <t>991001831739702656</t>
  </si>
  <si>
    <t>2262644350002656</t>
  </si>
  <si>
    <t>9780195064919</t>
  </si>
  <si>
    <t>32285001129740</t>
  </si>
  <si>
    <t>893626843</t>
  </si>
  <si>
    <t>QM455 .M347 1997</t>
  </si>
  <si>
    <t>0                      QM 0455000M  347         1997</t>
  </si>
  <si>
    <t>Atlas of the human brain / Jürgen K. Mai, Joseph Assheuer, George Paxinos.</t>
  </si>
  <si>
    <t>Mai, Jürgen K.</t>
  </si>
  <si>
    <t>San Diego, Calif. : Academic Press, c1997.</t>
  </si>
  <si>
    <t>1997</t>
  </si>
  <si>
    <t>1999-03-03</t>
  </si>
  <si>
    <t>1998-04-08</t>
  </si>
  <si>
    <t>592345:eng</t>
  </si>
  <si>
    <t>36557183</t>
  </si>
  <si>
    <t>991002784309702656</t>
  </si>
  <si>
    <t>2269089930002656</t>
  </si>
  <si>
    <t>9780124653603</t>
  </si>
  <si>
    <t>32285003383980</t>
  </si>
  <si>
    <t>893597871</t>
  </si>
  <si>
    <t>QM507 .A55 1973</t>
  </si>
  <si>
    <t>0                      QM 0507000A  55          1973</t>
  </si>
  <si>
    <t>Surgical anatomy of the temporal bone and ear [by] Barry J. Anson [and] James A. Donaldson.</t>
  </si>
  <si>
    <t>Anson, Barry J. (Barry Joseph), 1894-1974.</t>
  </si>
  <si>
    <t>Philadelphia, Saunders, 1973.</t>
  </si>
  <si>
    <t>1973</t>
  </si>
  <si>
    <t>2002-12-19</t>
  </si>
  <si>
    <t>1706854:eng</t>
  </si>
  <si>
    <t>671949</t>
  </si>
  <si>
    <t>991003128359702656</t>
  </si>
  <si>
    <t>2268342230002656</t>
  </si>
  <si>
    <t>9780721612911</t>
  </si>
  <si>
    <t>32285003011250</t>
  </si>
  <si>
    <t>893336173</t>
  </si>
  <si>
    <t>QM531 .B25 1986</t>
  </si>
  <si>
    <t>0                      QM 0531000B  25          1986</t>
  </si>
  <si>
    <t>Color atlas of surface anatomy : clinical and applied / by Kenneth M. Backhouse, Ralph T. Hutchings.</t>
  </si>
  <si>
    <t>Backhouse, Kenneth M.</t>
  </si>
  <si>
    <t>Baltimore : Williams &amp; Wilkins, c1986.</t>
  </si>
  <si>
    <t>1996-02-29</t>
  </si>
  <si>
    <t>365394430:eng</t>
  </si>
  <si>
    <t>12839303</t>
  </si>
  <si>
    <t>991000745499702656</t>
  </si>
  <si>
    <t>2269322490002656</t>
  </si>
  <si>
    <t>9780683003079</t>
  </si>
  <si>
    <t>32285000895242</t>
  </si>
  <si>
    <t>893502767</t>
  </si>
  <si>
    <t>QM535 .S57</t>
  </si>
  <si>
    <t>0                      QM 0535000S  57</t>
  </si>
  <si>
    <t>Developmental craniofacial biology / Harold C. Slavkin ; ill. by Maureen DuBois.</t>
  </si>
  <si>
    <t>Slavkin, Harold C.</t>
  </si>
  <si>
    <t>Philadelphia : Lea and Febiger, 1979.</t>
  </si>
  <si>
    <t>1994-03-24</t>
  </si>
  <si>
    <t>1997-01-23</t>
  </si>
  <si>
    <t>14909535:eng</t>
  </si>
  <si>
    <t>4638326</t>
  </si>
  <si>
    <t>991001788039702656</t>
  </si>
  <si>
    <t>2256163850002656</t>
  </si>
  <si>
    <t>9780812106503</t>
  </si>
  <si>
    <t>32285001547925</t>
  </si>
  <si>
    <t>893609144</t>
  </si>
  <si>
    <t>QM551 .B56 1975</t>
  </si>
  <si>
    <t>0                      QM 0551000B  56          1975</t>
  </si>
  <si>
    <t>A textbook of histology / William Bloom, Don W. Fawcett.</t>
  </si>
  <si>
    <t>Bloom, William, 1899-1972.</t>
  </si>
  <si>
    <t>Philadelphia : Saunders, 1975.</t>
  </si>
  <si>
    <t>1975</t>
  </si>
  <si>
    <t>1994-01-04</t>
  </si>
  <si>
    <t>2973739267:eng</t>
  </si>
  <si>
    <t>1129929</t>
  </si>
  <si>
    <t>991003559769702656</t>
  </si>
  <si>
    <t>2272513960002656</t>
  </si>
  <si>
    <t>9780721617572</t>
  </si>
  <si>
    <t>32285001547933</t>
  </si>
  <si>
    <t>893531299</t>
  </si>
  <si>
    <t>QM551 .C64 1984</t>
  </si>
  <si>
    <t>0                      QM 0551000C  64          1984</t>
  </si>
  <si>
    <t>Introduction to histology / David H. Cormack.</t>
  </si>
  <si>
    <t>Cormack, David H.</t>
  </si>
  <si>
    <t>Philadelphia : Lippincott, c1984.</t>
  </si>
  <si>
    <t>1984</t>
  </si>
  <si>
    <t>2004-05-27</t>
  </si>
  <si>
    <t>4844225:eng</t>
  </si>
  <si>
    <t>9830268</t>
  </si>
  <si>
    <t>991000266479702656</t>
  </si>
  <si>
    <t>2256475900002656</t>
  </si>
  <si>
    <t>9780397521142</t>
  </si>
  <si>
    <t>32285001547941</t>
  </si>
  <si>
    <t>893230996</t>
  </si>
  <si>
    <t>QM551 .C75 1993</t>
  </si>
  <si>
    <t>0                      QM 0551000C  75          1993</t>
  </si>
  <si>
    <t>Cell and tissue ultrastructure : a functional perspective / Patricia C. Cross, K. Lynne Mercer.</t>
  </si>
  <si>
    <t>Cross, Patricia C.</t>
  </si>
  <si>
    <t>New York : W.H. Freeman, 1993.</t>
  </si>
  <si>
    <t>1993</t>
  </si>
  <si>
    <t>2001-08-16</t>
  </si>
  <si>
    <t>1993-12-10</t>
  </si>
  <si>
    <t>350619736:eng</t>
  </si>
  <si>
    <t>27935809</t>
  </si>
  <si>
    <t>991002170439702656</t>
  </si>
  <si>
    <t>2258667520002656</t>
  </si>
  <si>
    <t>9780716770336</t>
  </si>
  <si>
    <t>32285001814796</t>
  </si>
  <si>
    <t>893523274</t>
  </si>
  <si>
    <t>QM551 .F34 1994</t>
  </si>
  <si>
    <t>0                      QM 0551000F  34          1994</t>
  </si>
  <si>
    <t>A textbook of histology / Don W. Fawcett.</t>
  </si>
  <si>
    <t>Fawcett, Don W. (Don Wayne), 1917-2009.</t>
  </si>
  <si>
    <t>New York : Chapman &amp; Hall, c1994.</t>
  </si>
  <si>
    <t>12th ed.</t>
  </si>
  <si>
    <t>2004-04-15</t>
  </si>
  <si>
    <t>2005-06-29</t>
  </si>
  <si>
    <t>1994-06-02</t>
  </si>
  <si>
    <t>1995-08-31</t>
  </si>
  <si>
    <t>28294089</t>
  </si>
  <si>
    <t>991001798809702656</t>
  </si>
  <si>
    <t>2258625370002656</t>
  </si>
  <si>
    <t>9780412046919</t>
  </si>
  <si>
    <t>32285001920775</t>
  </si>
  <si>
    <t>893238348</t>
  </si>
  <si>
    <t>QM551 .W47 1979</t>
  </si>
  <si>
    <t>0                      QM 0551000W  47          1979</t>
  </si>
  <si>
    <t>Functional histology : a text and colour atlas / Paul R. Wheater, H. George Burkitt, Victor G. Daniels ; illustrated by Philip J. Deakin.</t>
  </si>
  <si>
    <t>Wheater, Paul R.</t>
  </si>
  <si>
    <t>Edinburgh ; New York : Churchill Livingstone ; New York : distributed in the U.S. by Longman, c1979, 1984 printing.</t>
  </si>
  <si>
    <t>stk</t>
  </si>
  <si>
    <t>1999-11-17</t>
  </si>
  <si>
    <t>1992-01-21</t>
  </si>
  <si>
    <t>796471584:eng</t>
  </si>
  <si>
    <t>5100989</t>
  </si>
  <si>
    <t>991004775169702656</t>
  </si>
  <si>
    <t>2256093490002656</t>
  </si>
  <si>
    <t>9780443016578</t>
  </si>
  <si>
    <t>32285000916634</t>
  </si>
  <si>
    <t>893606456</t>
  </si>
  <si>
    <t>QM557 .L43 1979</t>
  </si>
  <si>
    <t>0                      QM 0557000L  43          1979</t>
  </si>
  <si>
    <t>A brief atlas of histology / Thomas S. Leeson, C. Roland Leeson.</t>
  </si>
  <si>
    <t>Leeson, Thomas Sydney.</t>
  </si>
  <si>
    <t>Philadelphia : Saunders, 1979.</t>
  </si>
  <si>
    <t>1994-01-21</t>
  </si>
  <si>
    <t>3719877:eng</t>
  </si>
  <si>
    <t>4499865</t>
  </si>
  <si>
    <t>991004664309702656</t>
  </si>
  <si>
    <t>2266048760002656</t>
  </si>
  <si>
    <t>9780721657035</t>
  </si>
  <si>
    <t>32285001547966</t>
  </si>
  <si>
    <t>893536145</t>
  </si>
  <si>
    <t>QM557 .R5</t>
  </si>
  <si>
    <t>0                      QM 0557000R  5</t>
  </si>
  <si>
    <t>An atlas of ultrastructure.</t>
  </si>
  <si>
    <t>Rhodin, Johannes A. G.</t>
  </si>
  <si>
    <t>Philadelphia : W. B. Saunders, 1963.</t>
  </si>
  <si>
    <t>1997-10-15</t>
  </si>
  <si>
    <t>1993-05-14</t>
  </si>
  <si>
    <t>3603447:eng</t>
  </si>
  <si>
    <t>965181</t>
  </si>
  <si>
    <t>991005254099702656</t>
  </si>
  <si>
    <t>2258297220002656</t>
  </si>
  <si>
    <t>32285001656239</t>
  </si>
  <si>
    <t>893514339</t>
  </si>
  <si>
    <t>QM563 .B76 1986</t>
  </si>
  <si>
    <t>0                      QM 0563000B  76          1986</t>
  </si>
  <si>
    <t>Brown adipose tissue / edited by Paul Trayhurn and David G. Nicholls.</t>
  </si>
  <si>
    <t>London : Edward Arnold, 1986.</t>
  </si>
  <si>
    <t>1992-05-07</t>
  </si>
  <si>
    <t>355399061:eng</t>
  </si>
  <si>
    <t>14134898</t>
  </si>
  <si>
    <t>991000911969702656</t>
  </si>
  <si>
    <t>2265933980002656</t>
  </si>
  <si>
    <t>9780713145038</t>
  </si>
  <si>
    <t>32285000987056</t>
  </si>
  <si>
    <t>893702551</t>
  </si>
  <si>
    <t>QM569 .H28</t>
  </si>
  <si>
    <t>0                      QM 0569000H  28</t>
  </si>
  <si>
    <t>Developmental and cellular skeletal biology / Brian K. Hall.</t>
  </si>
  <si>
    <t>Hall, Brian K. (Brian Keith), 1941-</t>
  </si>
  <si>
    <t>New York : Academic Press, 1978.</t>
  </si>
  <si>
    <t>1978</t>
  </si>
  <si>
    <t>1996-02-19</t>
  </si>
  <si>
    <t>1992-01-10</t>
  </si>
  <si>
    <t>14268108:eng</t>
  </si>
  <si>
    <t>4036244</t>
  </si>
  <si>
    <t>991004572049702656</t>
  </si>
  <si>
    <t>2269605940002656</t>
  </si>
  <si>
    <t>9780123189509</t>
  </si>
  <si>
    <t>32285000912393</t>
  </si>
  <si>
    <t>893694089</t>
  </si>
  <si>
    <t>QM569 .H32</t>
  </si>
  <si>
    <t>0                      QM 0569000H  32</t>
  </si>
  <si>
    <t>Vertebrate hard tissues / L. B. Halstead [assisted by R. Hill]</t>
  </si>
  <si>
    <t>Halstead, L. B.</t>
  </si>
  <si>
    <t>London : Wykeham Publications ; Andover : distributed by Chapman &amp; Hall, 1974.</t>
  </si>
  <si>
    <t>Wykeham science series</t>
  </si>
  <si>
    <t>1992-12-01</t>
  </si>
  <si>
    <t>2140860:eng</t>
  </si>
  <si>
    <t>3121411</t>
  </si>
  <si>
    <t>991004352699702656</t>
  </si>
  <si>
    <t>2263448030002656</t>
  </si>
  <si>
    <t>9780851094304</t>
  </si>
  <si>
    <t>32285001097053</t>
  </si>
  <si>
    <t>893882371</t>
  </si>
  <si>
    <t>QM571 .B75</t>
  </si>
  <si>
    <t>0                      QM 0571000B  75</t>
  </si>
  <si>
    <t>The structure and function of muscle.</t>
  </si>
  <si>
    <t>V. 3</t>
  </si>
  <si>
    <t>Bourne, Geoffrey H. (Geoffrey Howard), 1909-1988, editor.</t>
  </si>
  <si>
    <t>New York : Academic Press, 1960.</t>
  </si>
  <si>
    <t>1960</t>
  </si>
  <si>
    <t>2008-02-12</t>
  </si>
  <si>
    <t>2008-02-18</t>
  </si>
  <si>
    <t>140344025:eng</t>
  </si>
  <si>
    <t>557828</t>
  </si>
  <si>
    <t>991001787919702656</t>
  </si>
  <si>
    <t>2261394090002656</t>
  </si>
  <si>
    <t>32285001547982</t>
  </si>
  <si>
    <t>893238341</t>
  </si>
  <si>
    <t>V. 1</t>
  </si>
  <si>
    <t>1992-01-14</t>
  </si>
  <si>
    <t>32285000911775</t>
  </si>
  <si>
    <t>893256514</t>
  </si>
  <si>
    <t>QM575 .R29 1988</t>
  </si>
  <si>
    <t>0                      QM 0575000R  29          1988</t>
  </si>
  <si>
    <t>Cajal on the cerebral cortex : an annotated translation of the complete writings / [edited by] Javier DeFelipe and Edward G. Jones.</t>
  </si>
  <si>
    <t>Ramón y Cajal, Santiago, 1852-1934.</t>
  </si>
  <si>
    <t>New York : Oxford University Press, 1988.</t>
  </si>
  <si>
    <t>1988</t>
  </si>
  <si>
    <t>History of neuroscience ; no. 1</t>
  </si>
  <si>
    <t>1995-07-20</t>
  </si>
  <si>
    <t>1990-05-25</t>
  </si>
  <si>
    <t>795455966:eng</t>
  </si>
  <si>
    <t>16713572</t>
  </si>
  <si>
    <t>991001136199702656</t>
  </si>
  <si>
    <t>2263497680002656</t>
  </si>
  <si>
    <t>9780195052800</t>
  </si>
  <si>
    <t>32285000156025</t>
  </si>
  <si>
    <t>893346274</t>
  </si>
  <si>
    <t>QM575 .R343 1995</t>
  </si>
  <si>
    <t>0                      QM 0575000R  343         1995</t>
  </si>
  <si>
    <t>Histology of the nervous system of man and vertebrates / by S. Ramón y Cajal ; translated from the French by Neely Swanson and Larry W. Swanson.</t>
  </si>
  <si>
    <t>New York : Oxford University Press, 1995.</t>
  </si>
  <si>
    <t>1995</t>
  </si>
  <si>
    <t>1996-03-06</t>
  </si>
  <si>
    <t>3373119432:eng</t>
  </si>
  <si>
    <t>28749254</t>
  </si>
  <si>
    <t>991002232149702656</t>
  </si>
  <si>
    <t>2269389440002656</t>
  </si>
  <si>
    <t>9780195074017</t>
  </si>
  <si>
    <t>32285002140530</t>
  </si>
  <si>
    <t>893408840</t>
  </si>
  <si>
    <t>32285002140548</t>
  </si>
  <si>
    <t>893408839</t>
  </si>
  <si>
    <t>QM601 .H33</t>
  </si>
  <si>
    <t>0                      QM 0601000H  33</t>
  </si>
  <si>
    <t>Clinical embryology / R. G. Harrison.</t>
  </si>
  <si>
    <t>Harrison, R. G. (Ronald George)</t>
  </si>
  <si>
    <t>London ; New York : Academic Press, 1978.</t>
  </si>
  <si>
    <t>Monographs for students of medicine</t>
  </si>
  <si>
    <t>1993-09-07</t>
  </si>
  <si>
    <t>145029008:eng</t>
  </si>
  <si>
    <t>4524651</t>
  </si>
  <si>
    <t>991004673689702656</t>
  </si>
  <si>
    <t>2271010550002656</t>
  </si>
  <si>
    <t>9780123278401</t>
  </si>
  <si>
    <t>32285001548006</t>
  </si>
  <si>
    <t>893260028</t>
  </si>
  <si>
    <t>QM601 .L37 1993</t>
  </si>
  <si>
    <t>0                      QM 0601000L  37          1993</t>
  </si>
  <si>
    <t>Human embryology / William J. Larsen.</t>
  </si>
  <si>
    <t>Larsen, William J. (William James)</t>
  </si>
  <si>
    <t>New York : Churchill Livingstone, 1993.</t>
  </si>
  <si>
    <t>2007-09-30</t>
  </si>
  <si>
    <t>1993-03-17</t>
  </si>
  <si>
    <t>1996-03-07</t>
  </si>
  <si>
    <t>4021138651:eng</t>
  </si>
  <si>
    <t>26552743</t>
  </si>
  <si>
    <t>991001804249702656</t>
  </si>
  <si>
    <t>2259299620002656</t>
  </si>
  <si>
    <t>9780443087240</t>
  </si>
  <si>
    <t>32285001498053</t>
  </si>
  <si>
    <t>893444814</t>
  </si>
  <si>
    <t>QM601 .O73 1992</t>
  </si>
  <si>
    <t>0                      QM 0601000O  73          1992</t>
  </si>
  <si>
    <t>Human embryology &amp; teratology / Ronan O'Rahilly, Fabiola Müller.</t>
  </si>
  <si>
    <t>O'Rahilly, Ronan.</t>
  </si>
  <si>
    <t>New York : Wiley-Liss, c1992.</t>
  </si>
  <si>
    <t>1992</t>
  </si>
  <si>
    <t>1998-01-29</t>
  </si>
  <si>
    <t>1992-11-17</t>
  </si>
  <si>
    <t>32996808:eng</t>
  </si>
  <si>
    <t>24698052</t>
  </si>
  <si>
    <t>991001953409702656</t>
  </si>
  <si>
    <t>2268047400002656</t>
  </si>
  <si>
    <t>9780471561866</t>
  </si>
  <si>
    <t>32285001362887</t>
  </si>
  <si>
    <t>893256686</t>
  </si>
  <si>
    <t>QM603 .W65 1991</t>
  </si>
  <si>
    <t>0                      QM 0603000W  65          1991</t>
  </si>
  <si>
    <t>The triumph of the embryo / Lewis Wolpert ; with illustrations drawn by Debra Skinner.</t>
  </si>
  <si>
    <t>Wolpert, L. (Lewis)</t>
  </si>
  <si>
    <t>Oxford [England] ; New York : Oxford University Press, 1991.</t>
  </si>
  <si>
    <t>2006-10-24</t>
  </si>
  <si>
    <t>1992-03-06</t>
  </si>
  <si>
    <t>20762125:eng</t>
  </si>
  <si>
    <t>23143328</t>
  </si>
  <si>
    <t>991001842429702656</t>
  </si>
  <si>
    <t>2265729650002656</t>
  </si>
  <si>
    <t>9780198542438</t>
  </si>
  <si>
    <t>32285000938828</t>
  </si>
  <si>
    <t>893715765</t>
  </si>
  <si>
    <t>QM611 .W45 1986</t>
  </si>
  <si>
    <t>0                      QM 0611000W  45          1986</t>
  </si>
  <si>
    <t>Embryogenesis in myth and science / Thomas J. Weihs.</t>
  </si>
  <si>
    <t>Weihs, Thomas J. (Thomas Johannes), 1914-1983.</t>
  </si>
  <si>
    <t>Edinburgh : Floris, 1986.</t>
  </si>
  <si>
    <t>2002-10-18</t>
  </si>
  <si>
    <t>1993-02-23</t>
  </si>
  <si>
    <t>140833380:eng</t>
  </si>
  <si>
    <t>19522532</t>
  </si>
  <si>
    <t>991000875569702656</t>
  </si>
  <si>
    <t>2270402330002656</t>
  </si>
  <si>
    <t>9780863150401</t>
  </si>
  <si>
    <t>32285001548030</t>
  </si>
  <si>
    <t>893884841</t>
  </si>
  <si>
    <t>QM691 .A2 1979</t>
  </si>
  <si>
    <t>0                      QM 0691000A  2           1979</t>
  </si>
  <si>
    <t>Abnormal embryogenesis : cellular and molecular aspects / edited by T. V. N. Persaud.</t>
  </si>
  <si>
    <t>Baltimore : University Park Press, 1979.</t>
  </si>
  <si>
    <t>Advances in the study of birth defects ; v. 3</t>
  </si>
  <si>
    <t>1997-03-07</t>
  </si>
  <si>
    <t>803290623:eng</t>
  </si>
  <si>
    <t>5171194</t>
  </si>
  <si>
    <t>991004791159702656</t>
  </si>
  <si>
    <t>2258770110002656</t>
  </si>
  <si>
    <t>9780839114703</t>
  </si>
  <si>
    <t>32285001548048</t>
  </si>
  <si>
    <t>893612778</t>
  </si>
  <si>
    <t>QM691 .B53 1979</t>
  </si>
  <si>
    <t>0                      QM 0691000B  53          1979</t>
  </si>
  <si>
    <t>Birth defects compendium / editor, Daniel Bergsma.</t>
  </si>
  <si>
    <t>New York : Published for the National Foundation-March of Dimes by A. R. Liss, 1979.</t>
  </si>
  <si>
    <t>2002-10-03</t>
  </si>
  <si>
    <t>365644503:eng</t>
  </si>
  <si>
    <t>4495382</t>
  </si>
  <si>
    <t>991001760559702656</t>
  </si>
  <si>
    <t>2268042630002656</t>
  </si>
  <si>
    <t>9780845102039</t>
  </si>
  <si>
    <t>32285001548055</t>
  </si>
  <si>
    <t>893426829</t>
  </si>
  <si>
    <t>QM691 .C63</t>
  </si>
  <si>
    <t>0                      QM 0691000C  63</t>
  </si>
  <si>
    <t>Congenital malformations / editor, A. J. C. Huffstadt.</t>
  </si>
  <si>
    <t>Amsterdam ; Princeton : Excerpta Medica ; New York : sole distributors for the USA and Canada, Elsevier North-Holland, 1980.</t>
  </si>
  <si>
    <t xml:space="preserve">ne </t>
  </si>
  <si>
    <t>The Jonxis lectures ; v. 4</t>
  </si>
  <si>
    <t>1996-02-13</t>
  </si>
  <si>
    <t>1780621854:eng</t>
  </si>
  <si>
    <t>6379051</t>
  </si>
  <si>
    <t>991004974569702656</t>
  </si>
  <si>
    <t>2270747050002656</t>
  </si>
  <si>
    <t>9780444901101</t>
  </si>
  <si>
    <t>32285001548063</t>
  </si>
  <si>
    <t>893606656</t>
  </si>
  <si>
    <t>QM691 .I67 1984</t>
  </si>
  <si>
    <t>0                      QM 0691000I  67          1984</t>
  </si>
  <si>
    <t>Issues and reviews in teratology / edited by Harold Kalter.</t>
  </si>
  <si>
    <t>New York : Plenum Press, c1983-</t>
  </si>
  <si>
    <t>1998-09-28</t>
  </si>
  <si>
    <t>3373156309:eng</t>
  </si>
  <si>
    <t>9442141</t>
  </si>
  <si>
    <t>991000197329702656</t>
  </si>
  <si>
    <t>2264850820002656</t>
  </si>
  <si>
    <t>9780306412394</t>
  </si>
  <si>
    <t>32285001548121</t>
  </si>
  <si>
    <t>893339380</t>
  </si>
  <si>
    <t>QM691 .I67 1985</t>
  </si>
  <si>
    <t>0                      QM 0691000I  67          1985</t>
  </si>
  <si>
    <t>32285001548139</t>
  </si>
  <si>
    <t>893320897</t>
  </si>
  <si>
    <t>QM691 .I67 yr..., v...</t>
  </si>
  <si>
    <t>0                      QM 0691000I  67                                                      yr..., v...</t>
  </si>
  <si>
    <t>32285001548113</t>
  </si>
  <si>
    <t>893320898</t>
  </si>
  <si>
    <t>QM691 .S46</t>
  </si>
  <si>
    <t>0                      QM 0691000S  46</t>
  </si>
  <si>
    <t>Sequential atlas of human congenital malformations : observations of embryos, fetuses and newborns / edited by Hideo Nishimura and Naomasa Okamoto.</t>
  </si>
  <si>
    <t>Baltimore : University Park Press, c1976.</t>
  </si>
  <si>
    <t>1976</t>
  </si>
  <si>
    <t>1999-09-01</t>
  </si>
  <si>
    <t>866031149:eng</t>
  </si>
  <si>
    <t>2121494</t>
  </si>
  <si>
    <t>991001764229702656</t>
  </si>
  <si>
    <t>2267143740002656</t>
  </si>
  <si>
    <t>9780839109372</t>
  </si>
  <si>
    <t>32285003011540</t>
  </si>
  <si>
    <t>893420585</t>
  </si>
  <si>
    <t>QM691 .S53 1989</t>
  </si>
  <si>
    <t>0                      QM 0691000S  53          1989</t>
  </si>
  <si>
    <t>Catalog of teratogenic agents / Thomas H. Shepard.</t>
  </si>
  <si>
    <t>Shepard, Thomas H., 1923-</t>
  </si>
  <si>
    <t>Baltimore : Johns Hopkins University Press, c1989.</t>
  </si>
  <si>
    <t>1989</t>
  </si>
  <si>
    <t>6th ed.</t>
  </si>
  <si>
    <t>1991-05-31</t>
  </si>
  <si>
    <t>2070161762:eng</t>
  </si>
  <si>
    <t>19324857</t>
  </si>
  <si>
    <t>991001450939702656</t>
  </si>
  <si>
    <t>2268264930002656</t>
  </si>
  <si>
    <t>9780801838361</t>
  </si>
  <si>
    <t>32285000591320</t>
  </si>
  <si>
    <t>893232004</t>
  </si>
  <si>
    <t>QM691 .T35</t>
  </si>
  <si>
    <t>0                      QM 0691000T  35</t>
  </si>
  <si>
    <t>Teratogenic mechanisms / edited by T. V. N. Persaud.</t>
  </si>
  <si>
    <t>Baltimore : University Park Press, c1979.</t>
  </si>
  <si>
    <t>Advances in the study of birth defects ; v. 1</t>
  </si>
  <si>
    <t>1994-02-10</t>
  </si>
  <si>
    <t>1992-04-27</t>
  </si>
  <si>
    <t>54346072:eng</t>
  </si>
  <si>
    <t>5726338</t>
  </si>
  <si>
    <t>991004864629702656</t>
  </si>
  <si>
    <t>2263254660002656</t>
  </si>
  <si>
    <t>9780839114284</t>
  </si>
  <si>
    <t>32285001088813</t>
  </si>
  <si>
    <t>893876656</t>
  </si>
  <si>
    <t>QS 4 A628t 1983</t>
  </si>
  <si>
    <t>0                      QS 0004000A  628t        1983</t>
  </si>
  <si>
    <t>Textbook of anatomy &amp; physiology / Catherine Parker Anthony, Gary A. Thibodeau.</t>
  </si>
  <si>
    <t>Anthony, Catherine Parker, 1907-</t>
  </si>
  <si>
    <t>St. Louis : Mosby, c1983.</t>
  </si>
  <si>
    <t>11th ed.</t>
  </si>
  <si>
    <t>xxu</t>
  </si>
  <si>
    <t xml:space="preserve">QS </t>
  </si>
  <si>
    <t>2002-10-11</t>
  </si>
  <si>
    <t>1987-09-22</t>
  </si>
  <si>
    <t>QS 4 B315p 1982</t>
  </si>
  <si>
    <t>0                      QS 0004000B  315p        1982</t>
  </si>
  <si>
    <t>Primary anatomy.</t>
  </si>
  <si>
    <t>Basmajian, John V., 1921-</t>
  </si>
  <si>
    <t>Baltimore : Williams &amp; Wilkins, c1982.</t>
  </si>
  <si>
    <t>8th ed. / John V. Basmajian.</t>
  </si>
  <si>
    <t>1995-09-24</t>
  </si>
  <si>
    <t>QS 4 B499c 1984</t>
  </si>
  <si>
    <t>0                      QS 0004000B  499c        1984</t>
  </si>
  <si>
    <t>Catalog of human variation / Ronald A. Bergman, Sue Ann Thompson, Adel K. Afifi.</t>
  </si>
  <si>
    <t>Bergman, Ronald A.</t>
  </si>
  <si>
    <t>Baltimore : Urban &amp; Schwarzenberg, c1984.</t>
  </si>
  <si>
    <t>1995-09-19</t>
  </si>
  <si>
    <t>1989-07-16</t>
  </si>
  <si>
    <t>QS 4 C554s 1982</t>
  </si>
  <si>
    <t>0                      QS 0004000C  554s        1982</t>
  </si>
  <si>
    <t>Synopsis of gross anatomy / John B. Christensen, Ira R. Telford.</t>
  </si>
  <si>
    <t>Christensen, John B.</t>
  </si>
  <si>
    <t>Hagerstown, Md. : Medical Dept., Harper &amp; Row, c1982.</t>
  </si>
  <si>
    <t>4th ed.</t>
  </si>
  <si>
    <t>2006-11-05</t>
  </si>
  <si>
    <t>QS4 C678m 2005</t>
  </si>
  <si>
    <t>0                      QS 0004000C  678m        2005</t>
  </si>
  <si>
    <t>Memmler's the structure and function of the human body.</t>
  </si>
  <si>
    <t>Cohen, Barbara J.</t>
  </si>
  <si>
    <t>Philadelphia : Lippincott Williams &amp; Wilkins, c2005.</t>
  </si>
  <si>
    <t>2005</t>
  </si>
  <si>
    <t>8th ed. / Barbara Janson Cohen, Jason James Taylor.</t>
  </si>
  <si>
    <t>2009-07-01</t>
  </si>
  <si>
    <t>2006-02-23</t>
  </si>
  <si>
    <t>QS 4 C678s 2000</t>
  </si>
  <si>
    <t>0                      QS 0004000C  678s        2000</t>
  </si>
  <si>
    <t>The Structure &amp; function of the human body / Barbara Janson Cohen, Dena Lin Wood.</t>
  </si>
  <si>
    <t>Philadelphia : Lippincott Williams &amp; Wilkins, c2000.</t>
  </si>
  <si>
    <t>2000</t>
  </si>
  <si>
    <t>7th ed.</t>
  </si>
  <si>
    <t>2005-08-24</t>
  </si>
  <si>
    <t>2000-03-27</t>
  </si>
  <si>
    <t>QS 4 C952e 1982</t>
  </si>
  <si>
    <t>0                      QS 0004000C  952e        1982</t>
  </si>
  <si>
    <t>Essential human anatomy : a text-atlas / James E. Crouch ; illustrated by Martha B. Lackey.</t>
  </si>
  <si>
    <t>Crouch, James E. (James Ensign), 1908-2000.</t>
  </si>
  <si>
    <t>Philadelphia : Lea &amp; Febiger, c1982.</t>
  </si>
  <si>
    <t>2006-10-20</t>
  </si>
  <si>
    <t>QS 4 C952f 1985</t>
  </si>
  <si>
    <t>0                      QS 0004000C  952f        1985</t>
  </si>
  <si>
    <t>Functional human anatomy / James E. Crouch.</t>
  </si>
  <si>
    <t>Philadelphia : Lea &amp; Febiger, c1985.</t>
  </si>
  <si>
    <t>2002-02-21</t>
  </si>
  <si>
    <t>1988-01-06</t>
  </si>
  <si>
    <t>QS 4 D562b 1979</t>
  </si>
  <si>
    <t>0                      QS 0004000D  562b        1979</t>
  </si>
  <si>
    <t>Basic human anatomy and physiology / Charlottee M. Dienhart ; illustrated by Steven P. Gigliotti.</t>
  </si>
  <si>
    <t>Dienhart, Charlotte M. (Charlotte Marie), 1923-</t>
  </si>
  <si>
    <t>2000-08-29</t>
  </si>
  <si>
    <t>QS 4 E42b 1971</t>
  </si>
  <si>
    <t>0                      QS 0004000E  42b         1971</t>
  </si>
  <si>
    <t>Basic human anatomy as seen in the fetus / by Hans Elias ; Photography by Thomas M. Scanlan.</t>
  </si>
  <si>
    <t>Elias, Hans, 1907-1985.</t>
  </si>
  <si>
    <t>St. Louis : W.H. Green, c1971.</t>
  </si>
  <si>
    <t>1971</t>
  </si>
  <si>
    <t>mou</t>
  </si>
  <si>
    <t>1995-10-09</t>
  </si>
  <si>
    <t>1988-01-04</t>
  </si>
  <si>
    <t>QS 4 E47a 1988</t>
  </si>
  <si>
    <t>0                      QS 0004000E  47a         1988</t>
  </si>
  <si>
    <t>Anatomy for anaesthetists / Harold Ellis and Stanley Feldman.</t>
  </si>
  <si>
    <t>Ellis, Harold, 1926-</t>
  </si>
  <si>
    <t>Oxford : Blackwell Scientific, c1988.</t>
  </si>
  <si>
    <t>5th ed.</t>
  </si>
  <si>
    <t>2004-04-26</t>
  </si>
  <si>
    <t>1989-09-07</t>
  </si>
  <si>
    <t>QS 4 E47c 1976</t>
  </si>
  <si>
    <t>0                      QS 0004000E  47c         1976</t>
  </si>
  <si>
    <t>Clinical anatomy : a revision and applied anatomy for clinical students.</t>
  </si>
  <si>
    <t>Oxford : Blackwell Scientific ; [Philadelphia : distributed by Lippincott], c1976.</t>
  </si>
  <si>
    <t>2002-05-28</t>
  </si>
  <si>
    <t>1990-10-31</t>
  </si>
  <si>
    <t>QS 4 F328g 1992</t>
  </si>
  <si>
    <t>0                      QS 0004000F  328g        1992</t>
  </si>
  <si>
    <t>Gross anatomy / William J.L. Felts.</t>
  </si>
  <si>
    <t>Felts, William J. L. (William Joseph Lawrence), 1924-</t>
  </si>
  <si>
    <t>New York : Springer-Verlag, c1992.</t>
  </si>
  <si>
    <t>Oklahoma notes</t>
  </si>
  <si>
    <t>2003-10-28</t>
  </si>
  <si>
    <t>1992-04-23</t>
  </si>
  <si>
    <t>QS 4 G226a 1975</t>
  </si>
  <si>
    <t>0                      QS 0004000G  226a        1975</t>
  </si>
  <si>
    <t>Anatomy : a regional study of human structure / Ernest Gardner, Donald J. Gray, Ronan O'Rahilly ; ill. by Caspar Henselmann.</t>
  </si>
  <si>
    <t>Gardner, Ernest, 1915-1978.</t>
  </si>
  <si>
    <t>Philadelphia : Saunders, c1975.</t>
  </si>
  <si>
    <t>1992-11-09</t>
  </si>
  <si>
    <t>QS 4 G266g 1986</t>
  </si>
  <si>
    <t>0                      QS 0004000G  266g        1986</t>
  </si>
  <si>
    <t>Gardner-Gray-O'Rahilly anatomy : a regional study of human structure.</t>
  </si>
  <si>
    <t>Philadelphia : Saunders, c1986.</t>
  </si>
  <si>
    <t>5th ed. / Ronan O'Rahilly with the collaboration of Fabiola Müller.</t>
  </si>
  <si>
    <t>1996-03-21</t>
  </si>
  <si>
    <t>QS 4 G762m 1989</t>
  </si>
  <si>
    <t>0                      QS 0004000G  762m        1989</t>
  </si>
  <si>
    <t>Grant's method of anatomy.</t>
  </si>
  <si>
    <t>Grant, J. C. Boileau (John Charles Boileau), 1886-1973.</t>
  </si>
  <si>
    <t>Baltimore : Williams &amp; Wilkins, c1989.</t>
  </si>
  <si>
    <t>11th ed. / John V. Basmajian, Charles E. Slonecker.</t>
  </si>
  <si>
    <t>2007-06-01</t>
  </si>
  <si>
    <t>1989-08-08</t>
  </si>
  <si>
    <t>QS 4 G779an 1985</t>
  </si>
  <si>
    <t>0                      QS 0004000G  779an       1985</t>
  </si>
  <si>
    <t>Anatomy of the human body / by Henry Gray.</t>
  </si>
  <si>
    <t>30th American ed. / edited by Carmine D. Clemente.</t>
  </si>
  <si>
    <t>2009-08-31</t>
  </si>
  <si>
    <t>QS 4 H182a 1990</t>
  </si>
  <si>
    <t>0                      QS 0004000H  182a        1990</t>
  </si>
  <si>
    <t>Anatomy as a basis for clinical medicine / by E.C.B. Hall-Craggs ; illustrated by Diane Abeloff.</t>
  </si>
  <si>
    <t>Hall-Craggs, E. C. B.</t>
  </si>
  <si>
    <t>Baltimore : Urban &amp; Schwarzenberg, c1990.</t>
  </si>
  <si>
    <t>1990</t>
  </si>
  <si>
    <t>2003-01-21</t>
  </si>
  <si>
    <t>1990-06-05</t>
  </si>
  <si>
    <t>QS 4 H182a 1995</t>
  </si>
  <si>
    <t>0                      QS 0004000H  182a        1995</t>
  </si>
  <si>
    <t>Anatomy as a basis for clinical medicine / E.C.B. Hall-Craggs ; illustrated by Diane Abeloff.</t>
  </si>
  <si>
    <t>London ; Baltimore : Williams &amp; Wilkins, c1995.</t>
  </si>
  <si>
    <t>3rd ed.</t>
  </si>
  <si>
    <t>1997-08-26</t>
  </si>
  <si>
    <t>QS 4 H221s 1971</t>
  </si>
  <si>
    <t>0                      QS 0004000H  221s        1971</t>
  </si>
  <si>
    <t>Surface and radiological anatomy for students and general practitioners.</t>
  </si>
  <si>
    <t>Hamilton, W. J. (William James), 1903-1975.</t>
  </si>
  <si>
    <t>Cambridge ; W. Heffer and Sons Ltd. : Baltimore, MD : Wlliams &amp; Wilkins Co., 1971.</t>
  </si>
  <si>
    <t>5th ed., by W.J. Hamilton, G. Simon, and S.G. Ian Hamilton.</t>
  </si>
  <si>
    <t>1993-11-23</t>
  </si>
  <si>
    <t>QS 4 H729h 1978</t>
  </si>
  <si>
    <t>0                      QS 0004000H  729h        1978</t>
  </si>
  <si>
    <t>Human anatomy and physiology / John W. Hole, Jr.</t>
  </si>
  <si>
    <t>Hole, John W.</t>
  </si>
  <si>
    <t>Dubuque, Iowa : W.C. Brown Co., c1978.</t>
  </si>
  <si>
    <t>iau</t>
  </si>
  <si>
    <t>2006-01-30</t>
  </si>
  <si>
    <t>1988-01-07</t>
  </si>
  <si>
    <t>QS 4 J66a 1997</t>
  </si>
  <si>
    <t>0                      QS 0004000J  66a         1997</t>
  </si>
  <si>
    <t>Anatomy for dental students / D.R. Johnson and W.J. Moore ; illustrated by Ann Johnson.</t>
  </si>
  <si>
    <t>Johnson, D. R. (David Roderick)</t>
  </si>
  <si>
    <t>Oxford ; New York : Oxford University Press, c1997.</t>
  </si>
  <si>
    <t>2004-03-19</t>
  </si>
  <si>
    <t>1998-02-02</t>
  </si>
  <si>
    <t>QS 4 L297p</t>
  </si>
  <si>
    <t>0                      QS 0004000L  297p</t>
  </si>
  <si>
    <t>Prakitsche Anatomie : ein Lehr- und Hilfsbuch der anatomischen Handelns / von T. von Lanz [und] W. Wachsmuth.</t>
  </si>
  <si>
    <t>Lanz, T. von.</t>
  </si>
  <si>
    <t>-- Berlin : Springer-Verlag, 1955- Grundlagen ärztlichen</t>
  </si>
  <si>
    <t>1955</t>
  </si>
  <si>
    <t>ger</t>
  </si>
  <si>
    <t>|||</t>
  </si>
  <si>
    <t>1997-04-22</t>
  </si>
  <si>
    <t>1997-08-23</t>
  </si>
  <si>
    <t>1988-10-01</t>
  </si>
  <si>
    <t>QS4 L297P 1959</t>
  </si>
  <si>
    <t>0                      QS 0004000L  297P        1959</t>
  </si>
  <si>
    <t>QS4 L297P 1972</t>
  </si>
  <si>
    <t>0                      QS 0004000L  297P        1972</t>
  </si>
  <si>
    <t>1997-06-23</t>
  </si>
  <si>
    <t>QS 4 L297p 1985 v.1-A</t>
  </si>
  <si>
    <t>0                      QS 0004000L  297p        1985                                        v.1-A</t>
  </si>
  <si>
    <t>Praktische anatomie / von J. Lang ; in Zusammenarbeit mit K.-A. Bushe, W. Buschmann, D. Linnert ; und unter redaktioneller Mitwirkung von J. Metz.</t>
  </si>
  <si>
    <t>V.1 PT.A</t>
  </si>
  <si>
    <t>Lang, J. (Johannes)</t>
  </si>
  <si>
    <t>Berlin ; New York : Springer-Verlag, c1985.</t>
  </si>
  <si>
    <t xml:space="preserve">gw </t>
  </si>
  <si>
    <t>1997-01-14</t>
  </si>
  <si>
    <t>1988-02-12</t>
  </si>
  <si>
    <t>QS 4 L716a 1982</t>
  </si>
  <si>
    <t>0                      QS 0004000L  716a        1982</t>
  </si>
  <si>
    <t>The anatomical basis of dental practice / Bernard Liebgott.</t>
  </si>
  <si>
    <t>Liebgott, Bernard.</t>
  </si>
  <si>
    <t>Philadelphia : Saunders, c1982.</t>
  </si>
  <si>
    <t>QS 4 M127b 1975</t>
  </si>
  <si>
    <t>0                      QS 0004000M  127b        1975</t>
  </si>
  <si>
    <t>Basic anatomy and physiology of the human body / J. Robert McClintic.</t>
  </si>
  <si>
    <t>McClintic, J. Robert.</t>
  </si>
  <si>
    <t>New York : Wiley, c1975.</t>
  </si>
  <si>
    <t>1999-12-30</t>
  </si>
  <si>
    <t>QS 4 M334e 2000</t>
  </si>
  <si>
    <t>0                      QS 0004000M  334e        2000</t>
  </si>
  <si>
    <t>Essentials of human anatomy and physiology / Elaine N. Marieb.</t>
  </si>
  <si>
    <t>Marieb, Elaine Nicpon, 1936-</t>
  </si>
  <si>
    <t>San Francisco : Benjamin Cummings, c2000.</t>
  </si>
  <si>
    <t>2007-12-04</t>
  </si>
  <si>
    <t>2000-02-08</t>
  </si>
  <si>
    <t>QS 4 M334h 1998</t>
  </si>
  <si>
    <t>0                      QS 0004000M  334h        1998</t>
  </si>
  <si>
    <t>Human anatomy &amp; physiology / Elaine Marieb.</t>
  </si>
  <si>
    <t>Menlo Park, Calif. : Benjamin/Cummings, c1998.</t>
  </si>
  <si>
    <t>1998-03-25</t>
  </si>
  <si>
    <t>QS4 M368ahb 2003</t>
  </si>
  <si>
    <t>0                      QS 0004000M  368ahb      2003</t>
  </si>
  <si>
    <t>Atlas of the human body / Frederic H. Martini ... [et al.].</t>
  </si>
  <si>
    <t>Upper Saddle River, N.J. : Prentice Hall, c2003.</t>
  </si>
  <si>
    <t>2003</t>
  </si>
  <si>
    <t>nju</t>
  </si>
  <si>
    <t>2008-05-30</t>
  </si>
  <si>
    <t>2003-08-26</t>
  </si>
  <si>
    <t>QS 4 M386h 1997</t>
  </si>
  <si>
    <t>0                      QS 0004000M  386h        1997</t>
  </si>
  <si>
    <t>Human anatomy / Frederic H. Martini, Michael J. Timmons ; with William C. Ober, art coordinator and illustrator ; Claire W. Garrison, illustrator ; Kathleen Welch, clinical consultant ; Ralph T. Hutchings, biomedical photographer.</t>
  </si>
  <si>
    <t>Martini, Frederic.</t>
  </si>
  <si>
    <t>Upper Saddle River, N.J. : Prentice Hall, c1997.</t>
  </si>
  <si>
    <t>2007-08-24</t>
  </si>
  <si>
    <t>QS 4 M386h 2000</t>
  </si>
  <si>
    <t>0                      QS 0004000M  386h        2000</t>
  </si>
  <si>
    <t>Human anatomy / Frederick H. Martini, Michael J. Timmons, Michael P. McKinley ; with William C. Ober, art coordinator and illustrator ; Claire W. Garrison, illustrator ; Kathleen Welch, clinical consultant ; Ralph T. Hutchings, biomedical photographer.</t>
  </si>
  <si>
    <t>Upper Saddle River, N.J. : Prentice Hall, c2000.</t>
  </si>
  <si>
    <t>1999</t>
  </si>
  <si>
    <t>2007-03-30</t>
  </si>
  <si>
    <t>1999-08-25</t>
  </si>
  <si>
    <t>QS 4 M822c 1992</t>
  </si>
  <si>
    <t>0                      QS 0004000M  822c        1992</t>
  </si>
  <si>
    <t>Clinically oriented anatomy / Keith L. Moore.</t>
  </si>
  <si>
    <t>Moore, Keith L.</t>
  </si>
  <si>
    <t>Baltimore : Williams &amp; Wilkins, c1992.</t>
  </si>
  <si>
    <t>3rd ed. / illustrated primarily by Dorothy Chubb ... [et al.] ; photography by John Kozie and Paul Schwartz.</t>
  </si>
  <si>
    <t>2006-06-27</t>
  </si>
  <si>
    <t>2007-10-23</t>
  </si>
  <si>
    <t>1992-06-09</t>
  </si>
  <si>
    <t>1998-09-01</t>
  </si>
  <si>
    <t>2</t>
  </si>
  <si>
    <t>QS 4 M876h 1942</t>
  </si>
  <si>
    <t>0                      QS 0004000M  876h        1942</t>
  </si>
  <si>
    <t>Morris' Human anatomy : a complete systematic treatise / edited by J. Parsons Schaeffer ; contributors: Leslie B. Arey, Raymond F. Blount, Eliot R. Clark ... [et al.].</t>
  </si>
  <si>
    <t>Morris, Henry, Sir, 1844-1926.</t>
  </si>
  <si>
    <t>Philadelphia : The Blakiston company, c1942.</t>
  </si>
  <si>
    <t>1942</t>
  </si>
  <si>
    <t>1995-07-06</t>
  </si>
  <si>
    <t>QS 4 M966a 1980</t>
  </si>
  <si>
    <t>0                      QS 0004000M  966a        1980</t>
  </si>
  <si>
    <t>Anatomy - P[subscript x] : a practical introduction to anatomical correlates of the physical examination / Bryce L. Munger and Irwin L. Baird.</t>
  </si>
  <si>
    <t>Munger, Bryce L.</t>
  </si>
  <si>
    <t>Baltimore : Williams &amp; Wilkins, c1980.</t>
  </si>
  <si>
    <t>1994-11-01</t>
  </si>
  <si>
    <t>QS 4 M982h 1969</t>
  </si>
  <si>
    <t>0                      QS 0004000M  982h        1969</t>
  </si>
  <si>
    <t>Human anatomy made simple / MacKay Murray ; Illustrated by Eva Cellini.</t>
  </si>
  <si>
    <t>Murray, I. MacKay (Irwin MacKay), 1919-</t>
  </si>
  <si>
    <t>Garden City, N.Y. : Doubleday, c1969.</t>
  </si>
  <si>
    <t>[1st ed.]</t>
  </si>
  <si>
    <t>2004-10-27</t>
  </si>
  <si>
    <t>QS 4 S359a 1976</t>
  </si>
  <si>
    <t>0                      QS 0004000S  359a        1976</t>
  </si>
  <si>
    <t>Anatomical case histories : a problem-solving text in anatomy / Lawrence K. Schneider.</t>
  </si>
  <si>
    <t>Schneider, Lawrence K.</t>
  </si>
  <si>
    <t>Chicago : Year Book Medical Publishers, c1976.</t>
  </si>
  <si>
    <t>ilu</t>
  </si>
  <si>
    <t>2002-05-03</t>
  </si>
  <si>
    <t>QS 4 S587h 1980</t>
  </si>
  <si>
    <t>0                      QS 0004000S  587h        1980</t>
  </si>
  <si>
    <t>Human anatomy and physiology / Alvin Silverstein.</t>
  </si>
  <si>
    <t>Silverstein, Alvin.</t>
  </si>
  <si>
    <t>New York : Wiley, c1980.</t>
  </si>
  <si>
    <t>1992-09-27</t>
  </si>
  <si>
    <t>QS 4 S671c 1981</t>
  </si>
  <si>
    <t>0                      QS 0004000S  671c        1981</t>
  </si>
  <si>
    <t>Clinical anatomy for medical students / Richard S. Snell.</t>
  </si>
  <si>
    <t>Snell, Richard S.</t>
  </si>
  <si>
    <t>Boston : Little, Brown, c1981.</t>
  </si>
  <si>
    <t>1981</t>
  </si>
  <si>
    <t>2010-10-25</t>
  </si>
  <si>
    <t>QS 4 S744h 1987</t>
  </si>
  <si>
    <t>0                      QS 0004000S  744h        1987</t>
  </si>
  <si>
    <t>Human anatomy and physiology / Alexander P. Spence, Elliott B. Mason ; illustrations by Fran Milner.</t>
  </si>
  <si>
    <t>Spence, Alexander P., 1929-</t>
  </si>
  <si>
    <t>Menlo Park, Calif. : Benjamin/Cummings Pub. Co., c1987.</t>
  </si>
  <si>
    <t>1987</t>
  </si>
  <si>
    <t>Benjamin/Cummings series in human anatomy and physiology</t>
  </si>
  <si>
    <t>1989-12-18</t>
  </si>
  <si>
    <t>QS 4 T473c 1989</t>
  </si>
  <si>
    <t>0                      QS 0004000T  473c        1989</t>
  </si>
  <si>
    <t>Thompson's core textbook of anatomy.</t>
  </si>
  <si>
    <t>Thompson, James S. (James Scott), 1919-1982.</t>
  </si>
  <si>
    <t>Philadelphia : Lippincott, c1989.</t>
  </si>
  <si>
    <t>2nd ed. / Elizabeth J. Akesson, Jacques A. Loeb, Linda Wilson-Pauwels.</t>
  </si>
  <si>
    <t>1989-10-21</t>
  </si>
  <si>
    <t>QS 4 T712i 1994</t>
  </si>
  <si>
    <t>0                      QS 0004000T  712i        1994</t>
  </si>
  <si>
    <t>Introduction to the human body : the essentials of anatomy and the physiology / Gerald J. Tortora.</t>
  </si>
  <si>
    <t>Tortora, Gerard J.</t>
  </si>
  <si>
    <t>New York, NY : HarperCollins College Publishers, c1994.</t>
  </si>
  <si>
    <t>2006-01-27</t>
  </si>
  <si>
    <t>1994-08-04</t>
  </si>
  <si>
    <t>QS 4 T712p 1999</t>
  </si>
  <si>
    <t>0                      QS 0004000T  712p        1999</t>
  </si>
  <si>
    <t>Principles of anatomy and physiology / G.J. Tortora, S. R. Grabowski.</t>
  </si>
  <si>
    <t>New York ; Chichester : Wiley, c1999.</t>
  </si>
  <si>
    <t>9th ed.</t>
  </si>
  <si>
    <t>2006-01-16</t>
  </si>
  <si>
    <t>2000-04-04</t>
  </si>
  <si>
    <t>QS 4 T712p 2000 Suppl.</t>
  </si>
  <si>
    <t>0                      QS 0004000T  712p        2000                                        Suppl.</t>
  </si>
  <si>
    <t>Atlas of the human skeleton : updated to accompany Principles of anatomy and physiology, 9/E / Gerard J. Tortora ; photographs prepared by Mark Nielsen.</t>
  </si>
  <si>
    <t>Suppl.*</t>
  </si>
  <si>
    <t>New York : J. Wiley &amp; Sons, c2000.</t>
  </si>
  <si>
    <t>2010-07-16</t>
  </si>
  <si>
    <t>QS 4 T712pa 1992</t>
  </si>
  <si>
    <t>0                      QS 0004000T  712pa       1992</t>
  </si>
  <si>
    <t>Principles of human anatomy / Gerard J. Tortora.</t>
  </si>
  <si>
    <t>New York, NY : HarperCollins Publishers, c1992.</t>
  </si>
  <si>
    <t>2002-06-24</t>
  </si>
  <si>
    <t>1992-08-06</t>
  </si>
  <si>
    <t>QS 5 T313 1975</t>
  </si>
  <si>
    <t>0                      QS 0005000T  313         1975</t>
  </si>
  <si>
    <t>Proceedings, tenth International Congress of Anatomists and eightieth annual meeting of Japanese Association of Anatomists : Tokyo, Japan, August 25-30, 1975 / edited by Eichi Yamada.</t>
  </si>
  <si>
    <t>International Congress of Anatomists (10th : 1975 : Tokyo, Japan)</t>
  </si>
  <si>
    <t>[Tokyo] : Science Council of Japan, [1976?]</t>
  </si>
  <si>
    <t xml:space="preserve">ja </t>
  </si>
  <si>
    <t>1994-04-15</t>
  </si>
  <si>
    <t>1988-01-13</t>
  </si>
  <si>
    <t>QS 11 V575 1949</t>
  </si>
  <si>
    <t>0                      QS 0011000V  575         1949</t>
  </si>
  <si>
    <t>The epitome of Andreas Vesalius / Translated from the Latin with pref. and introd. by L.R. Lind ; with anatomical notes by C.W. Asling. Foreword by Logan Clendening.</t>
  </si>
  <si>
    <t>Vesalius, Andreas, 1514-1564.</t>
  </si>
  <si>
    <t>New York : Macmillan Co., 1949.</t>
  </si>
  <si>
    <t>1949</t>
  </si>
  <si>
    <t>Historical Library, Yale Medical Library, Publication no.21</t>
  </si>
  <si>
    <t>1991-04-15</t>
  </si>
  <si>
    <t>QS 11.1 G241p 1926</t>
  </si>
  <si>
    <t>0                      QS 0011100G  241p        1926</t>
  </si>
  <si>
    <t>The principles of anatomic illustration before Vesalius : an inquiry into the rationale of artistic anatomy / by Fielding H. Garrison.</t>
  </si>
  <si>
    <t>Garrison, Fielding H. (Fielding Hudson), 1870-1935.</t>
  </si>
  <si>
    <t>New York : P.B. Hoeber, Inc., c1926.</t>
  </si>
  <si>
    <t>1926</t>
  </si>
  <si>
    <t>QS 17 A622a 1963</t>
  </si>
  <si>
    <t>0                      QS 0017000A  622a        1963</t>
  </si>
  <si>
    <t>An atlas of human anatomy.</t>
  </si>
  <si>
    <t>Philadelphia : Saunders, c1963.</t>
  </si>
  <si>
    <t>1995-01-17</t>
  </si>
  <si>
    <t>1988-03-01</t>
  </si>
  <si>
    <t>QS 17 A881 1973</t>
  </si>
  <si>
    <t>0                      QS 0017000A  881         1973</t>
  </si>
  <si>
    <t>Atlas d'anatomie du lapin : Atlas of rabbit anatomy / Par R. Barone.</t>
  </si>
  <si>
    <t>Paris : Masson, 1973.</t>
  </si>
  <si>
    <t>lat</t>
  </si>
  <si>
    <t xml:space="preserve">fr </t>
  </si>
  <si>
    <t>1993-08-24</t>
  </si>
  <si>
    <t>1987-11-03</t>
  </si>
  <si>
    <t>QS 17 A88125 1997a</t>
  </si>
  <si>
    <t>0                      QS 0017000A  88125       1997a</t>
  </si>
  <si>
    <t>Sobotta atlas of human anatomy.</t>
  </si>
  <si>
    <t>Atlas der Anatomie des Menschen. English.</t>
  </si>
  <si>
    <t>Baltimore : Williams &amp; Wilkins, c1997.</t>
  </si>
  <si>
    <t>12th English ed., nomenclature in English / edited by R. Putz, R. Pabst ; translated and edited by Anna N. Taylor.</t>
  </si>
  <si>
    <t>2010-06-14</t>
  </si>
  <si>
    <t>1998-07-30</t>
  </si>
  <si>
    <t>2007-04-16</t>
  </si>
  <si>
    <t>QS 17 B662b 1980</t>
  </si>
  <si>
    <t>0                      QS 0017000B  662b        1980</t>
  </si>
  <si>
    <t>Basic atlas of cross-sectional anatomy / Walter J. Bo, Isadore Meschan, Wayne A. Krueger ; ill. coordinated by George C. Lynch.</t>
  </si>
  <si>
    <t>Bo, Walter J.</t>
  </si>
  <si>
    <t>Philadelphia : Saunders, c1980.</t>
  </si>
  <si>
    <t>1998-08-06</t>
  </si>
  <si>
    <t>1993-04-07</t>
  </si>
  <si>
    <t>QS 17 C626a 1987</t>
  </si>
  <si>
    <t>0                      QS 0017000C  626a        1987</t>
  </si>
  <si>
    <t>Anatomy, a regional atlas of the human body / Carmine D. Clemente.</t>
  </si>
  <si>
    <t>Clemente, Carmine D.</t>
  </si>
  <si>
    <t>Baltimore : Urban &amp; Schwarzenberg, c1987.</t>
  </si>
  <si>
    <t>2002-05-30</t>
  </si>
  <si>
    <t>1993-05-07</t>
  </si>
  <si>
    <t>QS 17 E44s 1995</t>
  </si>
  <si>
    <t>0                      QS 0017000E  44s         1995</t>
  </si>
  <si>
    <t>Sectional anatomy by MRI / Georges Y. El-Khoury, Ronald A. Bergman, William J. Montgomery.</t>
  </si>
  <si>
    <t>El-Khoury, Georges Y.</t>
  </si>
  <si>
    <t>New York : Churchill Livingstone, c1995.</t>
  </si>
  <si>
    <t>1995-09-18</t>
  </si>
  <si>
    <t>1995-01-09</t>
  </si>
  <si>
    <t>QS 17 F593a 1993</t>
  </si>
  <si>
    <t>0                      QS 0017000F  593a        1993</t>
  </si>
  <si>
    <t>Anatomy in diagnostic imaging / Peter Fleckenstein &amp; Jørgen Tranum-Jensen.</t>
  </si>
  <si>
    <t>Fleckenstein, Peter.</t>
  </si>
  <si>
    <t>Copenhagen : Munksgaard, c1993.</t>
  </si>
  <si>
    <t xml:space="preserve">dk </t>
  </si>
  <si>
    <t>2005-07-14</t>
  </si>
  <si>
    <t>1995-10-20</t>
  </si>
  <si>
    <t>QS 17 H918 1983</t>
  </si>
  <si>
    <t>0                      QS 0017000H  918         1983</t>
  </si>
  <si>
    <t>The Human body on file / by the Diagram Group.</t>
  </si>
  <si>
    <t>New York : Facts on File, c1983.</t>
  </si>
  <si>
    <t>2002-09-05</t>
  </si>
  <si>
    <t>1987-10-30</t>
  </si>
  <si>
    <t>QS17 H918 1996</t>
  </si>
  <si>
    <t>0                      QS 0017000H  918         1996</t>
  </si>
  <si>
    <t>New York : Facts on File, c1996, 1983.</t>
  </si>
  <si>
    <t>2002-11-22</t>
  </si>
  <si>
    <t>QS 17 J65j</t>
  </si>
  <si>
    <t>0                      QS 0017000J  65j</t>
  </si>
  <si>
    <t>The Johns Hopkins atlas of human functional anatomy / original ill. with descriptive legends by Leon Schlossberg ; text edited by George D. Zuidema.</t>
  </si>
  <si>
    <t>Baltimore : Johns Hopkins University Press, c1977.</t>
  </si>
  <si>
    <t>1977</t>
  </si>
  <si>
    <t>2004-07-24</t>
  </si>
  <si>
    <t>1988-01-18</t>
  </si>
  <si>
    <t>QS 17 K29s 1997</t>
  </si>
  <si>
    <t>0                      QS 0017000K  29s         1997</t>
  </si>
  <si>
    <t>Sectional anatomy for imaging professionals / Lorrie L. Kelley, Connie M. Petersen.</t>
  </si>
  <si>
    <t>Kelley, Lorrie L.</t>
  </si>
  <si>
    <t>St. Louis : Mosby, c1997.</t>
  </si>
  <si>
    <t>2008-05-20</t>
  </si>
  <si>
    <t>1997-11-19</t>
  </si>
  <si>
    <t>QS 17 K47a</t>
  </si>
  <si>
    <t>0                      QS 0017000K  47a</t>
  </si>
  <si>
    <t>An atlas of cross-sectional anatomy : gross anatomy, radiography, computed tomography, sonography / Stephen A. Kieffer, E. Robert Heitzman ; with contributions by Eugene F. Binet ... [et al.] ; with the technical assistance of John G. Hodgson, Joseph J. Moro, Ludwig J. Rimmler.</t>
  </si>
  <si>
    <t>Kieffer, Stephen A. (Stephen Aaron), 1935-</t>
  </si>
  <si>
    <t>-- Hagerstown, Md. : Medical Dept., Harper &amp; Row, [c1979]</t>
  </si>
  <si>
    <t>2002-09-22</t>
  </si>
  <si>
    <t>QS 17 K84a 1983</t>
  </si>
  <si>
    <t>0                      QS 0017000K  84a         1983</t>
  </si>
  <si>
    <t>Atlas of sectional human anatomy / by Jean Georges Koritké and Henri Sick.</t>
  </si>
  <si>
    <t>Koritké, Jean-Georges, 1928-</t>
  </si>
  <si>
    <t>Munich ; Baltimore : Urban &amp; Schwarzenberg, c1983.</t>
  </si>
  <si>
    <t>2000-01-24</t>
  </si>
  <si>
    <t>V. 2</t>
  </si>
  <si>
    <t>1997-01-15</t>
  </si>
  <si>
    <t>QS 17 L475c 1977</t>
  </si>
  <si>
    <t>0                      QS 0017000L  475c        1977</t>
  </si>
  <si>
    <t>Cross-sectional anatomy : an atlas for computerized tomography / Robert Steven Ledley, H. K. Huang, John C. Mazziotta ; prepared with the assistance of Faustino R. Suarez ... [et al.].</t>
  </si>
  <si>
    <t>Ledley, Robert Steven.</t>
  </si>
  <si>
    <t>-- Baltimore : Williams &amp; Wilkins, 1977.</t>
  </si>
  <si>
    <t>1987-09-23</t>
  </si>
  <si>
    <t>QS 17 M167c 1982</t>
  </si>
  <si>
    <t>0                      QS 0017000M  167c        1982</t>
  </si>
  <si>
    <t>Color atlas of foot and ankle anatomy / R.M.H. McMinn, R.T. Hutchings, B.M. Logan.</t>
  </si>
  <si>
    <t>McMinn, R. M. H. (Robert Matthew Hay)</t>
  </si>
  <si>
    <t>East Norwalk, Conn. : Appleton-Century-Crofts/Connecticut, c1982.</t>
  </si>
  <si>
    <t>ctu</t>
  </si>
  <si>
    <t>1996-10-07</t>
  </si>
  <si>
    <t>QS 17 M4785ca 1993</t>
  </si>
  <si>
    <t>0                      QS 0017000M  4785ca      1993</t>
  </si>
  <si>
    <t>A colour atlas of human anatomy / Robert M.H. McMinn, John Pegington, Peter H. Abrahams.</t>
  </si>
  <si>
    <t>St. Louis : Mosby Year Book, c1993.</t>
  </si>
  <si>
    <t>2007-11-28</t>
  </si>
  <si>
    <t>1993-09-02</t>
  </si>
  <si>
    <t>QS 17 N474c 1983 v.1,pt.1</t>
  </si>
  <si>
    <t>0                      QS 0017000N  474c        1983                                        v.1,pt.1</t>
  </si>
  <si>
    <t>The Ciba collection of medical illustrations / prepared by Frank H. Netter.</t>
  </si>
  <si>
    <t>V. 1 PT. 1</t>
  </si>
  <si>
    <t>Netter, Frank H. (Frank Henry), 1906-1991.</t>
  </si>
  <si>
    <t>[New ed.]</t>
  </si>
  <si>
    <t>2002-04-24</t>
  </si>
  <si>
    <t>1987-10-05</t>
  </si>
  <si>
    <t>QS 17 N938L 1987</t>
  </si>
  <si>
    <t>0                      QS 0017000N  938L        1987</t>
  </si>
  <si>
    <t>Living anatomy : a working atlas using computed tomography, magnetic resonance, and angiography images / Robert A. Novelline, Lucy Frank Squire ; illustrations by Shelley Eshleman.</t>
  </si>
  <si>
    <t>Novelline, Robert A.</t>
  </si>
  <si>
    <t>Philadelphia : Hanley &amp; Belfus ; St. Louis : Mosby [distributor], c1987.</t>
  </si>
  <si>
    <t>2003-01-13</t>
  </si>
  <si>
    <t>1994-01-28</t>
  </si>
  <si>
    <t>QS 17 P196r 1996</t>
  </si>
  <si>
    <t>0                      QS 0017000P  196r        1996</t>
  </si>
  <si>
    <t>Review of gross anatomy / text and illustrations by Ben Pansky.</t>
  </si>
  <si>
    <t>Pansky, Ben.</t>
  </si>
  <si>
    <t>New York : McGraw-Hill, c1996.</t>
  </si>
  <si>
    <t>2008-08-23</t>
  </si>
  <si>
    <t>1995-11-14</t>
  </si>
  <si>
    <t>QS 17 P452a</t>
  </si>
  <si>
    <t>0                      QS 0017000P  452a</t>
  </si>
  <si>
    <t>Atlas of topographical and applied human anatomy / Edited by Helmut Ferner. Translated from German by Harry Monsen.</t>
  </si>
  <si>
    <t>V. 1 1963</t>
  </si>
  <si>
    <t>Pernkopf, Eduard, 1888-1959.</t>
  </si>
  <si>
    <t>Philadelphia : Saunders, 1963-64.</t>
  </si>
  <si>
    <t>2009-12-21</t>
  </si>
  <si>
    <t>1995-01-04</t>
  </si>
  <si>
    <t>V. 2 1963</t>
  </si>
  <si>
    <t>QS 17 P452a 1980 c.2</t>
  </si>
  <si>
    <t>0                      QS 0017000P  452a        1980                                        c.2</t>
  </si>
  <si>
    <t>Atlas of topographical and applied human anatomy / Edward Pernkopf ; edited by Helmut Ferner.</t>
  </si>
  <si>
    <t>Baltimore : Urban &amp; Schwarzenberg, c1980.</t>
  </si>
  <si>
    <t>2nd rev. ed.</t>
  </si>
  <si>
    <t>2019-09-13</t>
  </si>
  <si>
    <t>1992-11-05</t>
  </si>
  <si>
    <t>QS 17 P452t</t>
  </si>
  <si>
    <t>0                      QS 0017000P  452t</t>
  </si>
  <si>
    <t>Topographische Anatomie des Menschen, Lehrbuch und Atlas der Region̈ar-Stratigraphischen Práparation / von Eduard Pernkopf.</t>
  </si>
  <si>
    <t>V. 1 P. 2</t>
  </si>
  <si>
    <t>Berlin : Urban &amp; Schwarzenberg, 1937-</t>
  </si>
  <si>
    <t>1943</t>
  </si>
  <si>
    <t>2., unveränderte Aufl.</t>
  </si>
  <si>
    <t>2010-12-03</t>
  </si>
  <si>
    <t>1995-02-22</t>
  </si>
  <si>
    <t>V. 4 PT. 2</t>
  </si>
  <si>
    <t>V. 4 P. 1</t>
  </si>
  <si>
    <t>V. 3 1952</t>
  </si>
  <si>
    <t>V. 1 P. 1</t>
  </si>
  <si>
    <t>V. 2 P. 1</t>
  </si>
  <si>
    <t>QS 17 P485c 1980</t>
  </si>
  <si>
    <t>0                      QS 0017000P  485c        1980</t>
  </si>
  <si>
    <t>A cross-sectional approach to anatomy / Roy R. Peterson.</t>
  </si>
  <si>
    <t>Peterson, Roy R.</t>
  </si>
  <si>
    <t>Chicago : Year Book Medical Publishers, c1980.</t>
  </si>
  <si>
    <t>1996-08-10</t>
  </si>
  <si>
    <t>QS17 Q7a 2001</t>
  </si>
  <si>
    <t>0                      QS 0017000Q  7a          2001</t>
  </si>
  <si>
    <t>Anatomy for attorneys : a clinical atlas with case studies / Thomas H. Quinn, Terence R. Quinn, Robert H. Quinn ; illustrator, R. Spencer Phippen.</t>
  </si>
  <si>
    <t>Quinn, Thomas H.</t>
  </si>
  <si>
    <t>St. Louis, Mo. : Quality Medical Pub., 2001.</t>
  </si>
  <si>
    <t>2001</t>
  </si>
  <si>
    <t>2008-01-02</t>
  </si>
  <si>
    <t>2001-08-14</t>
  </si>
  <si>
    <t>2001-12-13</t>
  </si>
  <si>
    <t>QS 17 R737c 1986 Suppl.</t>
  </si>
  <si>
    <t>0                      QS 0017000R  737c        1986                                        Suppl.</t>
  </si>
  <si>
    <t>Dissection manual : companion to Rohen/Yokochi Color atlas of anatomy / Jack L. Wilson.</t>
  </si>
  <si>
    <t>Wilson, Jack L.</t>
  </si>
  <si>
    <t>New York : Igaku-Shoin Medical Publishers, c1986.</t>
  </si>
  <si>
    <t>2000-02-06</t>
  </si>
  <si>
    <t>QS 17 S677a 1977</t>
  </si>
  <si>
    <t>0                      QS 0017000S  677a        1977</t>
  </si>
  <si>
    <t>Atlas of human anatomy / original author Johannes Sobotta ; based upon the 17th German ed., edited by Helmut Ferner, Jochen Staubesand.</t>
  </si>
  <si>
    <t>Sobotta, Johannes, 1869-1945.</t>
  </si>
  <si>
    <t>Baltimore : Urban &amp; Schwarzenberg, c1977.</t>
  </si>
  <si>
    <t>9th English ed. / by Frank H. J. Figge, Walter J. Hild.</t>
  </si>
  <si>
    <t>1994-12-05</t>
  </si>
  <si>
    <t>1996-09-27</t>
  </si>
  <si>
    <t>QS 17 S978a 1973</t>
  </si>
  <si>
    <t>0                      QS 0017000S  978a        1973</t>
  </si>
  <si>
    <t>An atlas of primate gross anatomy: baboon, chimpanzee, and man / Daris R. Swindler and Charles D. Wood.</t>
  </si>
  <si>
    <t>Swindler, Daris Ray.</t>
  </si>
  <si>
    <t>Seattle : University of Washington Press, [1973]</t>
  </si>
  <si>
    <t>wau</t>
  </si>
  <si>
    <t>2004-12-03</t>
  </si>
  <si>
    <t>QS 17 T675 1974</t>
  </si>
  <si>
    <t>0                      QS 0017000T  675         1974</t>
  </si>
  <si>
    <t>Topographical atlas of human anatomy / edited by Seiho Nishi.</t>
  </si>
  <si>
    <t>Tokyo : K. Shuppan, c1974.</t>
  </si>
  <si>
    <t>International ed.</t>
  </si>
  <si>
    <t>2008-02-11</t>
  </si>
  <si>
    <t>1997-11-01</t>
  </si>
  <si>
    <t>V. 4</t>
  </si>
  <si>
    <t>1997-09-13</t>
  </si>
  <si>
    <t>QS 17 Z94s 1986</t>
  </si>
  <si>
    <t>0                      QS 0017000Z  94s         1986</t>
  </si>
  <si>
    <t>A system of practical anatomy for dental students : a guide and atlas / Lord Zuckerman, in collaboration with Deryk Darlington, F. Peter Lisowski.</t>
  </si>
  <si>
    <t>Zuckerman, Solly, Baron, 1904-1993.</t>
  </si>
  <si>
    <t>Oxford ; New York : Oxford University Press, 1986.</t>
  </si>
  <si>
    <t>Oxford medical publications</t>
  </si>
  <si>
    <t>2002-07-05</t>
  </si>
  <si>
    <t>1988-01-09</t>
  </si>
  <si>
    <t>QS 18 A5357 1985</t>
  </si>
  <si>
    <t>0                      QS 0018000A  5357        1985</t>
  </si>
  <si>
    <t>Anatomy and physiology : a self-instructional course.</t>
  </si>
  <si>
    <t>V. 5</t>
  </si>
  <si>
    <t>Edinburgh ; New York : Churchill Livingstone, c1985.</t>
  </si>
  <si>
    <t>2nd ed. / written and designed by Cambridge Communication Limited ; medical adviser, Bryan Broom.</t>
  </si>
  <si>
    <t>1999-10-19</t>
  </si>
  <si>
    <t>1987-08-19</t>
  </si>
  <si>
    <t>QS 18 A537 1988</t>
  </si>
  <si>
    <t>0                      QS 0018000A  537         1988</t>
  </si>
  <si>
    <t>Anatomy : PreTest self-assessment and review / edited by Ernest W. April.</t>
  </si>
  <si>
    <t>Colorado Springs : McGraw-Hill, Health Professions Division, PreTest Series, c1988.</t>
  </si>
  <si>
    <t>Basic sciences series</t>
  </si>
  <si>
    <t>2005-07-07</t>
  </si>
  <si>
    <t>1989-01-14</t>
  </si>
  <si>
    <t>QS 18 B659m 1979</t>
  </si>
  <si>
    <t>0                      QS 0018000B  659m        1979</t>
  </si>
  <si>
    <t>Multiple choice questions in anatomy and neurobiology for undergraduates / Michael J. Blunt, M. Girgis.</t>
  </si>
  <si>
    <t>Blunt, Michael J.</t>
  </si>
  <si>
    <t>London ; Boston : Butterworths, 1979.</t>
  </si>
  <si>
    <t>2001-02-08</t>
  </si>
  <si>
    <t>QS 18 C652eb 1992</t>
  </si>
  <si>
    <t>0                      QS 0018000C  652eb       1992</t>
  </si>
  <si>
    <t>Embryology / Robert E. Coalson, James J. Tomasek.</t>
  </si>
  <si>
    <t>Coalson, Robert E.</t>
  </si>
  <si>
    <t>2002-10-10</t>
  </si>
  <si>
    <t>QS 18 C678a 1984</t>
  </si>
  <si>
    <t>0                      QS 0018000C  678a        1984</t>
  </si>
  <si>
    <t>Anatomy : 750 multiple choice questions with referenced explanatory answers / Sidney A. Cohn, Marvin I. Gottlieb.</t>
  </si>
  <si>
    <t>Cohn, Sidney A.</t>
  </si>
  <si>
    <t>New Hyde Park, N.Y. : Medical Examination Pub. Co., c1984.</t>
  </si>
  <si>
    <t>Medical examination review</t>
  </si>
  <si>
    <t>2003-12-01</t>
  </si>
  <si>
    <t>QS 18 J663a 1992</t>
  </si>
  <si>
    <t>0                      QS 0018000J  663a        1992</t>
  </si>
  <si>
    <t>Anatomy : review for new national boards / Kurt E. Johnson, Frank J. Slaby.</t>
  </si>
  <si>
    <t>Johnson, Kurt E.</t>
  </si>
  <si>
    <t>Alexandria, Va. : J&amp;S Pub. Co., c1992.</t>
  </si>
  <si>
    <t>vau</t>
  </si>
  <si>
    <t>2009-06-23</t>
  </si>
  <si>
    <t>1995-05-15</t>
  </si>
  <si>
    <t>QS 18 M478p 1986</t>
  </si>
  <si>
    <t>0                      QS 0018000M  478p        1986</t>
  </si>
  <si>
    <t>Picture tests in anatomy / R.M.H. McMinn, R.T. Hutchings, B.M. Logan.</t>
  </si>
  <si>
    <t>Chicago : Year Book Medical Publishers, c1986.</t>
  </si>
  <si>
    <t>2006-11-29</t>
  </si>
  <si>
    <t>QS 18 S933 1976</t>
  </si>
  <si>
    <t>0                      QS 0018000S  933         1976</t>
  </si>
  <si>
    <t>Study guide and review manual of human anatomy : regional, systemic, applied / Keith L. Moore ... [et al.].</t>
  </si>
  <si>
    <t>-- Philadelphia : Saunders, 1976.</t>
  </si>
  <si>
    <t>1996-12-05</t>
  </si>
  <si>
    <t>QS 25 B315s 1983</t>
  </si>
  <si>
    <t>0                      QS 0025000B  315s        1983</t>
  </si>
  <si>
    <t>Surface anatomy : an instruction manual / John V. Basmajian.</t>
  </si>
  <si>
    <t>Baltimore : Williams &amp; Wilkins, c1983.</t>
  </si>
  <si>
    <t>1995-10-30</t>
  </si>
  <si>
    <t>QS 25 H729L 1991</t>
  </si>
  <si>
    <t>0                      QS 0025000H  729L        1991</t>
  </si>
  <si>
    <t>Laboratory manual [for] Human anatomy and physiology / John W. Hole, Jr., Karen A. Koos.</t>
  </si>
  <si>
    <t>Dubuque, Iowa : W.C. Brown, c1991.</t>
  </si>
  <si>
    <t>1993-09-27</t>
  </si>
  <si>
    <t>1991-04-25</t>
  </si>
  <si>
    <t>QS 26 H918 1986-87</t>
  </si>
  <si>
    <t>0                      QS 0026000H  918         1986                                        -87</t>
  </si>
  <si>
    <t>Catalog of cell lines, 1986/1987 : NIGMS human genetic mutant cell repository.</t>
  </si>
  <si>
    <t>[Bethesda, MD] : U.S. Dept of Health and Human Services, Public Health Services, National Institutes of Helth, 1986.</t>
  </si>
  <si>
    <t>[13th ed.]</t>
  </si>
  <si>
    <t>NIH publication ; no. 87-2011</t>
  </si>
  <si>
    <t>1990-12-18</t>
  </si>
  <si>
    <t>QS 130 C156m 1994</t>
  </si>
  <si>
    <t>0                      QS 0130000C  156m        1994</t>
  </si>
  <si>
    <t>Manual for human dissection : photographs with clinical applications / Gerald Callas.</t>
  </si>
  <si>
    <t>Callas, Gerald.</t>
  </si>
  <si>
    <t>Norwalk, Conn. : Appleton &amp; Lange, c1994.</t>
  </si>
  <si>
    <t>1995-08-14</t>
  </si>
  <si>
    <t>QS 130 C973d 1986</t>
  </si>
  <si>
    <t>0                      QS 0130000C  973d        1986</t>
  </si>
  <si>
    <t>Cunningham's manual of practical anatomy.</t>
  </si>
  <si>
    <t>Cunningham, D. J. (Daniel John), 1850-1909.</t>
  </si>
  <si>
    <t>Oxford ; New York : Oxford University Press, c1986.</t>
  </si>
  <si>
    <t>15th ed. / G.J. Romanes.</t>
  </si>
  <si>
    <t>2008-10-17</t>
  </si>
  <si>
    <t>1990-08-08</t>
  </si>
  <si>
    <t>1997-04-06</t>
  </si>
  <si>
    <t>QS 130 H918 1995</t>
  </si>
  <si>
    <t>0                      QS 0130000H  918         1995</t>
  </si>
  <si>
    <t>Human anatomy : manual of human dissection / Kyle E. Rarey ... [et al.].</t>
  </si>
  <si>
    <t>Gainesville, Fla. : Gold Standard Multimedia, c1995.</t>
  </si>
  <si>
    <t>1995-1999 Rev. ed.</t>
  </si>
  <si>
    <t>flu</t>
  </si>
  <si>
    <t>2002-01-15</t>
  </si>
  <si>
    <t>2000-01-11</t>
  </si>
  <si>
    <t>QS 130 S541m 1989</t>
  </si>
  <si>
    <t>0                      QS 0130000S  541m        1989</t>
  </si>
  <si>
    <t>Shearer's manual of human dissection.</t>
  </si>
  <si>
    <t>Shearer, Edwin Morrill, 1902-</t>
  </si>
  <si>
    <t>New York : McGraw-Hill Information Services, c1989.</t>
  </si>
  <si>
    <t>7th ed. / John J. Jacobs.</t>
  </si>
  <si>
    <t>1997-01-17</t>
  </si>
  <si>
    <t>QS 130 Z94n 1981</t>
  </si>
  <si>
    <t>0                      QS 0130000Z  94n         1981</t>
  </si>
  <si>
    <t>A new system of anatomy : a dissector's guide and atlas / Lord Zuckerman.</t>
  </si>
  <si>
    <t>Oxford ; New York : Oxford University Press, c1981.</t>
  </si>
  <si>
    <t>2nd ed. / rev. in collaboration with Deryk Darlington, F. Peter Lisowski.</t>
  </si>
  <si>
    <t>2001-03-27</t>
  </si>
  <si>
    <t>QS 504 A511h 1983</t>
  </si>
  <si>
    <t>0                      QS 0504000A  511h        1983</t>
  </si>
  <si>
    <t>Histology / Peter S. Amenta.</t>
  </si>
  <si>
    <t>Amenta, Peter S. (Peter Sebastian), 1927-</t>
  </si>
  <si>
    <t>New Hyde Park, N.Y. : Medical Examination Pub. Co., c1983.</t>
  </si>
  <si>
    <t>Medical outline series</t>
  </si>
  <si>
    <t>1993-12-11</t>
  </si>
  <si>
    <t>QS 504 B491L 1983</t>
  </si>
  <si>
    <t>0                      QS 0504000B  491L        1983</t>
  </si>
  <si>
    <t>Lecture notes on histology / William A. Beresford.</t>
  </si>
  <si>
    <t>Beresford, William Anthony.</t>
  </si>
  <si>
    <t>Oxford : Blackwell Scientific Publications, c1983.</t>
  </si>
  <si>
    <t>1995-02-25</t>
  </si>
  <si>
    <t>QS 504 B655t 1986</t>
  </si>
  <si>
    <t>0                      QS 0504000B  655t        1986</t>
  </si>
  <si>
    <t>A textbook of histology / Bloom and Fawcett.</t>
  </si>
  <si>
    <t>11th ed. / Don W. Fawcett.</t>
  </si>
  <si>
    <t>2004-02-10</t>
  </si>
  <si>
    <t>QS 504 H198h 1987</t>
  </si>
  <si>
    <t>0                      QS 0504000H  198h        1987</t>
  </si>
  <si>
    <t>Ham's histology / David H. Cormack.</t>
  </si>
  <si>
    <t>Ham, Arthur W. (Arthur Worth), 1902-1992.</t>
  </si>
  <si>
    <t>Philadelphia : Lippincott, c1987.</t>
  </si>
  <si>
    <t>1994-05-05</t>
  </si>
  <si>
    <t>1988-02-20</t>
  </si>
  <si>
    <t>QS 504 J95b 1992</t>
  </si>
  <si>
    <t>0                      QS 0504000J  95b         1992</t>
  </si>
  <si>
    <t>Basic histology / L. Carlos Junqueira, José Carneiro, Robert O. Kelly.</t>
  </si>
  <si>
    <t>Junqueira, Luiz Carlos Uchôa, 1920-</t>
  </si>
  <si>
    <t>Norwalk, Conn. : Appleton &amp; Lange, c1992.</t>
  </si>
  <si>
    <t>2002-08-26</t>
  </si>
  <si>
    <t>1992-06-05</t>
  </si>
  <si>
    <t>QS 504 J95h 1995</t>
  </si>
  <si>
    <t>0                      QS 0504000J  95h         1995</t>
  </si>
  <si>
    <t>Basic histology / L. Carlos Junqueira, José Carneiro, Robert O. Kelley.</t>
  </si>
  <si>
    <t>Norwalk, Conn. : Appleton &amp; Lange, c1995.</t>
  </si>
  <si>
    <t>8th ed.</t>
  </si>
  <si>
    <t>2009-12-04</t>
  </si>
  <si>
    <t>1996-06-24</t>
  </si>
  <si>
    <t>QS 504 J95h 1998</t>
  </si>
  <si>
    <t>0                      QS 0504000J  95h         1998</t>
  </si>
  <si>
    <t>Basic histology / Luiz Carlos Junqueira, José Carneiro, Robert O. Kelley.</t>
  </si>
  <si>
    <t>Stamford, Conn. : Appleton &amp; Lange, c1998.</t>
  </si>
  <si>
    <t>A Lange medical book</t>
  </si>
  <si>
    <t>1998-09-10</t>
  </si>
  <si>
    <t>QS504 J95h 2003</t>
  </si>
  <si>
    <t>0                      QS 0504000J  95h         2003</t>
  </si>
  <si>
    <t>Basic histology : text &amp; atlas / Luiz Carlos Junqueira, José Carneiro.</t>
  </si>
  <si>
    <t>New York : Lange Medical Books, McGraw-Hill, Medical Pub. Division, c2003.</t>
  </si>
  <si>
    <t>2009-02-15</t>
  </si>
  <si>
    <t>2003-08-20</t>
  </si>
  <si>
    <t>QS 504 K913c 1981</t>
  </si>
  <si>
    <t>0                      QS 0504000K  913c        1981</t>
  </si>
  <si>
    <t>Concise text of histology / William J. Krause, J. Harry Cutts.</t>
  </si>
  <si>
    <t>Krause, William J., II, 1942-</t>
  </si>
  <si>
    <t>Baltimore : Williams &amp; Wilkins, c1981.</t>
  </si>
  <si>
    <t>2004-01-06</t>
  </si>
  <si>
    <t>QS 504 L4872t 1988</t>
  </si>
  <si>
    <t>0                      QS 0504000L  4872t       1988</t>
  </si>
  <si>
    <t>Text/atlas of histology / Thomas S. Leeson, C. Roland Leeson, Anthony A. Paparo.</t>
  </si>
  <si>
    <t>Philadelphia : Saunders, c1988.</t>
  </si>
  <si>
    <t>2001-09-23</t>
  </si>
  <si>
    <t>1992-08-12</t>
  </si>
  <si>
    <t>QS 504 P755a 1977</t>
  </si>
  <si>
    <t>0                      QS 0504000P  755a        1977</t>
  </si>
  <si>
    <t>Review of medical histology / Jacques Poirier, Jean-Louis Ribadeau Dumas ; translated by Ursula Taube ; edited and adapted by Peter S. Amenta.</t>
  </si>
  <si>
    <t>Poirier, Jacques, 1937-</t>
  </si>
  <si>
    <t>-- Philadelphia : Saunders, 1977.</t>
  </si>
  <si>
    <t>2007-11-20</t>
  </si>
  <si>
    <t>1987-09-25</t>
  </si>
  <si>
    <t>QS 504 S671c 1984</t>
  </si>
  <si>
    <t>0                      QS 0504000S  671c        1984</t>
  </si>
  <si>
    <t>Clinical and functional histology for medical students / Richard S. Snell.</t>
  </si>
  <si>
    <t>Boston : Little, Brown, c1984.</t>
  </si>
  <si>
    <t>2008-03-13</t>
  </si>
  <si>
    <t>QS 504 S844h 1997</t>
  </si>
  <si>
    <t>0                      QS 0504000S  844h        1997</t>
  </si>
  <si>
    <t>Human histology / Alan Stevens, James S. Lowe.</t>
  </si>
  <si>
    <t>Stevens, Alan (Pathologist)</t>
  </si>
  <si>
    <t>London ; Baltimore : Mosby, c1997.</t>
  </si>
  <si>
    <t>2002-11-10</t>
  </si>
  <si>
    <t>1997-08-25</t>
  </si>
  <si>
    <t>QS 517 B516c 1998</t>
  </si>
  <si>
    <t>0                      QS 0517000B  516c        1998</t>
  </si>
  <si>
    <t>Color atlas of basic histology / Irwin Berman.</t>
  </si>
  <si>
    <t>Berman, Irwin, 1924-</t>
  </si>
  <si>
    <t>2005-08-23</t>
  </si>
  <si>
    <t>1999-08-17</t>
  </si>
  <si>
    <t>QS 517 D569a 1981</t>
  </si>
  <si>
    <t>0                      QS 0517000D  569a        1981</t>
  </si>
  <si>
    <t>Atlas of human histology / Mariano S.H. di Fiore, with the collaboration of Ida G. Schmidt.</t>
  </si>
  <si>
    <t>Fiore, Mariano S. H. di.</t>
  </si>
  <si>
    <t>Philadelphia : Lea &amp; Febiger, 1981.</t>
  </si>
  <si>
    <t>1998-12-10</t>
  </si>
  <si>
    <t>QS 517 E69c 1992</t>
  </si>
  <si>
    <t>0                      QS 0517000E  69c         1992</t>
  </si>
  <si>
    <t>Color atlas of histology / Stanley L. Erlandsen, Jean E. Magney.</t>
  </si>
  <si>
    <t>Erlandsen, Stanley L.</t>
  </si>
  <si>
    <t>St. Louis : Mosby Year Book, c1992.</t>
  </si>
  <si>
    <t>2008-03-28</t>
  </si>
  <si>
    <t>1993-08-09</t>
  </si>
  <si>
    <t>QS 517 E71d 1993</t>
  </si>
  <si>
    <t>0                      QS 0517000E  71d         1993</t>
  </si>
  <si>
    <t>Di Fiore's atlas of histology with functional correlations / Victor P. Eroschenko.</t>
  </si>
  <si>
    <t>Eroschenko, Victor P.</t>
  </si>
  <si>
    <t>Philadelphia : Lea &amp; Febiger, c1993.</t>
  </si>
  <si>
    <t>2004-03-20</t>
  </si>
  <si>
    <t>QS 517 E71d 2000</t>
  </si>
  <si>
    <t>0                      QS 0517000E  71d         2000</t>
  </si>
  <si>
    <t>2002-09-25</t>
  </si>
  <si>
    <t>2000-07-31</t>
  </si>
  <si>
    <t>QS 517 E71d 2005</t>
  </si>
  <si>
    <t>0                      QS 0517000E  71d         2005</t>
  </si>
  <si>
    <t>Di Fiore's atlas of histology with functional correlations.</t>
  </si>
  <si>
    <t>10th ed. / Victor P. Eroschenko.</t>
  </si>
  <si>
    <t>2008-06-05</t>
  </si>
  <si>
    <t>2004-10-08</t>
  </si>
  <si>
    <t>QS 517 F518a 1989</t>
  </si>
  <si>
    <t>0                      QS 0517000F  518a        1989</t>
  </si>
  <si>
    <t>Atlas of normal histology / Mariano S.H. di Fiore.</t>
  </si>
  <si>
    <t>Philadelphia : Lea &amp; Febiger, 1989, 1988.</t>
  </si>
  <si>
    <t>6th ed. / rev. and edited by Victor P. Eroschenko.</t>
  </si>
  <si>
    <t>2000-10-08</t>
  </si>
  <si>
    <t>1988-12-27</t>
  </si>
  <si>
    <t>QS 517 G244c 1994</t>
  </si>
  <si>
    <t>0                      QS 0517000G  244c        1994</t>
  </si>
  <si>
    <t>Color atlas of histology / Leslie P. Gartner, James L. Hiatt.</t>
  </si>
  <si>
    <t>Gartner, Leslie P., 1943-</t>
  </si>
  <si>
    <t>Baltimore : William &amp; Wilkins, c1994.</t>
  </si>
  <si>
    <t>QS 517 H224h 1985a</t>
  </si>
  <si>
    <t>0                      QS 0517000H  224h        1985a</t>
  </si>
  <si>
    <t>Histology : color atlas of microscopic anatomy / Frithjof Hammersen.</t>
  </si>
  <si>
    <t>Hammersen, Frithjof.</t>
  </si>
  <si>
    <t>Baltimore : Urban &amp; Schwarzenberg, c1985.</t>
  </si>
  <si>
    <t>3rd ed., rev. and enl.</t>
  </si>
  <si>
    <t>2002-03-08</t>
  </si>
  <si>
    <t>1987-09-26</t>
  </si>
  <si>
    <t>QS 517 H564a 1966</t>
  </si>
  <si>
    <t>0                      QS 0517000H  564a        1966</t>
  </si>
  <si>
    <t>Atlas of histology : normal microscopic anatomy of man / Translated by C. Hans Keysser and Peter H. Bartels.</t>
  </si>
  <si>
    <t>Herrath, Ernst von, 1907-</t>
  </si>
  <si>
    <t>New York : Hafner Pub. Co., 1966, c1965.</t>
  </si>
  <si>
    <t>2001-03-17</t>
  </si>
  <si>
    <t>1988-01-10</t>
  </si>
  <si>
    <t>QS 517 K41a 1999</t>
  </si>
  <si>
    <t>0                      QS 0517000K  41a         1999</t>
  </si>
  <si>
    <t>Atlas of functional histology / Jeffrey B. Kerr.</t>
  </si>
  <si>
    <t>Kerr, Jeffrey B.</t>
  </si>
  <si>
    <t>London ; St. Louis : Mosby, 1999.</t>
  </si>
  <si>
    <t>2006-10-25</t>
  </si>
  <si>
    <t>2002-07-26</t>
  </si>
  <si>
    <t>QS 517 K42t 1979</t>
  </si>
  <si>
    <t>0                      QS 0517000K  42t         1979</t>
  </si>
  <si>
    <t>Tissues and organs : a text-atlas of scanning electron microscopy / Richard G. Kessel, Randy H. Kardon.</t>
  </si>
  <si>
    <t>Kessel, Richard G., 1931-</t>
  </si>
  <si>
    <t>San Francisco : Freeman, c1979.</t>
  </si>
  <si>
    <t>1995-03-31</t>
  </si>
  <si>
    <t>QS 517 R379a 1977</t>
  </si>
  <si>
    <t>0                      QS 0517000R  379a        1977</t>
  </si>
  <si>
    <t>Atlas of descriptive histology / Edward J. Reith, Michael H. Ross.</t>
  </si>
  <si>
    <t>Reith, Edward J.</t>
  </si>
  <si>
    <t>New York : Harper &amp; Row, c1977.</t>
  </si>
  <si>
    <t>2002-02-09</t>
  </si>
  <si>
    <t>QS 517 R825h 1989</t>
  </si>
  <si>
    <t>0                      QS 0517000R  825h        1989</t>
  </si>
  <si>
    <t>Histology : a text and atlas / Michael H. Ross, Lynn Romrell.</t>
  </si>
  <si>
    <t>Ross, Michael H.</t>
  </si>
  <si>
    <t>2003-08-14</t>
  </si>
  <si>
    <t>1989-11-20</t>
  </si>
  <si>
    <t>QS 517 R825h 1995</t>
  </si>
  <si>
    <t>0                      QS 0517000R  825h        1995</t>
  </si>
  <si>
    <t>Histology : a text and atlas / Michael H. Ross, Gordon I. Kaye, Lynn J. Romrell ; with illustrations by Lydia V. Kibiuk.</t>
  </si>
  <si>
    <t>Baltimore : Williams &amp; Wilkins, c1995.</t>
  </si>
  <si>
    <t>2010-08-23</t>
  </si>
  <si>
    <t>1995-01-19</t>
  </si>
  <si>
    <t>QS 517 T271s 1970</t>
  </si>
  <si>
    <t>0                      QS 0517000T  271s        1970</t>
  </si>
  <si>
    <t>Scope manual on look-alikes in histology.</t>
  </si>
  <si>
    <t>Telford, Ira Rockwood, 1907-</t>
  </si>
  <si>
    <t>Kalamazoo, Mich : Upjohn Co., [c1970]</t>
  </si>
  <si>
    <t>1970</t>
  </si>
  <si>
    <t>miu</t>
  </si>
  <si>
    <t>1997-09-26</t>
  </si>
  <si>
    <t>1988-03-26</t>
  </si>
  <si>
    <t>QS 517 W556f 1987</t>
  </si>
  <si>
    <t>0                      QS 0517000W  556f        1987</t>
  </si>
  <si>
    <t>Functional histology : a text and colour atlas / Paul R. Wheater and H. George Burkill.</t>
  </si>
  <si>
    <t>Edinburgh ; New York : Churchill Livingstone, c1987.</t>
  </si>
  <si>
    <t>2004-10-03</t>
  </si>
  <si>
    <t>QS 518 A511h 1990</t>
  </si>
  <si>
    <t>0                      QS 0518000A  511h        1990</t>
  </si>
  <si>
    <t>New York, N.Y. : Medical Examination Pub. Co., c1990.</t>
  </si>
  <si>
    <t>2002-04-17</t>
  </si>
  <si>
    <t>QS523 C337 2003</t>
  </si>
  <si>
    <t>0                      QS 0523000C  337         2003</t>
  </si>
  <si>
    <t>Case studies of existing human tissue repositories : "best practices" for a biospecimen resource for the genomic and proteomic era / Elisa Eiseman ... [et al.].</t>
  </si>
  <si>
    <t>Santa Monica, CA : RAND, c2003.</t>
  </si>
  <si>
    <t>2004-11-16</t>
  </si>
  <si>
    <t>QS 525 B213m 1984</t>
  </si>
  <si>
    <t>0                      QS 0525000B  213m        1984</t>
  </si>
  <si>
    <t>Manual of histological techniques / John D. Bancroft, Harry C. Cook ; foreword by David R. Turner.</t>
  </si>
  <si>
    <t>Bancroft, John D.</t>
  </si>
  <si>
    <t>Edinburgh ; New York : Churchill Livingstone, 1984.</t>
  </si>
  <si>
    <t>2002-09-20</t>
  </si>
  <si>
    <t>QS 525 H673 1990</t>
  </si>
  <si>
    <t>0                      QS 0525000H  673         1990</t>
  </si>
  <si>
    <t>Histochemistry in pathology / edited by M. Isabel Filipe, Brian D. Lake.</t>
  </si>
  <si>
    <t>Edinburgh ; New York : Churchill Livingstone, c1990.</t>
  </si>
  <si>
    <t>1998-10-11</t>
  </si>
  <si>
    <t>1991-02-16</t>
  </si>
  <si>
    <t>QS 525 H9175 1996</t>
  </si>
  <si>
    <t>0                      QS 0525000H  9175        1996</t>
  </si>
  <si>
    <t>Human cell culture protocols / edited by Gareth E. Jones.</t>
  </si>
  <si>
    <t>Totowa, N.J. : Humana Press, c1996.</t>
  </si>
  <si>
    <t>Methods in molecular medicine</t>
  </si>
  <si>
    <t>2003-09-25</t>
  </si>
  <si>
    <t>1997-06-04</t>
  </si>
  <si>
    <t>QS 525 K47h 1999</t>
  </si>
  <si>
    <t>0                      QS 0525000K  47h         1999</t>
  </si>
  <si>
    <t>Histological and histochemical methods : theory and practice / J.A. Kiernan.</t>
  </si>
  <si>
    <t>Kiernan, J. A. (John Alan)</t>
  </si>
  <si>
    <t>Oxford ; Boston : Butterworth Heinemann, 1999.</t>
  </si>
  <si>
    <t>2005-04-04</t>
  </si>
  <si>
    <t>2000-04-13</t>
  </si>
  <si>
    <t>QS 525 P8945 1992</t>
  </si>
  <si>
    <t>0                      QS 0525000P  8945        1992</t>
  </si>
  <si>
    <t>Practical cell culture techniques / edited by Alan A. Boulton, Glen B. Baker, and Wolfgang Walz.</t>
  </si>
  <si>
    <t>Totowa, N.J. : Humana Press, c1992.</t>
  </si>
  <si>
    <t>Neuromethods ; 23</t>
  </si>
  <si>
    <t>2003-01-16</t>
  </si>
  <si>
    <t>1994-05-03</t>
  </si>
  <si>
    <t>QS 532.5.A3 N532 1985</t>
  </si>
  <si>
    <t>0                      QS 0532500A  3                  N  532         1985</t>
  </si>
  <si>
    <t>New perspectives in adipose tissue : structure, function, and development / edited by A. Cryer and R.L.R. Van.</t>
  </si>
  <si>
    <t>London ; Boston : Butterworths, c1985.</t>
  </si>
  <si>
    <t>QS 532.5.C7 E96 1984</t>
  </si>
  <si>
    <t>0                      QS 0532500C  7                  E  96          1984</t>
  </si>
  <si>
    <t>Extracellular matrix biochemistry / editors, Karl L. Piez, A.H. Reddi.</t>
  </si>
  <si>
    <t>New York : Elsevier, c1984.</t>
  </si>
  <si>
    <t>2005-08-25</t>
  </si>
  <si>
    <t>QS 532.5.C7 R344 1986</t>
  </si>
  <si>
    <t>0                      QS 0532500C  7                  R  344         1986</t>
  </si>
  <si>
    <t>Regulation of matrix accumulation / edited by Robert P. Mecham.</t>
  </si>
  <si>
    <t>Orlando : Academic Press, c1986.</t>
  </si>
  <si>
    <t>Biology of extracellular matrix</t>
  </si>
  <si>
    <t>2005-08-03</t>
  </si>
  <si>
    <t>1999-03-16</t>
  </si>
  <si>
    <t>QS 532.5.E7 E566 1988</t>
  </si>
  <si>
    <t>0                      QS 0532500E  7                  E  566         1988</t>
  </si>
  <si>
    <t>Endothelial cells / editor, Una S. Ryan.</t>
  </si>
  <si>
    <t>Boca Raton, Fla. : CRC Press, c1988.</t>
  </si>
  <si>
    <t>1993-10-25</t>
  </si>
  <si>
    <t>1998-06-23</t>
  </si>
  <si>
    <t>1989-02-10</t>
  </si>
  <si>
    <t>1995-10-05</t>
  </si>
  <si>
    <t>QS532.5 E7 E5662 2005</t>
  </si>
  <si>
    <t>0                      QS 0532500E  7                  E  5662        2005</t>
  </si>
  <si>
    <t>Endothelial cells in health and disease / edited by William C. Aird.</t>
  </si>
  <si>
    <t>Boco Raton, FL : Taylor &amp; Francis, 2005.</t>
  </si>
  <si>
    <t>2007-02-09</t>
  </si>
  <si>
    <t>QS 532.5.E7 N279va 1990</t>
  </si>
  <si>
    <t>0                      QS 0532500E  7                  N  279va       1990</t>
  </si>
  <si>
    <t>Vascular endothelium : physiological basis of clinical problems / edited by John D. Catravas ... [et al.].</t>
  </si>
  <si>
    <t>NATO Advanced Study Institute on Vascular Endothelium: Physiological Basis of Clinical Problems (1990 : Kerkyra, Greece)</t>
  </si>
  <si>
    <t>New York : Plenum Press, c1991.</t>
  </si>
  <si>
    <t>NATO ASI series. Series A, Life sciences ; v. 208</t>
  </si>
  <si>
    <t>1992-05-21</t>
  </si>
  <si>
    <t>1991-12-19</t>
  </si>
  <si>
    <t>QS 532.5.M3 I61 1976b</t>
  </si>
  <si>
    <t>0                      QS 0532500M  3                  I  61          1976b</t>
  </si>
  <si>
    <t>Biology and chemistry of basement membranes / edited by Nicholas A. Kefalides.</t>
  </si>
  <si>
    <t>International Symposium on the Biology and Chemistry of Basement Membranes (1st : 1976 : Philadelphia, Pa.)</t>
  </si>
  <si>
    <t>-- New York : Academic Press, 1978.</t>
  </si>
  <si>
    <t>2004-12-01</t>
  </si>
  <si>
    <t>QS 604 L284m 1985</t>
  </si>
  <si>
    <t>0                      QS 0604000L  284m        1985</t>
  </si>
  <si>
    <t>Langman's Medical embryology.</t>
  </si>
  <si>
    <t>Langman, Jan.</t>
  </si>
  <si>
    <t>Baltimore : Williams &amp; Wilkins, c1985.</t>
  </si>
  <si>
    <t>5th ed. / Thomas W. Sadler ; original illustrations by Jill Leland.</t>
  </si>
  <si>
    <t>2003-01-30</t>
  </si>
  <si>
    <t>QS 604 L284m 1985 Suppl.</t>
  </si>
  <si>
    <t>0                      QS 0604000L  284m        1985                                        Suppl.</t>
  </si>
  <si>
    <t>Study guide and self-examination review for Langman's Medical embryology, fifth edition / T.W. Sadler ; illustrations by Susan L. Sadler.</t>
  </si>
  <si>
    <t>Sadler, T. W. (Thomas W.)</t>
  </si>
  <si>
    <t>1989-09-21</t>
  </si>
  <si>
    <t>QS 604 L284m 1990</t>
  </si>
  <si>
    <t>0                      QS 0604000L  284m        1990</t>
  </si>
  <si>
    <t>Langman's medical embryology / original illustrations by Jill Leland.</t>
  </si>
  <si>
    <t>Baltimore : Williams &amp; Wilkins, c1990.</t>
  </si>
  <si>
    <t>6th ed. / T.W. Sadler ; cover illustration by K.K. Sulik.</t>
  </si>
  <si>
    <t>2006-11-12</t>
  </si>
  <si>
    <t>QS 604 L334h 1997</t>
  </si>
  <si>
    <t>0                      QS 0604000L  334h        1997</t>
  </si>
  <si>
    <t>New York : Churchill Livingstone, c1997.</t>
  </si>
  <si>
    <t>2007-10-25</t>
  </si>
  <si>
    <t>2004-01-09</t>
  </si>
  <si>
    <t>QS 604 M822b 1989</t>
  </si>
  <si>
    <t>0                      QS 0604000M  822b        1989</t>
  </si>
  <si>
    <t>Before we are born : basic embryology and birth defects / Keith L. Moore.</t>
  </si>
  <si>
    <t>Philadelphia : Saunders, c1989.</t>
  </si>
  <si>
    <t>2009-01-24</t>
  </si>
  <si>
    <t>1989-09-12</t>
  </si>
  <si>
    <t>QS 604 M822d 1998</t>
  </si>
  <si>
    <t>0                      QS 0604000M  822d        1998</t>
  </si>
  <si>
    <t>The developing human : clinically oriented embryology / Keith L. Moore, T.V.N. Persaud.</t>
  </si>
  <si>
    <t>Philadelphia : Saunders, c1998.</t>
  </si>
  <si>
    <t>2008-05-19</t>
  </si>
  <si>
    <t>1998-04-14</t>
  </si>
  <si>
    <t>QS 604 M822sg 1988</t>
  </si>
  <si>
    <t>0                      QS 0604000M  822sg       1988</t>
  </si>
  <si>
    <t>Study guide and review manual of human embryology / Keith L. Moore.</t>
  </si>
  <si>
    <t>Philadelphia : W.B. Saunders, c1988.</t>
  </si>
  <si>
    <t>QS 604 P316f 1981</t>
  </si>
  <si>
    <t>0                      QS 0604000P  316f        1981</t>
  </si>
  <si>
    <t>Patten's Foundations of embryology.</t>
  </si>
  <si>
    <t>Patten, Bradley M. (Bradley Merrill), 1889-1971.</t>
  </si>
  <si>
    <t>New York : McGraw-Hill, c1981.</t>
  </si>
  <si>
    <t>4th ed. / Bruce M. Carlson.</t>
  </si>
  <si>
    <t>McGraw-Hill series in organismic biology</t>
  </si>
  <si>
    <t>QS 604 S671c 1983</t>
  </si>
  <si>
    <t>0                      QS 0604000S  671c        1983</t>
  </si>
  <si>
    <t>Clinical embryology for medical students / Richard S. Snell.</t>
  </si>
  <si>
    <t>Boston : Little, Brown, c1983.</t>
  </si>
  <si>
    <t>QS 617 E53 1972 v.2</t>
  </si>
  <si>
    <t>0                      QS 0617000E  53          1972                                        v.2</t>
  </si>
  <si>
    <t>Illustrated human embryology : Volume II / by H. Tuchmann-Duplessis, P. Haegel ; translated by Lucille S. Hurley.</t>
  </si>
  <si>
    <t>Tuchmann-Duplessis, Herbert.</t>
  </si>
  <si>
    <t>New York : Springer Verlag, 1982 printing, c1972.</t>
  </si>
  <si>
    <t>1972</t>
  </si>
  <si>
    <t>2000-02-25</t>
  </si>
  <si>
    <t>QS 617 E53 1974 v.3</t>
  </si>
  <si>
    <t>0                      QS 0617000E  53          1974                                        v.3</t>
  </si>
  <si>
    <t>Illustrated human embryology, Volume III : nervous system and endocrine glands / by H. Tuchmann-Duplessis, M. Auroux, P. Haegel ; translated by Lucille S. Hurley.</t>
  </si>
  <si>
    <t>New York : Springer-Verlag, 1975, c1974.</t>
  </si>
  <si>
    <t>1989-10-23</t>
  </si>
  <si>
    <t>QS 617 G882a 1984</t>
  </si>
  <si>
    <t>0                      QS 0617000G  882a        1984</t>
  </si>
  <si>
    <t>Clinical atlas of human chromosomes / Jean de Grouchy, Catherine Turleau.</t>
  </si>
  <si>
    <t>Grouchy, Jean de.</t>
  </si>
  <si>
    <t>New York : Wiley, c1984.</t>
  </si>
  <si>
    <t>1991-11-25</t>
  </si>
  <si>
    <t>QS 617 J61a 1983</t>
  </si>
  <si>
    <t>0                      QS 0617000J  61a         1983</t>
  </si>
  <si>
    <t>Atlas of human prenatal morphogenesis / Jan E. Jirásek ; with technical assistance of B. Faltinová and L.R. Sweney.</t>
  </si>
  <si>
    <t>Jirásek, Jan E. (Jan Evangelista)</t>
  </si>
  <si>
    <t>Boston : Nijhoff ; Hingham, MA : Distributors for the U.S. and Canada, Kluwer Boston, c1983.</t>
  </si>
  <si>
    <t>1992-02-26</t>
  </si>
  <si>
    <t>QS 617 M822e 1994</t>
  </si>
  <si>
    <t>0                      QS 0617000M  822e        1994</t>
  </si>
  <si>
    <t>Color atlas of clinical embryology / Keith L. Moore, T.V.N. Persaud, Kohei Shiota.</t>
  </si>
  <si>
    <t>Philadelphia : Saunders, c1994.</t>
  </si>
  <si>
    <t>2006-08-17</t>
  </si>
  <si>
    <t>1998-09-04</t>
  </si>
  <si>
    <t>QS 617 S835a 1980</t>
  </si>
  <si>
    <t>0                      QS 0617000S  835a        1980</t>
  </si>
  <si>
    <t>Atlas of human embryology / Trent D. Stephens.</t>
  </si>
  <si>
    <t>Stephens, Trent D.</t>
  </si>
  <si>
    <t>New York : Macmillan, c1980.</t>
  </si>
  <si>
    <t>2001-02-21</t>
  </si>
  <si>
    <t>QS 617 S997a 1977</t>
  </si>
  <si>
    <t>0                      QS 0617000S  997a        1977</t>
  </si>
  <si>
    <t>Atlas of developmental embryology / Emil S. Szebenyi.</t>
  </si>
  <si>
    <t>Szebenyi, Emil S.</t>
  </si>
  <si>
    <t>Rutherford [N. J.] : Fairleigh Dickinson Univ. Press, 1977.</t>
  </si>
  <si>
    <t>1996-02-22</t>
  </si>
  <si>
    <t>QS 626 S547c 1989</t>
  </si>
  <si>
    <t>0                      QS 0626000S  547c        1989</t>
  </si>
  <si>
    <t>1990-05-30</t>
  </si>
  <si>
    <t>1990-05-24</t>
  </si>
  <si>
    <t>QS 675 A641i 1972</t>
  </si>
  <si>
    <t>0                      QS 0675000A  641i        1972</t>
  </si>
  <si>
    <t>Is my baby all right? a guide to birth defects / by Virginia Apgar and Joan Beck. Illustrated by Ernest W. Beck.</t>
  </si>
  <si>
    <t>Apgar, Virginia, 1909-1974.</t>
  </si>
  <si>
    <t>New York : Trident Press, [1972]</t>
  </si>
  <si>
    <t>QS 675 B188m 1904f</t>
  </si>
  <si>
    <t>0                      QS 0675000B  188m        1904f</t>
  </si>
  <si>
    <t>Manual of antenatal pathology and hygiene : the embryo / by John William Ballantyne.</t>
  </si>
  <si>
    <t>Ballantyne, J. W. (John William), 1861-1923.</t>
  </si>
  <si>
    <t>Clinton, S.C. : Jacobs Press, Inc., c1991.</t>
  </si>
  <si>
    <t>Special ed.</t>
  </si>
  <si>
    <t>scu</t>
  </si>
  <si>
    <t>Classics in human development series ; 1</t>
  </si>
  <si>
    <t>1996-11-20</t>
  </si>
  <si>
    <t>1991-02-15</t>
  </si>
  <si>
    <t>QS 675 B499b 1973</t>
  </si>
  <si>
    <t>0                      QS 0675000B  499b        1973</t>
  </si>
  <si>
    <t>Birth defects : atlas and compendium / editor: Daniel Bergsma.</t>
  </si>
  <si>
    <t>Bergsma, Daniel.</t>
  </si>
  <si>
    <t>Baltimore : Published for the National Foundation-March of Dimes, by the Williams and Wilkins Co., c1973.</t>
  </si>
  <si>
    <t>1996-02-18</t>
  </si>
  <si>
    <t>1988-03-23</t>
  </si>
  <si>
    <t>QS 675 G782e 1972</t>
  </si>
  <si>
    <t>0                      QS 0675000G  782e        1972</t>
  </si>
  <si>
    <t>Embryology for surgeons : the embryological basis for the treatment of congenital defects / by Stephen Wood Gray and John Elias Skandalakis.</t>
  </si>
  <si>
    <t>Gray, Stephen Wood, 1915-</t>
  </si>
  <si>
    <t>Philadelphia : Saunders, 1972.</t>
  </si>
  <si>
    <t>2007-11-21</t>
  </si>
  <si>
    <t>1989-11-14</t>
  </si>
  <si>
    <t>QS 675 K17c 1981</t>
  </si>
  <si>
    <t>0                      QS 0675000K  17c         1981</t>
  </si>
  <si>
    <t>Congenital defects : an overview : an introduction to the principles of teratology / Stanley Kaplan.</t>
  </si>
  <si>
    <t>Kaplan, Stanley.</t>
  </si>
  <si>
    <t>Chapel Hill, N.C. : Health Sciences Consortium, c1981.</t>
  </si>
  <si>
    <t>Rev.</t>
  </si>
  <si>
    <t>ncu</t>
  </si>
  <si>
    <t>1996-07-27</t>
  </si>
  <si>
    <t>QS 675 T885 1979</t>
  </si>
  <si>
    <t>0                      QS 0675000T  885         1979</t>
  </si>
  <si>
    <t>Tuberous sclerosis / edited by Manuel R. Gomez.</t>
  </si>
  <si>
    <t>New York : Raven Press, c1979.</t>
  </si>
  <si>
    <t>2003-09-28</t>
  </si>
  <si>
    <t>QS 675 W277c 1971</t>
  </si>
  <si>
    <t>0                      QS 0675000W  277c        1971</t>
  </si>
  <si>
    <t>Congenital malformations : notes and comments.</t>
  </si>
  <si>
    <t>Warkany, Josef, 1902-1992.</t>
  </si>
  <si>
    <t>Chicago : Year Book Medical Publishers, [1971]</t>
  </si>
  <si>
    <t>1996-02-14</t>
  </si>
  <si>
    <t>1988-03-02</t>
  </si>
  <si>
    <t>QS 677 A326f 1989</t>
  </si>
  <si>
    <t>0                      QS 0677000A  326f        1989</t>
  </si>
  <si>
    <t>Fragile X/cancer cytogenetics : proceedings of the 1989 Albany Birth Defects Symposium XX, held in Albany, New York, October 16-17, 1989 / editors, Ann M. Willey, Patricia D. Murphy.</t>
  </si>
  <si>
    <t>Albany Birth Defects Symposium (20th : 1989)</t>
  </si>
  <si>
    <t>New York : Wiley-Liss, c1991.</t>
  </si>
  <si>
    <t>Progress in clinical and biological research ; vol. 368</t>
  </si>
  <si>
    <t>2004-03-01</t>
  </si>
  <si>
    <t>1992-04-29</t>
  </si>
  <si>
    <t>Keep in Collection? (Yes/No)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</si>
</sst>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49E07-4541-4DA5-B6D6-DCA8FBF04A2F}">
  <dimension ref="A1:BD260"/>
  <sheetViews>
    <sheetView tabSelected="1" workbookViewId="0">
      <pane ySplit="1" topLeftCell="A2" activePane="bottomLeft" state="frozen"/>
      <selection pane="bottomLeft" activeCell="BC1" sqref="BC1:BD1048576"/>
    </sheetView>
  </sheetViews>
  <sheetFormatPr defaultRowHeight="30" customHeight="1" x14ac:dyDescent="0.25"/>
  <cols>
    <col min="1" max="1" width="18.7109375" style="8" customWidth="1"/>
    <col min="2" max="2" width="15.7109375" customWidth="1"/>
    <col min="3" max="3" width="0" hidden="1" customWidth="1"/>
    <col min="4" max="4" width="27.42578125" customWidth="1"/>
    <col min="6" max="10" width="0" hidden="1" customWidth="1"/>
    <col min="11" max="11" width="18.28515625" customWidth="1"/>
    <col min="12" max="12" width="19.7109375" customWidth="1"/>
    <col min="14" max="17" width="0" hidden="1" customWidth="1"/>
    <col min="20" max="26" width="0" hidden="1" customWidth="1"/>
    <col min="28" max="28" width="0" hidden="1" customWidth="1"/>
    <col min="30" max="30" width="0" hidden="1" customWidth="1"/>
    <col min="31" max="31" width="16.7109375" customWidth="1"/>
    <col min="32" max="41" width="0" hidden="1" customWidth="1"/>
    <col min="42" max="44" width="11.140625" customWidth="1"/>
    <col min="47" max="54" width="0" hidden="1" customWidth="1"/>
    <col min="55" max="55" width="10.7109375" customWidth="1"/>
    <col min="56" max="56" width="11.7109375" customWidth="1"/>
  </cols>
  <sheetData>
    <row r="1" spans="1:56" ht="30" customHeight="1" x14ac:dyDescent="0.25">
      <c r="A1" s="7" t="s">
        <v>1991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</row>
    <row r="2" spans="1:56" ht="30" customHeight="1" x14ac:dyDescent="0.25">
      <c r="A2" s="8" t="s">
        <v>58</v>
      </c>
      <c r="B2" s="2" t="s">
        <v>55</v>
      </c>
      <c r="C2" s="2" t="s">
        <v>56</v>
      </c>
      <c r="D2" s="2" t="s">
        <v>57</v>
      </c>
      <c r="F2" s="3" t="s">
        <v>58</v>
      </c>
      <c r="G2" s="3" t="s">
        <v>59</v>
      </c>
      <c r="H2" s="3" t="s">
        <v>58</v>
      </c>
      <c r="I2" s="3" t="s">
        <v>58</v>
      </c>
      <c r="J2" s="3" t="s">
        <v>60</v>
      </c>
      <c r="K2" s="2" t="s">
        <v>61</v>
      </c>
      <c r="L2" s="2" t="s">
        <v>62</v>
      </c>
      <c r="M2" s="3" t="s">
        <v>63</v>
      </c>
      <c r="O2" s="3" t="s">
        <v>64</v>
      </c>
      <c r="P2" s="3" t="s">
        <v>65</v>
      </c>
      <c r="Q2" s="2" t="s">
        <v>66</v>
      </c>
      <c r="R2" s="3" t="s">
        <v>67</v>
      </c>
      <c r="S2" s="4">
        <v>2</v>
      </c>
      <c r="T2" s="4">
        <v>2</v>
      </c>
      <c r="U2" s="5" t="s">
        <v>68</v>
      </c>
      <c r="V2" s="5" t="s">
        <v>68</v>
      </c>
      <c r="W2" s="5" t="s">
        <v>69</v>
      </c>
      <c r="X2" s="5" t="s">
        <v>69</v>
      </c>
      <c r="Y2" s="4">
        <v>161</v>
      </c>
      <c r="Z2" s="4">
        <v>86</v>
      </c>
      <c r="AA2" s="4">
        <v>122</v>
      </c>
      <c r="AB2" s="4">
        <v>1</v>
      </c>
      <c r="AC2" s="4">
        <v>1</v>
      </c>
      <c r="AD2" s="4">
        <v>4</v>
      </c>
      <c r="AE2" s="4">
        <v>5</v>
      </c>
      <c r="AF2" s="4">
        <v>2</v>
      </c>
      <c r="AG2" s="4">
        <v>3</v>
      </c>
      <c r="AH2" s="4">
        <v>2</v>
      </c>
      <c r="AI2" s="4">
        <v>2</v>
      </c>
      <c r="AJ2" s="4">
        <v>1</v>
      </c>
      <c r="AK2" s="4">
        <v>2</v>
      </c>
      <c r="AL2" s="4">
        <v>0</v>
      </c>
      <c r="AM2" s="4">
        <v>0</v>
      </c>
      <c r="AN2" s="4">
        <v>0</v>
      </c>
      <c r="AO2" s="4">
        <v>0</v>
      </c>
      <c r="AP2" s="3" t="s">
        <v>58</v>
      </c>
      <c r="AQ2" s="3" t="s">
        <v>58</v>
      </c>
      <c r="AS2" s="6" t="str">
        <f>HYPERLINK("https://creighton-primo.hosted.exlibrisgroup.com/primo-explore/search?tab=default_tab&amp;search_scope=EVERYTHING&amp;vid=01CRU&amp;lang=en_US&amp;offset=0&amp;query=any,contains,991005344809702656","Catalog Record")</f>
        <v>Catalog Record</v>
      </c>
      <c r="AT2" s="6" t="str">
        <f>HYPERLINK("http://www.worldcat.org/oclc/316421053","WorldCat Record")</f>
        <v>WorldCat Record</v>
      </c>
      <c r="AU2" s="3" t="s">
        <v>70</v>
      </c>
      <c r="AV2" s="3" t="s">
        <v>71</v>
      </c>
      <c r="AW2" s="3" t="s">
        <v>72</v>
      </c>
      <c r="AX2" s="3" t="s">
        <v>72</v>
      </c>
      <c r="AY2" s="3" t="s">
        <v>73</v>
      </c>
      <c r="AZ2" s="3" t="s">
        <v>74</v>
      </c>
      <c r="BB2" s="3" t="s">
        <v>75</v>
      </c>
      <c r="BC2" s="3" t="s">
        <v>76</v>
      </c>
      <c r="BD2" s="3" t="s">
        <v>77</v>
      </c>
    </row>
    <row r="3" spans="1:56" ht="30" customHeight="1" x14ac:dyDescent="0.25">
      <c r="A3" s="8" t="s">
        <v>58</v>
      </c>
      <c r="B3" s="2" t="s">
        <v>78</v>
      </c>
      <c r="C3" s="2" t="s">
        <v>79</v>
      </c>
      <c r="D3" s="2" t="s">
        <v>80</v>
      </c>
      <c r="F3" s="3" t="s">
        <v>58</v>
      </c>
      <c r="G3" s="3" t="s">
        <v>59</v>
      </c>
      <c r="H3" s="3" t="s">
        <v>58</v>
      </c>
      <c r="I3" s="3" t="s">
        <v>58</v>
      </c>
      <c r="J3" s="3" t="s">
        <v>60</v>
      </c>
      <c r="K3" s="2" t="s">
        <v>81</v>
      </c>
      <c r="L3" s="2" t="s">
        <v>82</v>
      </c>
      <c r="M3" s="3" t="s">
        <v>83</v>
      </c>
      <c r="O3" s="3" t="s">
        <v>64</v>
      </c>
      <c r="P3" s="3" t="s">
        <v>84</v>
      </c>
      <c r="R3" s="3" t="s">
        <v>67</v>
      </c>
      <c r="S3" s="4">
        <v>11</v>
      </c>
      <c r="T3" s="4">
        <v>11</v>
      </c>
      <c r="U3" s="5" t="s">
        <v>85</v>
      </c>
      <c r="V3" s="5" t="s">
        <v>85</v>
      </c>
      <c r="W3" s="5" t="s">
        <v>86</v>
      </c>
      <c r="X3" s="5" t="s">
        <v>86</v>
      </c>
      <c r="Y3" s="4">
        <v>83</v>
      </c>
      <c r="Z3" s="4">
        <v>20</v>
      </c>
      <c r="AA3" s="4">
        <v>863</v>
      </c>
      <c r="AB3" s="4">
        <v>1</v>
      </c>
      <c r="AC3" s="4">
        <v>4</v>
      </c>
      <c r="AD3" s="4">
        <v>0</v>
      </c>
      <c r="AE3" s="4">
        <v>13</v>
      </c>
      <c r="AF3" s="4">
        <v>0</v>
      </c>
      <c r="AG3" s="4">
        <v>7</v>
      </c>
      <c r="AH3" s="4">
        <v>0</v>
      </c>
      <c r="AI3" s="4">
        <v>3</v>
      </c>
      <c r="AJ3" s="4">
        <v>0</v>
      </c>
      <c r="AK3" s="4">
        <v>6</v>
      </c>
      <c r="AL3" s="4">
        <v>0</v>
      </c>
      <c r="AM3" s="4">
        <v>1</v>
      </c>
      <c r="AN3" s="4">
        <v>0</v>
      </c>
      <c r="AO3" s="4">
        <v>0</v>
      </c>
      <c r="AP3" s="3" t="s">
        <v>58</v>
      </c>
      <c r="AQ3" s="3" t="s">
        <v>58</v>
      </c>
      <c r="AS3" s="6" t="str">
        <f>HYPERLINK("https://creighton-primo.hosted.exlibrisgroup.com/primo-explore/search?tab=default_tab&amp;search_scope=EVERYTHING&amp;vid=01CRU&amp;lang=en_US&amp;offset=0&amp;query=any,contains,991002457829702656","Catalog Record")</f>
        <v>Catalog Record</v>
      </c>
      <c r="AT3" s="6" t="str">
        <f>HYPERLINK("http://www.worldcat.org/oclc/32029176","WorldCat Record")</f>
        <v>WorldCat Record</v>
      </c>
      <c r="AU3" s="3" t="s">
        <v>87</v>
      </c>
      <c r="AV3" s="3" t="s">
        <v>88</v>
      </c>
      <c r="AW3" s="3" t="s">
        <v>89</v>
      </c>
      <c r="AX3" s="3" t="s">
        <v>89</v>
      </c>
      <c r="AY3" s="3" t="s">
        <v>90</v>
      </c>
      <c r="AZ3" s="3" t="s">
        <v>74</v>
      </c>
      <c r="BC3" s="3" t="s">
        <v>91</v>
      </c>
      <c r="BD3" s="3" t="s">
        <v>92</v>
      </c>
    </row>
    <row r="4" spans="1:56" ht="30" customHeight="1" x14ac:dyDescent="0.25">
      <c r="A4" s="8" t="s">
        <v>58</v>
      </c>
      <c r="B4" s="2" t="s">
        <v>93</v>
      </c>
      <c r="C4" s="2" t="s">
        <v>94</v>
      </c>
      <c r="D4" s="2" t="s">
        <v>95</v>
      </c>
      <c r="F4" s="3" t="s">
        <v>58</v>
      </c>
      <c r="G4" s="3" t="s">
        <v>59</v>
      </c>
      <c r="H4" s="3" t="s">
        <v>58</v>
      </c>
      <c r="I4" s="3" t="s">
        <v>58</v>
      </c>
      <c r="J4" s="3" t="s">
        <v>60</v>
      </c>
      <c r="K4" s="2" t="s">
        <v>96</v>
      </c>
      <c r="L4" s="2" t="s">
        <v>97</v>
      </c>
      <c r="M4" s="3" t="s">
        <v>98</v>
      </c>
      <c r="O4" s="3" t="s">
        <v>64</v>
      </c>
      <c r="P4" s="3" t="s">
        <v>99</v>
      </c>
      <c r="Q4" s="2" t="s">
        <v>100</v>
      </c>
      <c r="R4" s="3" t="s">
        <v>67</v>
      </c>
      <c r="S4" s="4">
        <v>5</v>
      </c>
      <c r="T4" s="4">
        <v>5</v>
      </c>
      <c r="U4" s="5" t="s">
        <v>101</v>
      </c>
      <c r="V4" s="5" t="s">
        <v>101</v>
      </c>
      <c r="W4" s="5" t="s">
        <v>102</v>
      </c>
      <c r="X4" s="5" t="s">
        <v>102</v>
      </c>
      <c r="Y4" s="4">
        <v>773</v>
      </c>
      <c r="Z4" s="4">
        <v>736</v>
      </c>
      <c r="AA4" s="4">
        <v>840</v>
      </c>
      <c r="AB4" s="4">
        <v>5</v>
      </c>
      <c r="AC4" s="4">
        <v>6</v>
      </c>
      <c r="AD4" s="4">
        <v>11</v>
      </c>
      <c r="AE4" s="4">
        <v>11</v>
      </c>
      <c r="AF4" s="4">
        <v>4</v>
      </c>
      <c r="AG4" s="4">
        <v>4</v>
      </c>
      <c r="AH4" s="4">
        <v>1</v>
      </c>
      <c r="AI4" s="4">
        <v>1</v>
      </c>
      <c r="AJ4" s="4">
        <v>4</v>
      </c>
      <c r="AK4" s="4">
        <v>4</v>
      </c>
      <c r="AL4" s="4">
        <v>3</v>
      </c>
      <c r="AM4" s="4">
        <v>3</v>
      </c>
      <c r="AN4" s="4">
        <v>0</v>
      </c>
      <c r="AO4" s="4">
        <v>0</v>
      </c>
      <c r="AP4" s="3" t="s">
        <v>58</v>
      </c>
      <c r="AQ4" s="3" t="s">
        <v>103</v>
      </c>
      <c r="AR4" s="6" t="str">
        <f>HYPERLINK("http://catalog.hathitrust.org/Record/000761045","HathiTrust Record")</f>
        <v>HathiTrust Record</v>
      </c>
      <c r="AS4" s="6" t="str">
        <f>HYPERLINK("https://creighton-primo.hosted.exlibrisgroup.com/primo-explore/search?tab=default_tab&amp;search_scope=EVERYTHING&amp;vid=01CRU&amp;lang=en_US&amp;offset=0&amp;query=any,contains,991005205169702656","Catalog Record")</f>
        <v>Catalog Record</v>
      </c>
      <c r="AT4" s="6" t="str">
        <f>HYPERLINK("http://www.worldcat.org/oclc/8113163","WorldCat Record")</f>
        <v>WorldCat Record</v>
      </c>
      <c r="AU4" s="3" t="s">
        <v>104</v>
      </c>
      <c r="AV4" s="3" t="s">
        <v>105</v>
      </c>
      <c r="AW4" s="3" t="s">
        <v>106</v>
      </c>
      <c r="AX4" s="3" t="s">
        <v>106</v>
      </c>
      <c r="AY4" s="3" t="s">
        <v>107</v>
      </c>
      <c r="AZ4" s="3" t="s">
        <v>74</v>
      </c>
      <c r="BB4" s="3" t="s">
        <v>108</v>
      </c>
      <c r="BC4" s="3" t="s">
        <v>109</v>
      </c>
      <c r="BD4" s="3" t="s">
        <v>110</v>
      </c>
    </row>
    <row r="5" spans="1:56" ht="30" customHeight="1" x14ac:dyDescent="0.25">
      <c r="A5" s="8" t="s">
        <v>58</v>
      </c>
      <c r="B5" s="2" t="s">
        <v>111</v>
      </c>
      <c r="C5" s="2" t="s">
        <v>112</v>
      </c>
      <c r="D5" s="2" t="s">
        <v>113</v>
      </c>
      <c r="F5" s="3" t="s">
        <v>58</v>
      </c>
      <c r="G5" s="3" t="s">
        <v>59</v>
      </c>
      <c r="H5" s="3" t="s">
        <v>58</v>
      </c>
      <c r="I5" s="3" t="s">
        <v>58</v>
      </c>
      <c r="J5" s="3" t="s">
        <v>60</v>
      </c>
      <c r="K5" s="2" t="s">
        <v>114</v>
      </c>
      <c r="L5" s="2" t="s">
        <v>115</v>
      </c>
      <c r="M5" s="3" t="s">
        <v>116</v>
      </c>
      <c r="O5" s="3" t="s">
        <v>64</v>
      </c>
      <c r="P5" s="3" t="s">
        <v>117</v>
      </c>
      <c r="R5" s="3" t="s">
        <v>67</v>
      </c>
      <c r="S5" s="4">
        <v>2</v>
      </c>
      <c r="T5" s="4">
        <v>2</v>
      </c>
      <c r="U5" s="5" t="s">
        <v>118</v>
      </c>
      <c r="V5" s="5" t="s">
        <v>118</v>
      </c>
      <c r="W5" s="5" t="s">
        <v>119</v>
      </c>
      <c r="X5" s="5" t="s">
        <v>119</v>
      </c>
      <c r="Y5" s="4">
        <v>118</v>
      </c>
      <c r="Z5" s="4">
        <v>109</v>
      </c>
      <c r="AA5" s="4">
        <v>115</v>
      </c>
      <c r="AB5" s="4">
        <v>2</v>
      </c>
      <c r="AC5" s="4">
        <v>2</v>
      </c>
      <c r="AD5" s="4">
        <v>2</v>
      </c>
      <c r="AE5" s="4">
        <v>3</v>
      </c>
      <c r="AF5" s="4">
        <v>0</v>
      </c>
      <c r="AG5" s="4">
        <v>0</v>
      </c>
      <c r="AH5" s="4">
        <v>1</v>
      </c>
      <c r="AI5" s="4">
        <v>1</v>
      </c>
      <c r="AJ5" s="4">
        <v>1</v>
      </c>
      <c r="AK5" s="4">
        <v>2</v>
      </c>
      <c r="AL5" s="4">
        <v>1</v>
      </c>
      <c r="AM5" s="4">
        <v>1</v>
      </c>
      <c r="AN5" s="4">
        <v>0</v>
      </c>
      <c r="AO5" s="4">
        <v>0</v>
      </c>
      <c r="AP5" s="3" t="s">
        <v>103</v>
      </c>
      <c r="AQ5" s="3" t="s">
        <v>58</v>
      </c>
      <c r="AR5" s="6" t="str">
        <f>HYPERLINK("http://catalog.hathitrust.org/Record/001552617","HathiTrust Record")</f>
        <v>HathiTrust Record</v>
      </c>
      <c r="AS5" s="6" t="str">
        <f>HYPERLINK("https://creighton-primo.hosted.exlibrisgroup.com/primo-explore/search?tab=default_tab&amp;search_scope=EVERYTHING&amp;vid=01CRU&amp;lang=en_US&amp;offset=0&amp;query=any,contains,991003534789702656","Catalog Record")</f>
        <v>Catalog Record</v>
      </c>
      <c r="AT5" s="6" t="str">
        <f>HYPERLINK("http://www.worldcat.org/oclc/1098809","WorldCat Record")</f>
        <v>WorldCat Record</v>
      </c>
      <c r="AU5" s="3" t="s">
        <v>120</v>
      </c>
      <c r="AV5" s="3" t="s">
        <v>121</v>
      </c>
      <c r="AW5" s="3" t="s">
        <v>122</v>
      </c>
      <c r="AX5" s="3" t="s">
        <v>122</v>
      </c>
      <c r="AY5" s="3" t="s">
        <v>123</v>
      </c>
      <c r="AZ5" s="3" t="s">
        <v>74</v>
      </c>
      <c r="BC5" s="3" t="s">
        <v>124</v>
      </c>
      <c r="BD5" s="3" t="s">
        <v>125</v>
      </c>
    </row>
    <row r="6" spans="1:56" ht="30" customHeight="1" x14ac:dyDescent="0.25">
      <c r="A6" s="8" t="s">
        <v>58</v>
      </c>
      <c r="B6" s="2" t="s">
        <v>126</v>
      </c>
      <c r="C6" s="2" t="s">
        <v>127</v>
      </c>
      <c r="D6" s="2" t="s">
        <v>128</v>
      </c>
      <c r="F6" s="3" t="s">
        <v>58</v>
      </c>
      <c r="G6" s="3" t="s">
        <v>59</v>
      </c>
      <c r="H6" s="3" t="s">
        <v>58</v>
      </c>
      <c r="I6" s="3" t="s">
        <v>58</v>
      </c>
      <c r="J6" s="3" t="s">
        <v>60</v>
      </c>
      <c r="K6" s="2" t="s">
        <v>129</v>
      </c>
      <c r="L6" s="2" t="s">
        <v>130</v>
      </c>
      <c r="M6" s="3" t="s">
        <v>131</v>
      </c>
      <c r="N6" s="2" t="s">
        <v>132</v>
      </c>
      <c r="O6" s="3" t="s">
        <v>64</v>
      </c>
      <c r="P6" s="3" t="s">
        <v>133</v>
      </c>
      <c r="R6" s="3" t="s">
        <v>67</v>
      </c>
      <c r="S6" s="4">
        <v>4</v>
      </c>
      <c r="T6" s="4">
        <v>4</v>
      </c>
      <c r="U6" s="5" t="s">
        <v>134</v>
      </c>
      <c r="V6" s="5" t="s">
        <v>134</v>
      </c>
      <c r="W6" s="5" t="s">
        <v>119</v>
      </c>
      <c r="X6" s="5" t="s">
        <v>119</v>
      </c>
      <c r="Y6" s="4">
        <v>809</v>
      </c>
      <c r="Z6" s="4">
        <v>699</v>
      </c>
      <c r="AA6" s="4">
        <v>736</v>
      </c>
      <c r="AB6" s="4">
        <v>7</v>
      </c>
      <c r="AC6" s="4">
        <v>8</v>
      </c>
      <c r="AD6" s="4">
        <v>31</v>
      </c>
      <c r="AE6" s="4">
        <v>32</v>
      </c>
      <c r="AF6" s="4">
        <v>11</v>
      </c>
      <c r="AG6" s="4">
        <v>11</v>
      </c>
      <c r="AH6" s="4">
        <v>6</v>
      </c>
      <c r="AI6" s="4">
        <v>6</v>
      </c>
      <c r="AJ6" s="4">
        <v>16</v>
      </c>
      <c r="AK6" s="4">
        <v>16</v>
      </c>
      <c r="AL6" s="4">
        <v>5</v>
      </c>
      <c r="AM6" s="4">
        <v>6</v>
      </c>
      <c r="AN6" s="4">
        <v>0</v>
      </c>
      <c r="AO6" s="4">
        <v>0</v>
      </c>
      <c r="AP6" s="3" t="s">
        <v>58</v>
      </c>
      <c r="AQ6" s="3" t="s">
        <v>58</v>
      </c>
      <c r="AR6" s="6" t="str">
        <f>HYPERLINK("http://catalog.hathitrust.org/Record/001552414","HathiTrust Record")</f>
        <v>HathiTrust Record</v>
      </c>
      <c r="AS6" s="6" t="str">
        <f>HYPERLINK("https://creighton-primo.hosted.exlibrisgroup.com/primo-explore/search?tab=default_tab&amp;search_scope=EVERYTHING&amp;vid=01CRU&amp;lang=en_US&amp;offset=0&amp;query=any,contains,991002409709702656","Catalog Record")</f>
        <v>Catalog Record</v>
      </c>
      <c r="AT6" s="6" t="str">
        <f>HYPERLINK("http://www.worldcat.org/oclc/339059","WorldCat Record")</f>
        <v>WorldCat Record</v>
      </c>
      <c r="AU6" s="3" t="s">
        <v>135</v>
      </c>
      <c r="AV6" s="3" t="s">
        <v>136</v>
      </c>
      <c r="AW6" s="3" t="s">
        <v>137</v>
      </c>
      <c r="AX6" s="3" t="s">
        <v>137</v>
      </c>
      <c r="AY6" s="3" t="s">
        <v>138</v>
      </c>
      <c r="AZ6" s="3" t="s">
        <v>74</v>
      </c>
      <c r="BC6" s="3" t="s">
        <v>139</v>
      </c>
      <c r="BD6" s="3" t="s">
        <v>140</v>
      </c>
    </row>
    <row r="7" spans="1:56" ht="30" customHeight="1" x14ac:dyDescent="0.25">
      <c r="A7" s="8" t="s">
        <v>58</v>
      </c>
      <c r="B7" s="2" t="s">
        <v>141</v>
      </c>
      <c r="C7" s="2" t="s">
        <v>142</v>
      </c>
      <c r="D7" s="2" t="s">
        <v>143</v>
      </c>
      <c r="F7" s="3" t="s">
        <v>58</v>
      </c>
      <c r="G7" s="3" t="s">
        <v>59</v>
      </c>
      <c r="H7" s="3" t="s">
        <v>58</v>
      </c>
      <c r="I7" s="3" t="s">
        <v>58</v>
      </c>
      <c r="J7" s="3" t="s">
        <v>60</v>
      </c>
      <c r="K7" s="2" t="s">
        <v>144</v>
      </c>
      <c r="L7" s="2" t="s">
        <v>145</v>
      </c>
      <c r="M7" s="3" t="s">
        <v>146</v>
      </c>
      <c r="N7" s="2" t="s">
        <v>147</v>
      </c>
      <c r="O7" s="3" t="s">
        <v>64</v>
      </c>
      <c r="P7" s="3" t="s">
        <v>84</v>
      </c>
      <c r="R7" s="3" t="s">
        <v>67</v>
      </c>
      <c r="S7" s="4">
        <v>2</v>
      </c>
      <c r="T7" s="4">
        <v>2</v>
      </c>
      <c r="U7" s="5" t="s">
        <v>148</v>
      </c>
      <c r="V7" s="5" t="s">
        <v>148</v>
      </c>
      <c r="W7" s="5" t="s">
        <v>148</v>
      </c>
      <c r="X7" s="5" t="s">
        <v>148</v>
      </c>
      <c r="Y7" s="4">
        <v>86</v>
      </c>
      <c r="Z7" s="4">
        <v>53</v>
      </c>
      <c r="AA7" s="4">
        <v>96</v>
      </c>
      <c r="AB7" s="4">
        <v>0</v>
      </c>
      <c r="AC7" s="4">
        <v>0</v>
      </c>
      <c r="AD7" s="4">
        <v>1</v>
      </c>
      <c r="AE7" s="4">
        <v>3</v>
      </c>
      <c r="AF7" s="4">
        <v>1</v>
      </c>
      <c r="AG7" s="4">
        <v>3</v>
      </c>
      <c r="AH7" s="4">
        <v>0</v>
      </c>
      <c r="AI7" s="4">
        <v>0</v>
      </c>
      <c r="AJ7" s="4">
        <v>1</v>
      </c>
      <c r="AK7" s="4">
        <v>2</v>
      </c>
      <c r="AL7" s="4">
        <v>0</v>
      </c>
      <c r="AM7" s="4">
        <v>0</v>
      </c>
      <c r="AN7" s="4">
        <v>0</v>
      </c>
      <c r="AO7" s="4">
        <v>0</v>
      </c>
      <c r="AP7" s="3" t="s">
        <v>58</v>
      </c>
      <c r="AQ7" s="3" t="s">
        <v>58</v>
      </c>
      <c r="AS7" s="6" t="str">
        <f>HYPERLINK("https://creighton-primo.hosted.exlibrisgroup.com/primo-explore/search?tab=default_tab&amp;search_scope=EVERYTHING&amp;vid=01CRU&amp;lang=en_US&amp;offset=0&amp;query=any,contains,991004224469702656","Catalog Record")</f>
        <v>Catalog Record</v>
      </c>
      <c r="AT7" s="6" t="str">
        <f>HYPERLINK("http://www.worldcat.org/oclc/28583582","WorldCat Record")</f>
        <v>WorldCat Record</v>
      </c>
      <c r="AU7" s="3" t="s">
        <v>149</v>
      </c>
      <c r="AV7" s="3" t="s">
        <v>150</v>
      </c>
      <c r="AW7" s="3" t="s">
        <v>151</v>
      </c>
      <c r="AX7" s="3" t="s">
        <v>151</v>
      </c>
      <c r="AY7" s="3" t="s">
        <v>152</v>
      </c>
      <c r="AZ7" s="3" t="s">
        <v>74</v>
      </c>
      <c r="BB7" s="3" t="s">
        <v>153</v>
      </c>
      <c r="BC7" s="3" t="s">
        <v>154</v>
      </c>
      <c r="BD7" s="3" t="s">
        <v>155</v>
      </c>
    </row>
    <row r="8" spans="1:56" ht="30" customHeight="1" x14ac:dyDescent="0.25">
      <c r="A8" s="8" t="s">
        <v>58</v>
      </c>
      <c r="B8" s="2" t="s">
        <v>156</v>
      </c>
      <c r="C8" s="2" t="s">
        <v>157</v>
      </c>
      <c r="D8" s="2" t="s">
        <v>158</v>
      </c>
      <c r="F8" s="3" t="s">
        <v>58</v>
      </c>
      <c r="G8" s="3" t="s">
        <v>59</v>
      </c>
      <c r="H8" s="3" t="s">
        <v>58</v>
      </c>
      <c r="I8" s="3" t="s">
        <v>58</v>
      </c>
      <c r="J8" s="3" t="s">
        <v>60</v>
      </c>
      <c r="K8" s="2" t="s">
        <v>159</v>
      </c>
      <c r="L8" s="2" t="s">
        <v>160</v>
      </c>
      <c r="M8" s="3" t="s">
        <v>161</v>
      </c>
      <c r="N8" s="2" t="s">
        <v>162</v>
      </c>
      <c r="O8" s="3" t="s">
        <v>64</v>
      </c>
      <c r="P8" s="3" t="s">
        <v>133</v>
      </c>
      <c r="R8" s="3" t="s">
        <v>67</v>
      </c>
      <c r="S8" s="4">
        <v>1</v>
      </c>
      <c r="T8" s="4">
        <v>1</v>
      </c>
      <c r="U8" s="5" t="s">
        <v>163</v>
      </c>
      <c r="V8" s="5" t="s">
        <v>163</v>
      </c>
      <c r="W8" s="5" t="s">
        <v>163</v>
      </c>
      <c r="X8" s="5" t="s">
        <v>163</v>
      </c>
      <c r="Y8" s="4">
        <v>811</v>
      </c>
      <c r="Z8" s="4">
        <v>732</v>
      </c>
      <c r="AA8" s="4">
        <v>806</v>
      </c>
      <c r="AB8" s="4">
        <v>6</v>
      </c>
      <c r="AC8" s="4">
        <v>6</v>
      </c>
      <c r="AD8" s="4">
        <v>18</v>
      </c>
      <c r="AE8" s="4">
        <v>20</v>
      </c>
      <c r="AF8" s="4">
        <v>5</v>
      </c>
      <c r="AG8" s="4">
        <v>7</v>
      </c>
      <c r="AH8" s="4">
        <v>5</v>
      </c>
      <c r="AI8" s="4">
        <v>5</v>
      </c>
      <c r="AJ8" s="4">
        <v>7</v>
      </c>
      <c r="AK8" s="4">
        <v>8</v>
      </c>
      <c r="AL8" s="4">
        <v>3</v>
      </c>
      <c r="AM8" s="4">
        <v>3</v>
      </c>
      <c r="AN8" s="4">
        <v>0</v>
      </c>
      <c r="AO8" s="4">
        <v>0</v>
      </c>
      <c r="AP8" s="3" t="s">
        <v>58</v>
      </c>
      <c r="AQ8" s="3" t="s">
        <v>58</v>
      </c>
      <c r="AS8" s="6" t="str">
        <f>HYPERLINK("https://creighton-primo.hosted.exlibrisgroup.com/primo-explore/search?tab=default_tab&amp;search_scope=EVERYTHING&amp;vid=01CRU&amp;lang=en_US&amp;offset=0&amp;query=any,contains,991005222169702656","Catalog Record")</f>
        <v>Catalog Record</v>
      </c>
      <c r="AT8" s="6" t="str">
        <f>HYPERLINK("http://www.worldcat.org/oclc/156863680","WorldCat Record")</f>
        <v>WorldCat Record</v>
      </c>
      <c r="AU8" s="3" t="s">
        <v>164</v>
      </c>
      <c r="AV8" s="3" t="s">
        <v>165</v>
      </c>
      <c r="AW8" s="3" t="s">
        <v>166</v>
      </c>
      <c r="AX8" s="3" t="s">
        <v>166</v>
      </c>
      <c r="AY8" s="3" t="s">
        <v>167</v>
      </c>
      <c r="AZ8" s="3" t="s">
        <v>74</v>
      </c>
      <c r="BB8" s="3" t="s">
        <v>168</v>
      </c>
      <c r="BC8" s="3" t="s">
        <v>169</v>
      </c>
      <c r="BD8" s="3" t="s">
        <v>170</v>
      </c>
    </row>
    <row r="9" spans="1:56" ht="30" customHeight="1" x14ac:dyDescent="0.25">
      <c r="A9" s="8" t="s">
        <v>58</v>
      </c>
      <c r="B9" s="2" t="s">
        <v>171</v>
      </c>
      <c r="C9" s="2" t="s">
        <v>172</v>
      </c>
      <c r="D9" s="2" t="s">
        <v>173</v>
      </c>
      <c r="F9" s="3" t="s">
        <v>58</v>
      </c>
      <c r="G9" s="3" t="s">
        <v>59</v>
      </c>
      <c r="H9" s="3" t="s">
        <v>58</v>
      </c>
      <c r="I9" s="3" t="s">
        <v>58</v>
      </c>
      <c r="J9" s="3" t="s">
        <v>60</v>
      </c>
      <c r="K9" s="2" t="s">
        <v>174</v>
      </c>
      <c r="L9" s="2" t="s">
        <v>175</v>
      </c>
      <c r="M9" s="3" t="s">
        <v>176</v>
      </c>
      <c r="O9" s="3" t="s">
        <v>64</v>
      </c>
      <c r="P9" s="3" t="s">
        <v>133</v>
      </c>
      <c r="Q9" s="2" t="s">
        <v>177</v>
      </c>
      <c r="R9" s="3" t="s">
        <v>67</v>
      </c>
      <c r="S9" s="4">
        <v>5</v>
      </c>
      <c r="T9" s="4">
        <v>5</v>
      </c>
      <c r="U9" s="5" t="s">
        <v>178</v>
      </c>
      <c r="V9" s="5" t="s">
        <v>178</v>
      </c>
      <c r="W9" s="5" t="s">
        <v>179</v>
      </c>
      <c r="X9" s="5" t="s">
        <v>179</v>
      </c>
      <c r="Y9" s="4">
        <v>272</v>
      </c>
      <c r="Z9" s="4">
        <v>250</v>
      </c>
      <c r="AA9" s="4">
        <v>440</v>
      </c>
      <c r="AB9" s="4">
        <v>2</v>
      </c>
      <c r="AC9" s="4">
        <v>5</v>
      </c>
      <c r="AD9" s="4">
        <v>13</v>
      </c>
      <c r="AE9" s="4">
        <v>23</v>
      </c>
      <c r="AF9" s="4">
        <v>5</v>
      </c>
      <c r="AG9" s="4">
        <v>6</v>
      </c>
      <c r="AH9" s="4">
        <v>5</v>
      </c>
      <c r="AI9" s="4">
        <v>5</v>
      </c>
      <c r="AJ9" s="4">
        <v>5</v>
      </c>
      <c r="AK9" s="4">
        <v>13</v>
      </c>
      <c r="AL9" s="4">
        <v>1</v>
      </c>
      <c r="AM9" s="4">
        <v>3</v>
      </c>
      <c r="AN9" s="4">
        <v>0</v>
      </c>
      <c r="AO9" s="4">
        <v>0</v>
      </c>
      <c r="AP9" s="3" t="s">
        <v>58</v>
      </c>
      <c r="AQ9" s="3" t="s">
        <v>103</v>
      </c>
      <c r="AR9" s="6" t="str">
        <f>HYPERLINK("http://catalog.hathitrust.org/Record/009240844","HathiTrust Record")</f>
        <v>HathiTrust Record</v>
      </c>
      <c r="AS9" s="6" t="str">
        <f>HYPERLINK("https://creighton-primo.hosted.exlibrisgroup.com/primo-explore/search?tab=default_tab&amp;search_scope=EVERYTHING&amp;vid=01CRU&amp;lang=en_US&amp;offset=0&amp;query=any,contains,991001293319702656","Catalog Record")</f>
        <v>Catalog Record</v>
      </c>
      <c r="AT9" s="6" t="str">
        <f>HYPERLINK("http://www.worldcat.org/oclc/218587","WorldCat Record")</f>
        <v>WorldCat Record</v>
      </c>
      <c r="AU9" s="3" t="s">
        <v>180</v>
      </c>
      <c r="AV9" s="3" t="s">
        <v>181</v>
      </c>
      <c r="AW9" s="3" t="s">
        <v>182</v>
      </c>
      <c r="AX9" s="3" t="s">
        <v>182</v>
      </c>
      <c r="AY9" s="3" t="s">
        <v>183</v>
      </c>
      <c r="AZ9" s="3" t="s">
        <v>74</v>
      </c>
      <c r="BC9" s="3" t="s">
        <v>184</v>
      </c>
      <c r="BD9" s="3" t="s">
        <v>185</v>
      </c>
    </row>
    <row r="10" spans="1:56" ht="30" customHeight="1" x14ac:dyDescent="0.25">
      <c r="A10" s="8" t="s">
        <v>58</v>
      </c>
      <c r="B10" s="2" t="s">
        <v>186</v>
      </c>
      <c r="C10" s="2" t="s">
        <v>187</v>
      </c>
      <c r="D10" s="2" t="s">
        <v>188</v>
      </c>
      <c r="F10" s="3" t="s">
        <v>58</v>
      </c>
      <c r="G10" s="3" t="s">
        <v>59</v>
      </c>
      <c r="H10" s="3" t="s">
        <v>58</v>
      </c>
      <c r="I10" s="3" t="s">
        <v>58</v>
      </c>
      <c r="J10" s="3" t="s">
        <v>60</v>
      </c>
      <c r="K10" s="2" t="s">
        <v>189</v>
      </c>
      <c r="L10" s="2" t="s">
        <v>190</v>
      </c>
      <c r="M10" s="3" t="s">
        <v>191</v>
      </c>
      <c r="O10" s="3" t="s">
        <v>64</v>
      </c>
      <c r="P10" s="3" t="s">
        <v>133</v>
      </c>
      <c r="R10" s="3" t="s">
        <v>67</v>
      </c>
      <c r="S10" s="4">
        <v>3</v>
      </c>
      <c r="T10" s="4">
        <v>3</v>
      </c>
      <c r="U10" s="5" t="s">
        <v>192</v>
      </c>
      <c r="V10" s="5" t="s">
        <v>192</v>
      </c>
      <c r="W10" s="5" t="s">
        <v>193</v>
      </c>
      <c r="X10" s="5" t="s">
        <v>193</v>
      </c>
      <c r="Y10" s="4">
        <v>848</v>
      </c>
      <c r="Z10" s="4">
        <v>761</v>
      </c>
      <c r="AA10" s="4">
        <v>1110</v>
      </c>
      <c r="AB10" s="4">
        <v>8</v>
      </c>
      <c r="AC10" s="4">
        <v>11</v>
      </c>
      <c r="AD10" s="4">
        <v>28</v>
      </c>
      <c r="AE10" s="4">
        <v>34</v>
      </c>
      <c r="AF10" s="4">
        <v>11</v>
      </c>
      <c r="AG10" s="4">
        <v>14</v>
      </c>
      <c r="AH10" s="4">
        <v>3</v>
      </c>
      <c r="AI10" s="4">
        <v>4</v>
      </c>
      <c r="AJ10" s="4">
        <v>14</v>
      </c>
      <c r="AK10" s="4">
        <v>18</v>
      </c>
      <c r="AL10" s="4">
        <v>5</v>
      </c>
      <c r="AM10" s="4">
        <v>5</v>
      </c>
      <c r="AN10" s="4">
        <v>0</v>
      </c>
      <c r="AO10" s="4">
        <v>0</v>
      </c>
      <c r="AP10" s="3" t="s">
        <v>103</v>
      </c>
      <c r="AQ10" s="3" t="s">
        <v>58</v>
      </c>
      <c r="AR10" s="6" t="str">
        <f>HYPERLINK("http://catalog.hathitrust.org/Record/001575669","HathiTrust Record")</f>
        <v>HathiTrust Record</v>
      </c>
      <c r="AS10" s="6" t="str">
        <f>HYPERLINK("https://creighton-primo.hosted.exlibrisgroup.com/primo-explore/search?tab=default_tab&amp;search_scope=EVERYTHING&amp;vid=01CRU&amp;lang=en_US&amp;offset=0&amp;query=any,contains,991001783389702656","Catalog Record")</f>
        <v>Catalog Record</v>
      </c>
      <c r="AT10" s="6" t="str">
        <f>HYPERLINK("http://www.worldcat.org/oclc/424922","WorldCat Record")</f>
        <v>WorldCat Record</v>
      </c>
      <c r="AU10" s="3" t="s">
        <v>194</v>
      </c>
      <c r="AV10" s="3" t="s">
        <v>195</v>
      </c>
      <c r="AW10" s="3" t="s">
        <v>196</v>
      </c>
      <c r="AX10" s="3" t="s">
        <v>196</v>
      </c>
      <c r="AY10" s="3" t="s">
        <v>197</v>
      </c>
      <c r="AZ10" s="3" t="s">
        <v>74</v>
      </c>
      <c r="BC10" s="3" t="s">
        <v>198</v>
      </c>
      <c r="BD10" s="3" t="s">
        <v>199</v>
      </c>
    </row>
    <row r="11" spans="1:56" ht="30" customHeight="1" x14ac:dyDescent="0.25">
      <c r="A11" s="8" t="s">
        <v>58</v>
      </c>
      <c r="B11" s="2" t="s">
        <v>200</v>
      </c>
      <c r="C11" s="2" t="s">
        <v>201</v>
      </c>
      <c r="D11" s="2" t="s">
        <v>202</v>
      </c>
      <c r="F11" s="3" t="s">
        <v>58</v>
      </c>
      <c r="G11" s="3" t="s">
        <v>59</v>
      </c>
      <c r="H11" s="3" t="s">
        <v>58</v>
      </c>
      <c r="I11" s="3" t="s">
        <v>58</v>
      </c>
      <c r="J11" s="3" t="s">
        <v>60</v>
      </c>
      <c r="K11" s="2" t="s">
        <v>203</v>
      </c>
      <c r="L11" s="2" t="s">
        <v>204</v>
      </c>
      <c r="M11" s="3" t="s">
        <v>205</v>
      </c>
      <c r="O11" s="3" t="s">
        <v>64</v>
      </c>
      <c r="P11" s="3" t="s">
        <v>133</v>
      </c>
      <c r="R11" s="3" t="s">
        <v>67</v>
      </c>
      <c r="S11" s="4">
        <v>16</v>
      </c>
      <c r="T11" s="4">
        <v>16</v>
      </c>
      <c r="U11" s="5" t="s">
        <v>206</v>
      </c>
      <c r="V11" s="5" t="s">
        <v>206</v>
      </c>
      <c r="W11" s="5" t="s">
        <v>207</v>
      </c>
      <c r="X11" s="5" t="s">
        <v>207</v>
      </c>
      <c r="Y11" s="4">
        <v>142</v>
      </c>
      <c r="Z11" s="4">
        <v>117</v>
      </c>
      <c r="AA11" s="4">
        <v>264</v>
      </c>
      <c r="AB11" s="4">
        <v>3</v>
      </c>
      <c r="AC11" s="4">
        <v>5</v>
      </c>
      <c r="AD11" s="4">
        <v>4</v>
      </c>
      <c r="AE11" s="4">
        <v>9</v>
      </c>
      <c r="AF11" s="4">
        <v>1</v>
      </c>
      <c r="AG11" s="4">
        <v>2</v>
      </c>
      <c r="AH11" s="4">
        <v>1</v>
      </c>
      <c r="AI11" s="4">
        <v>1</v>
      </c>
      <c r="AJ11" s="4">
        <v>0</v>
      </c>
      <c r="AK11" s="4">
        <v>2</v>
      </c>
      <c r="AL11" s="4">
        <v>2</v>
      </c>
      <c r="AM11" s="4">
        <v>4</v>
      </c>
      <c r="AN11" s="4">
        <v>0</v>
      </c>
      <c r="AO11" s="4">
        <v>0</v>
      </c>
      <c r="AP11" s="3" t="s">
        <v>58</v>
      </c>
      <c r="AQ11" s="3" t="s">
        <v>103</v>
      </c>
      <c r="AR11" s="6" t="str">
        <f>HYPERLINK("http://catalog.hathitrust.org/Record/009240851","HathiTrust Record")</f>
        <v>HathiTrust Record</v>
      </c>
      <c r="AS11" s="6" t="str">
        <f>HYPERLINK("https://creighton-primo.hosted.exlibrisgroup.com/primo-explore/search?tab=default_tab&amp;search_scope=EVERYTHING&amp;vid=01CRU&amp;lang=en_US&amp;offset=0&amp;query=any,contains,991003907139702656","Catalog Record")</f>
        <v>Catalog Record</v>
      </c>
      <c r="AT11" s="6" t="str">
        <f>HYPERLINK("http://www.worldcat.org/oclc/1841532","WorldCat Record")</f>
        <v>WorldCat Record</v>
      </c>
      <c r="AU11" s="3" t="s">
        <v>208</v>
      </c>
      <c r="AV11" s="3" t="s">
        <v>209</v>
      </c>
      <c r="AW11" s="3" t="s">
        <v>210</v>
      </c>
      <c r="AX11" s="3" t="s">
        <v>210</v>
      </c>
      <c r="AY11" s="3" t="s">
        <v>211</v>
      </c>
      <c r="AZ11" s="3" t="s">
        <v>74</v>
      </c>
      <c r="BC11" s="3" t="s">
        <v>212</v>
      </c>
      <c r="BD11" s="3" t="s">
        <v>213</v>
      </c>
    </row>
    <row r="12" spans="1:56" ht="30" customHeight="1" x14ac:dyDescent="0.25">
      <c r="A12" s="8" t="s">
        <v>58</v>
      </c>
      <c r="B12" s="2" t="s">
        <v>214</v>
      </c>
      <c r="C12" s="2" t="s">
        <v>215</v>
      </c>
      <c r="D12" s="2" t="s">
        <v>216</v>
      </c>
      <c r="F12" s="3" t="s">
        <v>58</v>
      </c>
      <c r="G12" s="3" t="s">
        <v>59</v>
      </c>
      <c r="H12" s="3" t="s">
        <v>58</v>
      </c>
      <c r="I12" s="3" t="s">
        <v>103</v>
      </c>
      <c r="J12" s="3" t="s">
        <v>60</v>
      </c>
      <c r="K12" s="2" t="s">
        <v>217</v>
      </c>
      <c r="L12" s="2" t="s">
        <v>218</v>
      </c>
      <c r="M12" s="3" t="s">
        <v>219</v>
      </c>
      <c r="N12" s="2" t="s">
        <v>220</v>
      </c>
      <c r="O12" s="3" t="s">
        <v>64</v>
      </c>
      <c r="P12" s="3" t="s">
        <v>117</v>
      </c>
      <c r="R12" s="3" t="s">
        <v>67</v>
      </c>
      <c r="S12" s="4">
        <v>5</v>
      </c>
      <c r="T12" s="4">
        <v>5</v>
      </c>
      <c r="U12" s="5" t="s">
        <v>221</v>
      </c>
      <c r="V12" s="5" t="s">
        <v>221</v>
      </c>
      <c r="W12" s="5" t="s">
        <v>222</v>
      </c>
      <c r="X12" s="5" t="s">
        <v>222</v>
      </c>
      <c r="Y12" s="4">
        <v>165</v>
      </c>
      <c r="Z12" s="4">
        <v>151</v>
      </c>
      <c r="AA12" s="4">
        <v>2610</v>
      </c>
      <c r="AB12" s="4">
        <v>1</v>
      </c>
      <c r="AC12" s="4">
        <v>23</v>
      </c>
      <c r="AD12" s="4">
        <v>3</v>
      </c>
      <c r="AE12" s="4">
        <v>59</v>
      </c>
      <c r="AF12" s="4">
        <v>0</v>
      </c>
      <c r="AG12" s="4">
        <v>21</v>
      </c>
      <c r="AH12" s="4">
        <v>0</v>
      </c>
      <c r="AI12" s="4">
        <v>6</v>
      </c>
      <c r="AJ12" s="4">
        <v>1</v>
      </c>
      <c r="AK12" s="4">
        <v>22</v>
      </c>
      <c r="AL12" s="4">
        <v>0</v>
      </c>
      <c r="AM12" s="4">
        <v>12</v>
      </c>
      <c r="AN12" s="4">
        <v>2</v>
      </c>
      <c r="AO12" s="4">
        <v>8</v>
      </c>
      <c r="AP12" s="3" t="s">
        <v>58</v>
      </c>
      <c r="AQ12" s="3" t="s">
        <v>103</v>
      </c>
      <c r="AR12" s="6" t="str">
        <f>HYPERLINK("http://catalog.hathitrust.org/Record/001552473","HathiTrust Record")</f>
        <v>HathiTrust Record</v>
      </c>
      <c r="AS12" s="6" t="str">
        <f>HYPERLINK("https://creighton-primo.hosted.exlibrisgroup.com/primo-explore/search?tab=default_tab&amp;search_scope=EVERYTHING&amp;vid=01CRU&amp;lang=en_US&amp;offset=0&amp;query=any,contains,991003979029702656","Catalog Record")</f>
        <v>Catalog Record</v>
      </c>
      <c r="AT12" s="6" t="str">
        <f>HYPERLINK("http://www.worldcat.org/oclc/2015826","WorldCat Record")</f>
        <v>WorldCat Record</v>
      </c>
      <c r="AU12" s="3" t="s">
        <v>223</v>
      </c>
      <c r="AV12" s="3" t="s">
        <v>224</v>
      </c>
      <c r="AW12" s="3" t="s">
        <v>225</v>
      </c>
      <c r="AX12" s="3" t="s">
        <v>225</v>
      </c>
      <c r="AY12" s="3" t="s">
        <v>226</v>
      </c>
      <c r="AZ12" s="3" t="s">
        <v>74</v>
      </c>
      <c r="BC12" s="3" t="s">
        <v>227</v>
      </c>
      <c r="BD12" s="3" t="s">
        <v>228</v>
      </c>
    </row>
    <row r="13" spans="1:56" ht="30" customHeight="1" x14ac:dyDescent="0.25">
      <c r="A13" s="8" t="s">
        <v>58</v>
      </c>
      <c r="B13" s="2" t="s">
        <v>229</v>
      </c>
      <c r="C13" s="2" t="s">
        <v>230</v>
      </c>
      <c r="D13" s="2" t="s">
        <v>231</v>
      </c>
      <c r="F13" s="3" t="s">
        <v>58</v>
      </c>
      <c r="G13" s="3" t="s">
        <v>59</v>
      </c>
      <c r="H13" s="3" t="s">
        <v>58</v>
      </c>
      <c r="I13" s="3" t="s">
        <v>58</v>
      </c>
      <c r="J13" s="3" t="s">
        <v>60</v>
      </c>
      <c r="K13" s="2" t="s">
        <v>232</v>
      </c>
      <c r="L13" s="2" t="s">
        <v>233</v>
      </c>
      <c r="M13" s="3" t="s">
        <v>234</v>
      </c>
      <c r="N13" s="2" t="s">
        <v>235</v>
      </c>
      <c r="O13" s="3" t="s">
        <v>64</v>
      </c>
      <c r="P13" s="3" t="s">
        <v>65</v>
      </c>
      <c r="R13" s="3" t="s">
        <v>67</v>
      </c>
      <c r="S13" s="4">
        <v>6</v>
      </c>
      <c r="T13" s="4">
        <v>6</v>
      </c>
      <c r="U13" s="5" t="s">
        <v>236</v>
      </c>
      <c r="V13" s="5" t="s">
        <v>236</v>
      </c>
      <c r="W13" s="5" t="s">
        <v>237</v>
      </c>
      <c r="X13" s="5" t="s">
        <v>237</v>
      </c>
      <c r="Y13" s="4">
        <v>68</v>
      </c>
      <c r="Z13" s="4">
        <v>58</v>
      </c>
      <c r="AA13" s="4">
        <v>213</v>
      </c>
      <c r="AB13" s="4">
        <v>1</v>
      </c>
      <c r="AC13" s="4">
        <v>4</v>
      </c>
      <c r="AD13" s="4">
        <v>1</v>
      </c>
      <c r="AE13" s="4">
        <v>8</v>
      </c>
      <c r="AF13" s="4">
        <v>0</v>
      </c>
      <c r="AG13" s="4">
        <v>1</v>
      </c>
      <c r="AH13" s="4">
        <v>1</v>
      </c>
      <c r="AI13" s="4">
        <v>2</v>
      </c>
      <c r="AJ13" s="4">
        <v>0</v>
      </c>
      <c r="AK13" s="4">
        <v>3</v>
      </c>
      <c r="AL13" s="4">
        <v>0</v>
      </c>
      <c r="AM13" s="4">
        <v>2</v>
      </c>
      <c r="AN13" s="4">
        <v>0</v>
      </c>
      <c r="AO13" s="4">
        <v>0</v>
      </c>
      <c r="AP13" s="3" t="s">
        <v>58</v>
      </c>
      <c r="AQ13" s="3" t="s">
        <v>103</v>
      </c>
      <c r="AR13" s="6" t="str">
        <f>HYPERLINK("http://catalog.hathitrust.org/Record/009110614","HathiTrust Record")</f>
        <v>HathiTrust Record</v>
      </c>
      <c r="AS13" s="6" t="str">
        <f>HYPERLINK("https://creighton-primo.hosted.exlibrisgroup.com/primo-explore/search?tab=default_tab&amp;search_scope=EVERYTHING&amp;vid=01CRU&amp;lang=en_US&amp;offset=0&amp;query=any,contains,991003810659702656","Catalog Record")</f>
        <v>Catalog Record</v>
      </c>
      <c r="AT13" s="6" t="str">
        <f>HYPERLINK("http://www.worldcat.org/oclc/1536319","WorldCat Record")</f>
        <v>WorldCat Record</v>
      </c>
      <c r="AU13" s="3" t="s">
        <v>238</v>
      </c>
      <c r="AV13" s="3" t="s">
        <v>239</v>
      </c>
      <c r="AW13" s="3" t="s">
        <v>240</v>
      </c>
      <c r="AX13" s="3" t="s">
        <v>240</v>
      </c>
      <c r="AY13" s="3" t="s">
        <v>241</v>
      </c>
      <c r="AZ13" s="3" t="s">
        <v>74</v>
      </c>
      <c r="BC13" s="3" t="s">
        <v>242</v>
      </c>
      <c r="BD13" s="3" t="s">
        <v>243</v>
      </c>
    </row>
    <row r="14" spans="1:56" ht="30" customHeight="1" x14ac:dyDescent="0.25">
      <c r="A14" s="8" t="s">
        <v>58</v>
      </c>
      <c r="B14" s="2" t="s">
        <v>244</v>
      </c>
      <c r="C14" s="2" t="s">
        <v>245</v>
      </c>
      <c r="D14" s="2" t="s">
        <v>246</v>
      </c>
      <c r="E14" s="3" t="s">
        <v>247</v>
      </c>
      <c r="F14" s="3" t="s">
        <v>103</v>
      </c>
      <c r="G14" s="3" t="s">
        <v>59</v>
      </c>
      <c r="H14" s="3" t="s">
        <v>58</v>
      </c>
      <c r="I14" s="3" t="s">
        <v>58</v>
      </c>
      <c r="J14" s="3" t="s">
        <v>60</v>
      </c>
      <c r="L14" s="2" t="s">
        <v>248</v>
      </c>
      <c r="M14" s="3" t="s">
        <v>249</v>
      </c>
      <c r="O14" s="3" t="s">
        <v>64</v>
      </c>
      <c r="P14" s="3" t="s">
        <v>99</v>
      </c>
      <c r="R14" s="3" t="s">
        <v>67</v>
      </c>
      <c r="S14" s="4">
        <v>0</v>
      </c>
      <c r="T14" s="4">
        <v>2</v>
      </c>
      <c r="V14" s="5" t="s">
        <v>250</v>
      </c>
      <c r="W14" s="5" t="s">
        <v>102</v>
      </c>
      <c r="X14" s="5" t="s">
        <v>102</v>
      </c>
      <c r="Y14" s="4">
        <v>37</v>
      </c>
      <c r="Z14" s="4">
        <v>32</v>
      </c>
      <c r="AA14" s="4">
        <v>43</v>
      </c>
      <c r="AB14" s="4">
        <v>3</v>
      </c>
      <c r="AC14" s="4">
        <v>3</v>
      </c>
      <c r="AD14" s="4">
        <v>2</v>
      </c>
      <c r="AE14" s="4">
        <v>2</v>
      </c>
      <c r="AF14" s="4">
        <v>0</v>
      </c>
      <c r="AG14" s="4">
        <v>0</v>
      </c>
      <c r="AH14" s="4">
        <v>0</v>
      </c>
      <c r="AI14" s="4">
        <v>0</v>
      </c>
      <c r="AJ14" s="4">
        <v>1</v>
      </c>
      <c r="AK14" s="4">
        <v>1</v>
      </c>
      <c r="AL14" s="4">
        <v>1</v>
      </c>
      <c r="AM14" s="4">
        <v>1</v>
      </c>
      <c r="AN14" s="4">
        <v>0</v>
      </c>
      <c r="AO14" s="4">
        <v>0</v>
      </c>
      <c r="AP14" s="3" t="s">
        <v>58</v>
      </c>
      <c r="AQ14" s="3" t="s">
        <v>58</v>
      </c>
      <c r="AS14" s="6" t="str">
        <f t="shared" ref="AS14:AS26" si="0">HYPERLINK("https://creighton-primo.hosted.exlibrisgroup.com/primo-explore/search?tab=default_tab&amp;search_scope=EVERYTHING&amp;vid=01CRU&amp;lang=en_US&amp;offset=0&amp;query=any,contains,991004760639702656","Catalog Record")</f>
        <v>Catalog Record</v>
      </c>
      <c r="AT14" s="6" t="str">
        <f t="shared" ref="AT14:AT26" si="1">HYPERLINK("http://www.worldcat.org/oclc/4997504","WorldCat Record")</f>
        <v>WorldCat Record</v>
      </c>
      <c r="AU14" s="3" t="s">
        <v>251</v>
      </c>
      <c r="AV14" s="3" t="s">
        <v>252</v>
      </c>
      <c r="AW14" s="3" t="s">
        <v>253</v>
      </c>
      <c r="AX14" s="3" t="s">
        <v>253</v>
      </c>
      <c r="AY14" s="3" t="s">
        <v>254</v>
      </c>
      <c r="AZ14" s="3" t="s">
        <v>74</v>
      </c>
      <c r="BC14" s="3" t="s">
        <v>255</v>
      </c>
      <c r="BD14" s="3" t="s">
        <v>256</v>
      </c>
    </row>
    <row r="15" spans="1:56" ht="30" customHeight="1" x14ac:dyDescent="0.25">
      <c r="A15" s="8" t="s">
        <v>58</v>
      </c>
      <c r="B15" s="2" t="s">
        <v>244</v>
      </c>
      <c r="C15" s="2" t="s">
        <v>245</v>
      </c>
      <c r="D15" s="2" t="s">
        <v>246</v>
      </c>
      <c r="E15" s="3" t="s">
        <v>257</v>
      </c>
      <c r="F15" s="3" t="s">
        <v>103</v>
      </c>
      <c r="G15" s="3" t="s">
        <v>59</v>
      </c>
      <c r="H15" s="3" t="s">
        <v>58</v>
      </c>
      <c r="I15" s="3" t="s">
        <v>58</v>
      </c>
      <c r="J15" s="3" t="s">
        <v>60</v>
      </c>
      <c r="L15" s="2" t="s">
        <v>248</v>
      </c>
      <c r="M15" s="3" t="s">
        <v>249</v>
      </c>
      <c r="O15" s="3" t="s">
        <v>64</v>
      </c>
      <c r="P15" s="3" t="s">
        <v>99</v>
      </c>
      <c r="R15" s="3" t="s">
        <v>67</v>
      </c>
      <c r="S15" s="4">
        <v>0</v>
      </c>
      <c r="T15" s="4">
        <v>2</v>
      </c>
      <c r="V15" s="5" t="s">
        <v>250</v>
      </c>
      <c r="W15" s="5" t="s">
        <v>102</v>
      </c>
      <c r="X15" s="5" t="s">
        <v>102</v>
      </c>
      <c r="Y15" s="4">
        <v>37</v>
      </c>
      <c r="Z15" s="4">
        <v>32</v>
      </c>
      <c r="AA15" s="4">
        <v>43</v>
      </c>
      <c r="AB15" s="4">
        <v>3</v>
      </c>
      <c r="AC15" s="4">
        <v>3</v>
      </c>
      <c r="AD15" s="4">
        <v>2</v>
      </c>
      <c r="AE15" s="4">
        <v>2</v>
      </c>
      <c r="AF15" s="4">
        <v>0</v>
      </c>
      <c r="AG15" s="4">
        <v>0</v>
      </c>
      <c r="AH15" s="4">
        <v>0</v>
      </c>
      <c r="AI15" s="4">
        <v>0</v>
      </c>
      <c r="AJ15" s="4">
        <v>1</v>
      </c>
      <c r="AK15" s="4">
        <v>1</v>
      </c>
      <c r="AL15" s="4">
        <v>1</v>
      </c>
      <c r="AM15" s="4">
        <v>1</v>
      </c>
      <c r="AN15" s="4">
        <v>0</v>
      </c>
      <c r="AO15" s="4">
        <v>0</v>
      </c>
      <c r="AP15" s="3" t="s">
        <v>58</v>
      </c>
      <c r="AQ15" s="3" t="s">
        <v>58</v>
      </c>
      <c r="AS15" s="6" t="str">
        <f t="shared" si="0"/>
        <v>Catalog Record</v>
      </c>
      <c r="AT15" s="6" t="str">
        <f t="shared" si="1"/>
        <v>WorldCat Record</v>
      </c>
      <c r="AU15" s="3" t="s">
        <v>251</v>
      </c>
      <c r="AV15" s="3" t="s">
        <v>252</v>
      </c>
      <c r="AW15" s="3" t="s">
        <v>253</v>
      </c>
      <c r="AX15" s="3" t="s">
        <v>253</v>
      </c>
      <c r="AY15" s="3" t="s">
        <v>254</v>
      </c>
      <c r="AZ15" s="3" t="s">
        <v>74</v>
      </c>
      <c r="BC15" s="3" t="s">
        <v>258</v>
      </c>
      <c r="BD15" s="3" t="s">
        <v>259</v>
      </c>
    </row>
    <row r="16" spans="1:56" ht="30" customHeight="1" x14ac:dyDescent="0.25">
      <c r="A16" s="8" t="s">
        <v>58</v>
      </c>
      <c r="B16" s="2" t="s">
        <v>244</v>
      </c>
      <c r="C16" s="2" t="s">
        <v>245</v>
      </c>
      <c r="D16" s="2" t="s">
        <v>246</v>
      </c>
      <c r="E16" s="3" t="s">
        <v>260</v>
      </c>
      <c r="F16" s="3" t="s">
        <v>103</v>
      </c>
      <c r="G16" s="3" t="s">
        <v>59</v>
      </c>
      <c r="H16" s="3" t="s">
        <v>58</v>
      </c>
      <c r="I16" s="3" t="s">
        <v>58</v>
      </c>
      <c r="J16" s="3" t="s">
        <v>60</v>
      </c>
      <c r="L16" s="2" t="s">
        <v>248</v>
      </c>
      <c r="M16" s="3" t="s">
        <v>249</v>
      </c>
      <c r="O16" s="3" t="s">
        <v>64</v>
      </c>
      <c r="P16" s="3" t="s">
        <v>99</v>
      </c>
      <c r="R16" s="3" t="s">
        <v>67</v>
      </c>
      <c r="S16" s="4">
        <v>0</v>
      </c>
      <c r="T16" s="4">
        <v>2</v>
      </c>
      <c r="V16" s="5" t="s">
        <v>250</v>
      </c>
      <c r="W16" s="5" t="s">
        <v>102</v>
      </c>
      <c r="X16" s="5" t="s">
        <v>102</v>
      </c>
      <c r="Y16" s="4">
        <v>37</v>
      </c>
      <c r="Z16" s="4">
        <v>32</v>
      </c>
      <c r="AA16" s="4">
        <v>43</v>
      </c>
      <c r="AB16" s="4">
        <v>3</v>
      </c>
      <c r="AC16" s="4">
        <v>3</v>
      </c>
      <c r="AD16" s="4">
        <v>2</v>
      </c>
      <c r="AE16" s="4">
        <v>2</v>
      </c>
      <c r="AF16" s="4">
        <v>0</v>
      </c>
      <c r="AG16" s="4">
        <v>0</v>
      </c>
      <c r="AH16" s="4">
        <v>0</v>
      </c>
      <c r="AI16" s="4">
        <v>0</v>
      </c>
      <c r="AJ16" s="4">
        <v>1</v>
      </c>
      <c r="AK16" s="4">
        <v>1</v>
      </c>
      <c r="AL16" s="4">
        <v>1</v>
      </c>
      <c r="AM16" s="4">
        <v>1</v>
      </c>
      <c r="AN16" s="4">
        <v>0</v>
      </c>
      <c r="AO16" s="4">
        <v>0</v>
      </c>
      <c r="AP16" s="3" t="s">
        <v>58</v>
      </c>
      <c r="AQ16" s="3" t="s">
        <v>58</v>
      </c>
      <c r="AS16" s="6" t="str">
        <f t="shared" si="0"/>
        <v>Catalog Record</v>
      </c>
      <c r="AT16" s="6" t="str">
        <f t="shared" si="1"/>
        <v>WorldCat Record</v>
      </c>
      <c r="AU16" s="3" t="s">
        <v>251</v>
      </c>
      <c r="AV16" s="3" t="s">
        <v>252</v>
      </c>
      <c r="AW16" s="3" t="s">
        <v>253</v>
      </c>
      <c r="AX16" s="3" t="s">
        <v>253</v>
      </c>
      <c r="AY16" s="3" t="s">
        <v>254</v>
      </c>
      <c r="AZ16" s="3" t="s">
        <v>74</v>
      </c>
      <c r="BC16" s="3" t="s">
        <v>261</v>
      </c>
      <c r="BD16" s="3" t="s">
        <v>262</v>
      </c>
    </row>
    <row r="17" spans="1:56" ht="30" customHeight="1" x14ac:dyDescent="0.25">
      <c r="A17" s="8" t="s">
        <v>58</v>
      </c>
      <c r="B17" s="2" t="s">
        <v>244</v>
      </c>
      <c r="C17" s="2" t="s">
        <v>245</v>
      </c>
      <c r="D17" s="2" t="s">
        <v>246</v>
      </c>
      <c r="E17" s="3" t="s">
        <v>263</v>
      </c>
      <c r="F17" s="3" t="s">
        <v>103</v>
      </c>
      <c r="G17" s="3" t="s">
        <v>59</v>
      </c>
      <c r="H17" s="3" t="s">
        <v>58</v>
      </c>
      <c r="I17" s="3" t="s">
        <v>58</v>
      </c>
      <c r="J17" s="3" t="s">
        <v>60</v>
      </c>
      <c r="L17" s="2" t="s">
        <v>248</v>
      </c>
      <c r="M17" s="3" t="s">
        <v>249</v>
      </c>
      <c r="O17" s="3" t="s">
        <v>64</v>
      </c>
      <c r="P17" s="3" t="s">
        <v>99</v>
      </c>
      <c r="R17" s="3" t="s">
        <v>67</v>
      </c>
      <c r="S17" s="4">
        <v>2</v>
      </c>
      <c r="T17" s="4">
        <v>2</v>
      </c>
      <c r="U17" s="5" t="s">
        <v>250</v>
      </c>
      <c r="V17" s="5" t="s">
        <v>250</v>
      </c>
      <c r="W17" s="5" t="s">
        <v>102</v>
      </c>
      <c r="X17" s="5" t="s">
        <v>102</v>
      </c>
      <c r="Y17" s="4">
        <v>37</v>
      </c>
      <c r="Z17" s="4">
        <v>32</v>
      </c>
      <c r="AA17" s="4">
        <v>43</v>
      </c>
      <c r="AB17" s="4">
        <v>3</v>
      </c>
      <c r="AC17" s="4">
        <v>3</v>
      </c>
      <c r="AD17" s="4">
        <v>2</v>
      </c>
      <c r="AE17" s="4">
        <v>2</v>
      </c>
      <c r="AF17" s="4">
        <v>0</v>
      </c>
      <c r="AG17" s="4">
        <v>0</v>
      </c>
      <c r="AH17" s="4">
        <v>0</v>
      </c>
      <c r="AI17" s="4">
        <v>0</v>
      </c>
      <c r="AJ17" s="4">
        <v>1</v>
      </c>
      <c r="AK17" s="4">
        <v>1</v>
      </c>
      <c r="AL17" s="4">
        <v>1</v>
      </c>
      <c r="AM17" s="4">
        <v>1</v>
      </c>
      <c r="AN17" s="4">
        <v>0</v>
      </c>
      <c r="AO17" s="4">
        <v>0</v>
      </c>
      <c r="AP17" s="3" t="s">
        <v>58</v>
      </c>
      <c r="AQ17" s="3" t="s">
        <v>58</v>
      </c>
      <c r="AS17" s="6" t="str">
        <f t="shared" si="0"/>
        <v>Catalog Record</v>
      </c>
      <c r="AT17" s="6" t="str">
        <f t="shared" si="1"/>
        <v>WorldCat Record</v>
      </c>
      <c r="AU17" s="3" t="s">
        <v>251</v>
      </c>
      <c r="AV17" s="3" t="s">
        <v>252</v>
      </c>
      <c r="AW17" s="3" t="s">
        <v>253</v>
      </c>
      <c r="AX17" s="3" t="s">
        <v>253</v>
      </c>
      <c r="AY17" s="3" t="s">
        <v>254</v>
      </c>
      <c r="AZ17" s="3" t="s">
        <v>74</v>
      </c>
      <c r="BC17" s="3" t="s">
        <v>264</v>
      </c>
      <c r="BD17" s="3" t="s">
        <v>265</v>
      </c>
    </row>
    <row r="18" spans="1:56" ht="30" customHeight="1" x14ac:dyDescent="0.25">
      <c r="A18" s="8" t="s">
        <v>58</v>
      </c>
      <c r="B18" s="2" t="s">
        <v>244</v>
      </c>
      <c r="C18" s="2" t="s">
        <v>245</v>
      </c>
      <c r="D18" s="2" t="s">
        <v>246</v>
      </c>
      <c r="E18" s="3" t="s">
        <v>266</v>
      </c>
      <c r="F18" s="3" t="s">
        <v>103</v>
      </c>
      <c r="G18" s="3" t="s">
        <v>59</v>
      </c>
      <c r="H18" s="3" t="s">
        <v>58</v>
      </c>
      <c r="I18" s="3" t="s">
        <v>58</v>
      </c>
      <c r="J18" s="3" t="s">
        <v>60</v>
      </c>
      <c r="L18" s="2" t="s">
        <v>248</v>
      </c>
      <c r="M18" s="3" t="s">
        <v>249</v>
      </c>
      <c r="O18" s="3" t="s">
        <v>64</v>
      </c>
      <c r="P18" s="3" t="s">
        <v>99</v>
      </c>
      <c r="R18" s="3" t="s">
        <v>67</v>
      </c>
      <c r="S18" s="4">
        <v>0</v>
      </c>
      <c r="T18" s="4">
        <v>2</v>
      </c>
      <c r="V18" s="5" t="s">
        <v>250</v>
      </c>
      <c r="W18" s="5" t="s">
        <v>102</v>
      </c>
      <c r="X18" s="5" t="s">
        <v>102</v>
      </c>
      <c r="Y18" s="4">
        <v>37</v>
      </c>
      <c r="Z18" s="4">
        <v>32</v>
      </c>
      <c r="AA18" s="4">
        <v>43</v>
      </c>
      <c r="AB18" s="4">
        <v>3</v>
      </c>
      <c r="AC18" s="4">
        <v>3</v>
      </c>
      <c r="AD18" s="4">
        <v>2</v>
      </c>
      <c r="AE18" s="4">
        <v>2</v>
      </c>
      <c r="AF18" s="4">
        <v>0</v>
      </c>
      <c r="AG18" s="4">
        <v>0</v>
      </c>
      <c r="AH18" s="4">
        <v>0</v>
      </c>
      <c r="AI18" s="4">
        <v>0</v>
      </c>
      <c r="AJ18" s="4">
        <v>1</v>
      </c>
      <c r="AK18" s="4">
        <v>1</v>
      </c>
      <c r="AL18" s="4">
        <v>1</v>
      </c>
      <c r="AM18" s="4">
        <v>1</v>
      </c>
      <c r="AN18" s="4">
        <v>0</v>
      </c>
      <c r="AO18" s="4">
        <v>0</v>
      </c>
      <c r="AP18" s="3" t="s">
        <v>58</v>
      </c>
      <c r="AQ18" s="3" t="s">
        <v>58</v>
      </c>
      <c r="AS18" s="6" t="str">
        <f t="shared" si="0"/>
        <v>Catalog Record</v>
      </c>
      <c r="AT18" s="6" t="str">
        <f t="shared" si="1"/>
        <v>WorldCat Record</v>
      </c>
      <c r="AU18" s="3" t="s">
        <v>251</v>
      </c>
      <c r="AV18" s="3" t="s">
        <v>252</v>
      </c>
      <c r="AW18" s="3" t="s">
        <v>253</v>
      </c>
      <c r="AX18" s="3" t="s">
        <v>253</v>
      </c>
      <c r="AY18" s="3" t="s">
        <v>254</v>
      </c>
      <c r="AZ18" s="3" t="s">
        <v>74</v>
      </c>
      <c r="BC18" s="3" t="s">
        <v>267</v>
      </c>
      <c r="BD18" s="3" t="s">
        <v>268</v>
      </c>
    </row>
    <row r="19" spans="1:56" ht="30" customHeight="1" x14ac:dyDescent="0.25">
      <c r="A19" s="8" t="s">
        <v>58</v>
      </c>
      <c r="B19" s="2" t="s">
        <v>244</v>
      </c>
      <c r="C19" s="2" t="s">
        <v>245</v>
      </c>
      <c r="D19" s="2" t="s">
        <v>246</v>
      </c>
      <c r="E19" s="3" t="s">
        <v>269</v>
      </c>
      <c r="F19" s="3" t="s">
        <v>103</v>
      </c>
      <c r="G19" s="3" t="s">
        <v>59</v>
      </c>
      <c r="H19" s="3" t="s">
        <v>58</v>
      </c>
      <c r="I19" s="3" t="s">
        <v>58</v>
      </c>
      <c r="J19" s="3" t="s">
        <v>60</v>
      </c>
      <c r="L19" s="2" t="s">
        <v>248</v>
      </c>
      <c r="M19" s="3" t="s">
        <v>249</v>
      </c>
      <c r="O19" s="3" t="s">
        <v>64</v>
      </c>
      <c r="P19" s="3" t="s">
        <v>99</v>
      </c>
      <c r="R19" s="3" t="s">
        <v>67</v>
      </c>
      <c r="S19" s="4">
        <v>0</v>
      </c>
      <c r="T19" s="4">
        <v>2</v>
      </c>
      <c r="V19" s="5" t="s">
        <v>250</v>
      </c>
      <c r="W19" s="5" t="s">
        <v>207</v>
      </c>
      <c r="X19" s="5" t="s">
        <v>102</v>
      </c>
      <c r="Y19" s="4">
        <v>37</v>
      </c>
      <c r="Z19" s="4">
        <v>32</v>
      </c>
      <c r="AA19" s="4">
        <v>43</v>
      </c>
      <c r="AB19" s="4">
        <v>3</v>
      </c>
      <c r="AC19" s="4">
        <v>3</v>
      </c>
      <c r="AD19" s="4">
        <v>2</v>
      </c>
      <c r="AE19" s="4">
        <v>2</v>
      </c>
      <c r="AF19" s="4">
        <v>0</v>
      </c>
      <c r="AG19" s="4">
        <v>0</v>
      </c>
      <c r="AH19" s="4">
        <v>0</v>
      </c>
      <c r="AI19" s="4">
        <v>0</v>
      </c>
      <c r="AJ19" s="4">
        <v>1</v>
      </c>
      <c r="AK19" s="4">
        <v>1</v>
      </c>
      <c r="AL19" s="4">
        <v>1</v>
      </c>
      <c r="AM19" s="4">
        <v>1</v>
      </c>
      <c r="AN19" s="4">
        <v>0</v>
      </c>
      <c r="AO19" s="4">
        <v>0</v>
      </c>
      <c r="AP19" s="3" t="s">
        <v>58</v>
      </c>
      <c r="AQ19" s="3" t="s">
        <v>58</v>
      </c>
      <c r="AS19" s="6" t="str">
        <f t="shared" si="0"/>
        <v>Catalog Record</v>
      </c>
      <c r="AT19" s="6" t="str">
        <f t="shared" si="1"/>
        <v>WorldCat Record</v>
      </c>
      <c r="AU19" s="3" t="s">
        <v>251</v>
      </c>
      <c r="AV19" s="3" t="s">
        <v>252</v>
      </c>
      <c r="AW19" s="3" t="s">
        <v>253</v>
      </c>
      <c r="AX19" s="3" t="s">
        <v>253</v>
      </c>
      <c r="AY19" s="3" t="s">
        <v>254</v>
      </c>
      <c r="AZ19" s="3" t="s">
        <v>74</v>
      </c>
      <c r="BC19" s="3" t="s">
        <v>270</v>
      </c>
      <c r="BD19" s="3" t="s">
        <v>271</v>
      </c>
    </row>
    <row r="20" spans="1:56" ht="30" customHeight="1" x14ac:dyDescent="0.25">
      <c r="A20" s="8" t="s">
        <v>58</v>
      </c>
      <c r="B20" s="2" t="s">
        <v>244</v>
      </c>
      <c r="C20" s="2" t="s">
        <v>245</v>
      </c>
      <c r="D20" s="2" t="s">
        <v>246</v>
      </c>
      <c r="E20" s="3" t="s">
        <v>272</v>
      </c>
      <c r="F20" s="3" t="s">
        <v>103</v>
      </c>
      <c r="G20" s="3" t="s">
        <v>59</v>
      </c>
      <c r="H20" s="3" t="s">
        <v>58</v>
      </c>
      <c r="I20" s="3" t="s">
        <v>58</v>
      </c>
      <c r="J20" s="3" t="s">
        <v>60</v>
      </c>
      <c r="L20" s="2" t="s">
        <v>248</v>
      </c>
      <c r="M20" s="3" t="s">
        <v>249</v>
      </c>
      <c r="O20" s="3" t="s">
        <v>64</v>
      </c>
      <c r="P20" s="3" t="s">
        <v>99</v>
      </c>
      <c r="R20" s="3" t="s">
        <v>67</v>
      </c>
      <c r="S20" s="4">
        <v>0</v>
      </c>
      <c r="T20" s="4">
        <v>2</v>
      </c>
      <c r="V20" s="5" t="s">
        <v>250</v>
      </c>
      <c r="W20" s="5" t="s">
        <v>102</v>
      </c>
      <c r="X20" s="5" t="s">
        <v>102</v>
      </c>
      <c r="Y20" s="4">
        <v>37</v>
      </c>
      <c r="Z20" s="4">
        <v>32</v>
      </c>
      <c r="AA20" s="4">
        <v>43</v>
      </c>
      <c r="AB20" s="4">
        <v>3</v>
      </c>
      <c r="AC20" s="4">
        <v>3</v>
      </c>
      <c r="AD20" s="4">
        <v>2</v>
      </c>
      <c r="AE20" s="4">
        <v>2</v>
      </c>
      <c r="AF20" s="4">
        <v>0</v>
      </c>
      <c r="AG20" s="4">
        <v>0</v>
      </c>
      <c r="AH20" s="4">
        <v>0</v>
      </c>
      <c r="AI20" s="4">
        <v>0</v>
      </c>
      <c r="AJ20" s="4">
        <v>1</v>
      </c>
      <c r="AK20" s="4">
        <v>1</v>
      </c>
      <c r="AL20" s="4">
        <v>1</v>
      </c>
      <c r="AM20" s="4">
        <v>1</v>
      </c>
      <c r="AN20" s="4">
        <v>0</v>
      </c>
      <c r="AO20" s="4">
        <v>0</v>
      </c>
      <c r="AP20" s="3" t="s">
        <v>58</v>
      </c>
      <c r="AQ20" s="3" t="s">
        <v>58</v>
      </c>
      <c r="AS20" s="6" t="str">
        <f t="shared" si="0"/>
        <v>Catalog Record</v>
      </c>
      <c r="AT20" s="6" t="str">
        <f t="shared" si="1"/>
        <v>WorldCat Record</v>
      </c>
      <c r="AU20" s="3" t="s">
        <v>251</v>
      </c>
      <c r="AV20" s="3" t="s">
        <v>252</v>
      </c>
      <c r="AW20" s="3" t="s">
        <v>253</v>
      </c>
      <c r="AX20" s="3" t="s">
        <v>253</v>
      </c>
      <c r="AY20" s="3" t="s">
        <v>254</v>
      </c>
      <c r="AZ20" s="3" t="s">
        <v>74</v>
      </c>
      <c r="BC20" s="3" t="s">
        <v>273</v>
      </c>
      <c r="BD20" s="3" t="s">
        <v>274</v>
      </c>
    </row>
    <row r="21" spans="1:56" ht="30" customHeight="1" x14ac:dyDescent="0.25">
      <c r="A21" s="8" t="s">
        <v>58</v>
      </c>
      <c r="B21" s="2" t="s">
        <v>244</v>
      </c>
      <c r="C21" s="2" t="s">
        <v>245</v>
      </c>
      <c r="D21" s="2" t="s">
        <v>246</v>
      </c>
      <c r="E21" s="3" t="s">
        <v>275</v>
      </c>
      <c r="F21" s="3" t="s">
        <v>103</v>
      </c>
      <c r="G21" s="3" t="s">
        <v>59</v>
      </c>
      <c r="H21" s="3" t="s">
        <v>58</v>
      </c>
      <c r="I21" s="3" t="s">
        <v>58</v>
      </c>
      <c r="J21" s="3" t="s">
        <v>60</v>
      </c>
      <c r="L21" s="2" t="s">
        <v>248</v>
      </c>
      <c r="M21" s="3" t="s">
        <v>249</v>
      </c>
      <c r="O21" s="3" t="s">
        <v>64</v>
      </c>
      <c r="P21" s="3" t="s">
        <v>99</v>
      </c>
      <c r="R21" s="3" t="s">
        <v>67</v>
      </c>
      <c r="S21" s="4">
        <v>0</v>
      </c>
      <c r="T21" s="4">
        <v>2</v>
      </c>
      <c r="V21" s="5" t="s">
        <v>250</v>
      </c>
      <c r="W21" s="5" t="s">
        <v>102</v>
      </c>
      <c r="X21" s="5" t="s">
        <v>102</v>
      </c>
      <c r="Y21" s="4">
        <v>37</v>
      </c>
      <c r="Z21" s="4">
        <v>32</v>
      </c>
      <c r="AA21" s="4">
        <v>43</v>
      </c>
      <c r="AB21" s="4">
        <v>3</v>
      </c>
      <c r="AC21" s="4">
        <v>3</v>
      </c>
      <c r="AD21" s="4">
        <v>2</v>
      </c>
      <c r="AE21" s="4">
        <v>2</v>
      </c>
      <c r="AF21" s="4">
        <v>0</v>
      </c>
      <c r="AG21" s="4">
        <v>0</v>
      </c>
      <c r="AH21" s="4">
        <v>0</v>
      </c>
      <c r="AI21" s="4">
        <v>0</v>
      </c>
      <c r="AJ21" s="4">
        <v>1</v>
      </c>
      <c r="AK21" s="4">
        <v>1</v>
      </c>
      <c r="AL21" s="4">
        <v>1</v>
      </c>
      <c r="AM21" s="4">
        <v>1</v>
      </c>
      <c r="AN21" s="4">
        <v>0</v>
      </c>
      <c r="AO21" s="4">
        <v>0</v>
      </c>
      <c r="AP21" s="3" t="s">
        <v>58</v>
      </c>
      <c r="AQ21" s="3" t="s">
        <v>58</v>
      </c>
      <c r="AS21" s="6" t="str">
        <f t="shared" si="0"/>
        <v>Catalog Record</v>
      </c>
      <c r="AT21" s="6" t="str">
        <f t="shared" si="1"/>
        <v>WorldCat Record</v>
      </c>
      <c r="AU21" s="3" t="s">
        <v>251</v>
      </c>
      <c r="AV21" s="3" t="s">
        <v>252</v>
      </c>
      <c r="AW21" s="3" t="s">
        <v>253</v>
      </c>
      <c r="AX21" s="3" t="s">
        <v>253</v>
      </c>
      <c r="AY21" s="3" t="s">
        <v>254</v>
      </c>
      <c r="AZ21" s="3" t="s">
        <v>74</v>
      </c>
      <c r="BC21" s="3" t="s">
        <v>276</v>
      </c>
      <c r="BD21" s="3" t="s">
        <v>277</v>
      </c>
    </row>
    <row r="22" spans="1:56" ht="30" customHeight="1" x14ac:dyDescent="0.25">
      <c r="A22" s="8" t="s">
        <v>58</v>
      </c>
      <c r="B22" s="2" t="s">
        <v>244</v>
      </c>
      <c r="C22" s="2" t="s">
        <v>245</v>
      </c>
      <c r="D22" s="2" t="s">
        <v>246</v>
      </c>
      <c r="E22" s="3" t="s">
        <v>278</v>
      </c>
      <c r="F22" s="3" t="s">
        <v>103</v>
      </c>
      <c r="G22" s="3" t="s">
        <v>59</v>
      </c>
      <c r="H22" s="3" t="s">
        <v>58</v>
      </c>
      <c r="I22" s="3" t="s">
        <v>58</v>
      </c>
      <c r="J22" s="3" t="s">
        <v>60</v>
      </c>
      <c r="L22" s="2" t="s">
        <v>248</v>
      </c>
      <c r="M22" s="3" t="s">
        <v>249</v>
      </c>
      <c r="O22" s="3" t="s">
        <v>64</v>
      </c>
      <c r="P22" s="3" t="s">
        <v>99</v>
      </c>
      <c r="R22" s="3" t="s">
        <v>67</v>
      </c>
      <c r="S22" s="4">
        <v>0</v>
      </c>
      <c r="T22" s="4">
        <v>2</v>
      </c>
      <c r="V22" s="5" t="s">
        <v>250</v>
      </c>
      <c r="W22" s="5" t="s">
        <v>102</v>
      </c>
      <c r="X22" s="5" t="s">
        <v>102</v>
      </c>
      <c r="Y22" s="4">
        <v>37</v>
      </c>
      <c r="Z22" s="4">
        <v>32</v>
      </c>
      <c r="AA22" s="4">
        <v>43</v>
      </c>
      <c r="AB22" s="4">
        <v>3</v>
      </c>
      <c r="AC22" s="4">
        <v>3</v>
      </c>
      <c r="AD22" s="4">
        <v>2</v>
      </c>
      <c r="AE22" s="4">
        <v>2</v>
      </c>
      <c r="AF22" s="4">
        <v>0</v>
      </c>
      <c r="AG22" s="4">
        <v>0</v>
      </c>
      <c r="AH22" s="4">
        <v>0</v>
      </c>
      <c r="AI22" s="4">
        <v>0</v>
      </c>
      <c r="AJ22" s="4">
        <v>1</v>
      </c>
      <c r="AK22" s="4">
        <v>1</v>
      </c>
      <c r="AL22" s="4">
        <v>1</v>
      </c>
      <c r="AM22" s="4">
        <v>1</v>
      </c>
      <c r="AN22" s="4">
        <v>0</v>
      </c>
      <c r="AO22" s="4">
        <v>0</v>
      </c>
      <c r="AP22" s="3" t="s">
        <v>58</v>
      </c>
      <c r="AQ22" s="3" t="s">
        <v>58</v>
      </c>
      <c r="AS22" s="6" t="str">
        <f t="shared" si="0"/>
        <v>Catalog Record</v>
      </c>
      <c r="AT22" s="6" t="str">
        <f t="shared" si="1"/>
        <v>WorldCat Record</v>
      </c>
      <c r="AU22" s="3" t="s">
        <v>251</v>
      </c>
      <c r="AV22" s="3" t="s">
        <v>252</v>
      </c>
      <c r="AW22" s="3" t="s">
        <v>253</v>
      </c>
      <c r="AX22" s="3" t="s">
        <v>253</v>
      </c>
      <c r="AY22" s="3" t="s">
        <v>254</v>
      </c>
      <c r="AZ22" s="3" t="s">
        <v>74</v>
      </c>
      <c r="BC22" s="3" t="s">
        <v>279</v>
      </c>
      <c r="BD22" s="3" t="s">
        <v>280</v>
      </c>
    </row>
    <row r="23" spans="1:56" ht="30" customHeight="1" x14ac:dyDescent="0.25">
      <c r="A23" s="8" t="s">
        <v>58</v>
      </c>
      <c r="B23" s="2" t="s">
        <v>244</v>
      </c>
      <c r="C23" s="2" t="s">
        <v>245</v>
      </c>
      <c r="D23" s="2" t="s">
        <v>246</v>
      </c>
      <c r="E23" s="3" t="s">
        <v>281</v>
      </c>
      <c r="F23" s="3" t="s">
        <v>103</v>
      </c>
      <c r="G23" s="3" t="s">
        <v>59</v>
      </c>
      <c r="H23" s="3" t="s">
        <v>58</v>
      </c>
      <c r="I23" s="3" t="s">
        <v>58</v>
      </c>
      <c r="J23" s="3" t="s">
        <v>60</v>
      </c>
      <c r="L23" s="2" t="s">
        <v>248</v>
      </c>
      <c r="M23" s="3" t="s">
        <v>249</v>
      </c>
      <c r="O23" s="3" t="s">
        <v>64</v>
      </c>
      <c r="P23" s="3" t="s">
        <v>99</v>
      </c>
      <c r="R23" s="3" t="s">
        <v>67</v>
      </c>
      <c r="S23" s="4">
        <v>0</v>
      </c>
      <c r="T23" s="4">
        <v>2</v>
      </c>
      <c r="V23" s="5" t="s">
        <v>250</v>
      </c>
      <c r="W23" s="5" t="s">
        <v>102</v>
      </c>
      <c r="X23" s="5" t="s">
        <v>102</v>
      </c>
      <c r="Y23" s="4">
        <v>37</v>
      </c>
      <c r="Z23" s="4">
        <v>32</v>
      </c>
      <c r="AA23" s="4">
        <v>43</v>
      </c>
      <c r="AB23" s="4">
        <v>3</v>
      </c>
      <c r="AC23" s="4">
        <v>3</v>
      </c>
      <c r="AD23" s="4">
        <v>2</v>
      </c>
      <c r="AE23" s="4">
        <v>2</v>
      </c>
      <c r="AF23" s="4">
        <v>0</v>
      </c>
      <c r="AG23" s="4">
        <v>0</v>
      </c>
      <c r="AH23" s="4">
        <v>0</v>
      </c>
      <c r="AI23" s="4">
        <v>0</v>
      </c>
      <c r="AJ23" s="4">
        <v>1</v>
      </c>
      <c r="AK23" s="4">
        <v>1</v>
      </c>
      <c r="AL23" s="4">
        <v>1</v>
      </c>
      <c r="AM23" s="4">
        <v>1</v>
      </c>
      <c r="AN23" s="4">
        <v>0</v>
      </c>
      <c r="AO23" s="4">
        <v>0</v>
      </c>
      <c r="AP23" s="3" t="s">
        <v>58</v>
      </c>
      <c r="AQ23" s="3" t="s">
        <v>58</v>
      </c>
      <c r="AS23" s="6" t="str">
        <f t="shared" si="0"/>
        <v>Catalog Record</v>
      </c>
      <c r="AT23" s="6" t="str">
        <f t="shared" si="1"/>
        <v>WorldCat Record</v>
      </c>
      <c r="AU23" s="3" t="s">
        <v>251</v>
      </c>
      <c r="AV23" s="3" t="s">
        <v>252</v>
      </c>
      <c r="AW23" s="3" t="s">
        <v>253</v>
      </c>
      <c r="AX23" s="3" t="s">
        <v>253</v>
      </c>
      <c r="AY23" s="3" t="s">
        <v>254</v>
      </c>
      <c r="AZ23" s="3" t="s">
        <v>74</v>
      </c>
      <c r="BC23" s="3" t="s">
        <v>282</v>
      </c>
      <c r="BD23" s="3" t="s">
        <v>283</v>
      </c>
    </row>
    <row r="24" spans="1:56" ht="30" customHeight="1" x14ac:dyDescent="0.25">
      <c r="A24" s="8" t="s">
        <v>58</v>
      </c>
      <c r="B24" s="2" t="s">
        <v>244</v>
      </c>
      <c r="C24" s="2" t="s">
        <v>245</v>
      </c>
      <c r="D24" s="2" t="s">
        <v>246</v>
      </c>
      <c r="E24" s="3" t="s">
        <v>284</v>
      </c>
      <c r="F24" s="3" t="s">
        <v>103</v>
      </c>
      <c r="G24" s="3" t="s">
        <v>59</v>
      </c>
      <c r="H24" s="3" t="s">
        <v>58</v>
      </c>
      <c r="I24" s="3" t="s">
        <v>58</v>
      </c>
      <c r="J24" s="3" t="s">
        <v>60</v>
      </c>
      <c r="L24" s="2" t="s">
        <v>248</v>
      </c>
      <c r="M24" s="3" t="s">
        <v>249</v>
      </c>
      <c r="O24" s="3" t="s">
        <v>64</v>
      </c>
      <c r="P24" s="3" t="s">
        <v>99</v>
      </c>
      <c r="R24" s="3" t="s">
        <v>67</v>
      </c>
      <c r="S24" s="4">
        <v>0</v>
      </c>
      <c r="T24" s="4">
        <v>2</v>
      </c>
      <c r="V24" s="5" t="s">
        <v>250</v>
      </c>
      <c r="W24" s="5" t="s">
        <v>102</v>
      </c>
      <c r="X24" s="5" t="s">
        <v>102</v>
      </c>
      <c r="Y24" s="4">
        <v>37</v>
      </c>
      <c r="Z24" s="4">
        <v>32</v>
      </c>
      <c r="AA24" s="4">
        <v>43</v>
      </c>
      <c r="AB24" s="4">
        <v>3</v>
      </c>
      <c r="AC24" s="4">
        <v>3</v>
      </c>
      <c r="AD24" s="4">
        <v>2</v>
      </c>
      <c r="AE24" s="4">
        <v>2</v>
      </c>
      <c r="AF24" s="4">
        <v>0</v>
      </c>
      <c r="AG24" s="4">
        <v>0</v>
      </c>
      <c r="AH24" s="4">
        <v>0</v>
      </c>
      <c r="AI24" s="4">
        <v>0</v>
      </c>
      <c r="AJ24" s="4">
        <v>1</v>
      </c>
      <c r="AK24" s="4">
        <v>1</v>
      </c>
      <c r="AL24" s="4">
        <v>1</v>
      </c>
      <c r="AM24" s="4">
        <v>1</v>
      </c>
      <c r="AN24" s="4">
        <v>0</v>
      </c>
      <c r="AO24" s="4">
        <v>0</v>
      </c>
      <c r="AP24" s="3" t="s">
        <v>58</v>
      </c>
      <c r="AQ24" s="3" t="s">
        <v>58</v>
      </c>
      <c r="AS24" s="6" t="str">
        <f t="shared" si="0"/>
        <v>Catalog Record</v>
      </c>
      <c r="AT24" s="6" t="str">
        <f t="shared" si="1"/>
        <v>WorldCat Record</v>
      </c>
      <c r="AU24" s="3" t="s">
        <v>251</v>
      </c>
      <c r="AV24" s="3" t="s">
        <v>252</v>
      </c>
      <c r="AW24" s="3" t="s">
        <v>253</v>
      </c>
      <c r="AX24" s="3" t="s">
        <v>253</v>
      </c>
      <c r="AY24" s="3" t="s">
        <v>254</v>
      </c>
      <c r="AZ24" s="3" t="s">
        <v>74</v>
      </c>
      <c r="BC24" s="3" t="s">
        <v>285</v>
      </c>
      <c r="BD24" s="3" t="s">
        <v>286</v>
      </c>
    </row>
    <row r="25" spans="1:56" ht="30" customHeight="1" x14ac:dyDescent="0.25">
      <c r="A25" s="8" t="s">
        <v>58</v>
      </c>
      <c r="B25" s="2" t="s">
        <v>244</v>
      </c>
      <c r="C25" s="2" t="s">
        <v>245</v>
      </c>
      <c r="D25" s="2" t="s">
        <v>246</v>
      </c>
      <c r="E25" s="3" t="s">
        <v>287</v>
      </c>
      <c r="F25" s="3" t="s">
        <v>103</v>
      </c>
      <c r="G25" s="3" t="s">
        <v>59</v>
      </c>
      <c r="H25" s="3" t="s">
        <v>58</v>
      </c>
      <c r="I25" s="3" t="s">
        <v>58</v>
      </c>
      <c r="J25" s="3" t="s">
        <v>60</v>
      </c>
      <c r="L25" s="2" t="s">
        <v>248</v>
      </c>
      <c r="M25" s="3" t="s">
        <v>249</v>
      </c>
      <c r="O25" s="3" t="s">
        <v>64</v>
      </c>
      <c r="P25" s="3" t="s">
        <v>99</v>
      </c>
      <c r="R25" s="3" t="s">
        <v>67</v>
      </c>
      <c r="S25" s="4">
        <v>0</v>
      </c>
      <c r="T25" s="4">
        <v>2</v>
      </c>
      <c r="V25" s="5" t="s">
        <v>250</v>
      </c>
      <c r="W25" s="5" t="s">
        <v>102</v>
      </c>
      <c r="X25" s="5" t="s">
        <v>102</v>
      </c>
      <c r="Y25" s="4">
        <v>37</v>
      </c>
      <c r="Z25" s="4">
        <v>32</v>
      </c>
      <c r="AA25" s="4">
        <v>43</v>
      </c>
      <c r="AB25" s="4">
        <v>3</v>
      </c>
      <c r="AC25" s="4">
        <v>3</v>
      </c>
      <c r="AD25" s="4">
        <v>2</v>
      </c>
      <c r="AE25" s="4">
        <v>2</v>
      </c>
      <c r="AF25" s="4">
        <v>0</v>
      </c>
      <c r="AG25" s="4">
        <v>0</v>
      </c>
      <c r="AH25" s="4">
        <v>0</v>
      </c>
      <c r="AI25" s="4">
        <v>0</v>
      </c>
      <c r="AJ25" s="4">
        <v>1</v>
      </c>
      <c r="AK25" s="4">
        <v>1</v>
      </c>
      <c r="AL25" s="4">
        <v>1</v>
      </c>
      <c r="AM25" s="4">
        <v>1</v>
      </c>
      <c r="AN25" s="4">
        <v>0</v>
      </c>
      <c r="AO25" s="4">
        <v>0</v>
      </c>
      <c r="AP25" s="3" t="s">
        <v>58</v>
      </c>
      <c r="AQ25" s="3" t="s">
        <v>58</v>
      </c>
      <c r="AS25" s="6" t="str">
        <f t="shared" si="0"/>
        <v>Catalog Record</v>
      </c>
      <c r="AT25" s="6" t="str">
        <f t="shared" si="1"/>
        <v>WorldCat Record</v>
      </c>
      <c r="AU25" s="3" t="s">
        <v>251</v>
      </c>
      <c r="AV25" s="3" t="s">
        <v>252</v>
      </c>
      <c r="AW25" s="3" t="s">
        <v>253</v>
      </c>
      <c r="AX25" s="3" t="s">
        <v>253</v>
      </c>
      <c r="AY25" s="3" t="s">
        <v>254</v>
      </c>
      <c r="AZ25" s="3" t="s">
        <v>74</v>
      </c>
      <c r="BC25" s="3" t="s">
        <v>288</v>
      </c>
      <c r="BD25" s="3" t="s">
        <v>289</v>
      </c>
    </row>
    <row r="26" spans="1:56" ht="30" customHeight="1" x14ac:dyDescent="0.25">
      <c r="A26" s="8" t="s">
        <v>58</v>
      </c>
      <c r="B26" s="2" t="s">
        <v>244</v>
      </c>
      <c r="C26" s="2" t="s">
        <v>245</v>
      </c>
      <c r="D26" s="2" t="s">
        <v>246</v>
      </c>
      <c r="E26" s="3" t="s">
        <v>290</v>
      </c>
      <c r="F26" s="3" t="s">
        <v>103</v>
      </c>
      <c r="G26" s="3" t="s">
        <v>59</v>
      </c>
      <c r="H26" s="3" t="s">
        <v>58</v>
      </c>
      <c r="I26" s="3" t="s">
        <v>58</v>
      </c>
      <c r="J26" s="3" t="s">
        <v>60</v>
      </c>
      <c r="L26" s="2" t="s">
        <v>248</v>
      </c>
      <c r="M26" s="3" t="s">
        <v>249</v>
      </c>
      <c r="O26" s="3" t="s">
        <v>64</v>
      </c>
      <c r="P26" s="3" t="s">
        <v>99</v>
      </c>
      <c r="R26" s="3" t="s">
        <v>67</v>
      </c>
      <c r="S26" s="4">
        <v>0</v>
      </c>
      <c r="T26" s="4">
        <v>2</v>
      </c>
      <c r="V26" s="5" t="s">
        <v>250</v>
      </c>
      <c r="W26" s="5" t="s">
        <v>102</v>
      </c>
      <c r="X26" s="5" t="s">
        <v>102</v>
      </c>
      <c r="Y26" s="4">
        <v>37</v>
      </c>
      <c r="Z26" s="4">
        <v>32</v>
      </c>
      <c r="AA26" s="4">
        <v>43</v>
      </c>
      <c r="AB26" s="4">
        <v>3</v>
      </c>
      <c r="AC26" s="4">
        <v>3</v>
      </c>
      <c r="AD26" s="4">
        <v>2</v>
      </c>
      <c r="AE26" s="4">
        <v>2</v>
      </c>
      <c r="AF26" s="4">
        <v>0</v>
      </c>
      <c r="AG26" s="4">
        <v>0</v>
      </c>
      <c r="AH26" s="4">
        <v>0</v>
      </c>
      <c r="AI26" s="4">
        <v>0</v>
      </c>
      <c r="AJ26" s="4">
        <v>1</v>
      </c>
      <c r="AK26" s="4">
        <v>1</v>
      </c>
      <c r="AL26" s="4">
        <v>1</v>
      </c>
      <c r="AM26" s="4">
        <v>1</v>
      </c>
      <c r="AN26" s="4">
        <v>0</v>
      </c>
      <c r="AO26" s="4">
        <v>0</v>
      </c>
      <c r="AP26" s="3" t="s">
        <v>58</v>
      </c>
      <c r="AQ26" s="3" t="s">
        <v>58</v>
      </c>
      <c r="AS26" s="6" t="str">
        <f t="shared" si="0"/>
        <v>Catalog Record</v>
      </c>
      <c r="AT26" s="6" t="str">
        <f t="shared" si="1"/>
        <v>WorldCat Record</v>
      </c>
      <c r="AU26" s="3" t="s">
        <v>251</v>
      </c>
      <c r="AV26" s="3" t="s">
        <v>252</v>
      </c>
      <c r="AW26" s="3" t="s">
        <v>253</v>
      </c>
      <c r="AX26" s="3" t="s">
        <v>253</v>
      </c>
      <c r="AY26" s="3" t="s">
        <v>254</v>
      </c>
      <c r="AZ26" s="3" t="s">
        <v>74</v>
      </c>
      <c r="BC26" s="3" t="s">
        <v>291</v>
      </c>
      <c r="BD26" s="3" t="s">
        <v>292</v>
      </c>
    </row>
    <row r="27" spans="1:56" ht="30" customHeight="1" x14ac:dyDescent="0.25">
      <c r="A27" s="8" t="s">
        <v>58</v>
      </c>
      <c r="B27" s="2" t="s">
        <v>293</v>
      </c>
      <c r="C27" s="2" t="s">
        <v>294</v>
      </c>
      <c r="D27" s="2" t="s">
        <v>295</v>
      </c>
      <c r="F27" s="3" t="s">
        <v>58</v>
      </c>
      <c r="G27" s="3" t="s">
        <v>59</v>
      </c>
      <c r="H27" s="3" t="s">
        <v>58</v>
      </c>
      <c r="I27" s="3" t="s">
        <v>58</v>
      </c>
      <c r="J27" s="3" t="s">
        <v>60</v>
      </c>
      <c r="K27" s="2" t="s">
        <v>296</v>
      </c>
      <c r="L27" s="2" t="s">
        <v>297</v>
      </c>
      <c r="M27" s="3" t="s">
        <v>298</v>
      </c>
      <c r="N27" s="2" t="s">
        <v>299</v>
      </c>
      <c r="O27" s="3" t="s">
        <v>64</v>
      </c>
      <c r="P27" s="3" t="s">
        <v>133</v>
      </c>
      <c r="Q27" s="2" t="s">
        <v>300</v>
      </c>
      <c r="R27" s="3" t="s">
        <v>67</v>
      </c>
      <c r="S27" s="4">
        <v>3</v>
      </c>
      <c r="T27" s="4">
        <v>3</v>
      </c>
      <c r="U27" s="5" t="s">
        <v>301</v>
      </c>
      <c r="V27" s="5" t="s">
        <v>301</v>
      </c>
      <c r="W27" s="5" t="s">
        <v>102</v>
      </c>
      <c r="X27" s="5" t="s">
        <v>102</v>
      </c>
      <c r="Y27" s="4">
        <v>230</v>
      </c>
      <c r="Z27" s="4">
        <v>180</v>
      </c>
      <c r="AA27" s="4">
        <v>305</v>
      </c>
      <c r="AB27" s="4">
        <v>2</v>
      </c>
      <c r="AC27" s="4">
        <v>2</v>
      </c>
      <c r="AD27" s="4">
        <v>3</v>
      </c>
      <c r="AE27" s="4">
        <v>6</v>
      </c>
      <c r="AF27" s="4">
        <v>1</v>
      </c>
      <c r="AG27" s="4">
        <v>1</v>
      </c>
      <c r="AH27" s="4">
        <v>0</v>
      </c>
      <c r="AI27" s="4">
        <v>0</v>
      </c>
      <c r="AJ27" s="4">
        <v>1</v>
      </c>
      <c r="AK27" s="4">
        <v>4</v>
      </c>
      <c r="AL27" s="4">
        <v>1</v>
      </c>
      <c r="AM27" s="4">
        <v>1</v>
      </c>
      <c r="AN27" s="4">
        <v>0</v>
      </c>
      <c r="AO27" s="4">
        <v>0</v>
      </c>
      <c r="AP27" s="3" t="s">
        <v>58</v>
      </c>
      <c r="AQ27" s="3" t="s">
        <v>103</v>
      </c>
      <c r="AR27" s="6" t="str">
        <f>HYPERLINK("http://catalog.hathitrust.org/Record/004415723","HathiTrust Record")</f>
        <v>HathiTrust Record</v>
      </c>
      <c r="AS27" s="6" t="str">
        <f>HYPERLINK("https://creighton-primo.hosted.exlibrisgroup.com/primo-explore/search?tab=default_tab&amp;search_scope=EVERYTHING&amp;vid=01CRU&amp;lang=en_US&amp;offset=0&amp;query=any,contains,991005264099702656","Catalog Record")</f>
        <v>Catalog Record</v>
      </c>
      <c r="AT27" s="6" t="str">
        <f>HYPERLINK("http://www.worldcat.org/oclc/4498441","WorldCat Record")</f>
        <v>WorldCat Record</v>
      </c>
      <c r="AU27" s="3" t="s">
        <v>302</v>
      </c>
      <c r="AV27" s="3" t="s">
        <v>303</v>
      </c>
      <c r="AW27" s="3" t="s">
        <v>304</v>
      </c>
      <c r="AX27" s="3" t="s">
        <v>304</v>
      </c>
      <c r="AY27" s="3" t="s">
        <v>305</v>
      </c>
      <c r="AZ27" s="3" t="s">
        <v>74</v>
      </c>
      <c r="BB27" s="3" t="s">
        <v>306</v>
      </c>
      <c r="BC27" s="3" t="s">
        <v>307</v>
      </c>
      <c r="BD27" s="3" t="s">
        <v>308</v>
      </c>
    </row>
    <row r="28" spans="1:56" ht="30" customHeight="1" x14ac:dyDescent="0.25">
      <c r="A28" s="8" t="s">
        <v>58</v>
      </c>
      <c r="B28" s="2" t="s">
        <v>309</v>
      </c>
      <c r="C28" s="2" t="s">
        <v>310</v>
      </c>
      <c r="D28" s="2" t="s">
        <v>311</v>
      </c>
      <c r="F28" s="3" t="s">
        <v>58</v>
      </c>
      <c r="G28" s="3" t="s">
        <v>59</v>
      </c>
      <c r="H28" s="3" t="s">
        <v>58</v>
      </c>
      <c r="I28" s="3" t="s">
        <v>103</v>
      </c>
      <c r="J28" s="3" t="s">
        <v>60</v>
      </c>
      <c r="L28" s="2" t="s">
        <v>312</v>
      </c>
      <c r="M28" s="3" t="s">
        <v>313</v>
      </c>
      <c r="N28" s="2" t="s">
        <v>314</v>
      </c>
      <c r="O28" s="3" t="s">
        <v>64</v>
      </c>
      <c r="P28" s="3" t="s">
        <v>315</v>
      </c>
      <c r="R28" s="3" t="s">
        <v>67</v>
      </c>
      <c r="S28" s="4">
        <v>13</v>
      </c>
      <c r="T28" s="4">
        <v>13</v>
      </c>
      <c r="U28" s="5" t="s">
        <v>316</v>
      </c>
      <c r="V28" s="5" t="s">
        <v>316</v>
      </c>
      <c r="W28" s="5" t="s">
        <v>317</v>
      </c>
      <c r="X28" s="5" t="s">
        <v>317</v>
      </c>
      <c r="Y28" s="4">
        <v>622</v>
      </c>
      <c r="Z28" s="4">
        <v>569</v>
      </c>
      <c r="AA28" s="4">
        <v>1741</v>
      </c>
      <c r="AB28" s="4">
        <v>6</v>
      </c>
      <c r="AC28" s="4">
        <v>15</v>
      </c>
      <c r="AD28" s="4">
        <v>9</v>
      </c>
      <c r="AE28" s="4">
        <v>40</v>
      </c>
      <c r="AF28" s="4">
        <v>3</v>
      </c>
      <c r="AG28" s="4">
        <v>17</v>
      </c>
      <c r="AH28" s="4">
        <v>3</v>
      </c>
      <c r="AI28" s="4">
        <v>9</v>
      </c>
      <c r="AJ28" s="4">
        <v>1</v>
      </c>
      <c r="AK28" s="4">
        <v>13</v>
      </c>
      <c r="AL28" s="4">
        <v>2</v>
      </c>
      <c r="AM28" s="4">
        <v>8</v>
      </c>
      <c r="AN28" s="4">
        <v>0</v>
      </c>
      <c r="AO28" s="4">
        <v>0</v>
      </c>
      <c r="AP28" s="3" t="s">
        <v>58</v>
      </c>
      <c r="AQ28" s="3" t="s">
        <v>103</v>
      </c>
      <c r="AR28" s="6" t="str">
        <f>HYPERLINK("http://catalog.hathitrust.org/Record/000356696","HathiTrust Record")</f>
        <v>HathiTrust Record</v>
      </c>
      <c r="AS28" s="6" t="str">
        <f>HYPERLINK("https://creighton-primo.hosted.exlibrisgroup.com/primo-explore/search?tab=default_tab&amp;search_scope=EVERYTHING&amp;vid=01CRU&amp;lang=en_US&amp;offset=0&amp;query=any,contains,991000719179702656","Catalog Record")</f>
        <v>Catalog Record</v>
      </c>
      <c r="AT28" s="6" t="str">
        <f>HYPERLINK("http://www.worldcat.org/oclc/12664155","WorldCat Record")</f>
        <v>WorldCat Record</v>
      </c>
      <c r="AU28" s="3" t="s">
        <v>318</v>
      </c>
      <c r="AV28" s="3" t="s">
        <v>319</v>
      </c>
      <c r="AW28" s="3" t="s">
        <v>320</v>
      </c>
      <c r="AX28" s="3" t="s">
        <v>320</v>
      </c>
      <c r="AY28" s="3" t="s">
        <v>321</v>
      </c>
      <c r="AZ28" s="3" t="s">
        <v>74</v>
      </c>
      <c r="BB28" s="3" t="s">
        <v>322</v>
      </c>
      <c r="BC28" s="3" t="s">
        <v>323</v>
      </c>
      <c r="BD28" s="3" t="s">
        <v>324</v>
      </c>
    </row>
    <row r="29" spans="1:56" ht="30" customHeight="1" x14ac:dyDescent="0.25">
      <c r="A29" s="8" t="s">
        <v>58</v>
      </c>
      <c r="B29" s="2" t="s">
        <v>325</v>
      </c>
      <c r="C29" s="2" t="s">
        <v>326</v>
      </c>
      <c r="D29" s="2" t="s">
        <v>327</v>
      </c>
      <c r="F29" s="3" t="s">
        <v>58</v>
      </c>
      <c r="G29" s="3" t="s">
        <v>59</v>
      </c>
      <c r="H29" s="3" t="s">
        <v>58</v>
      </c>
      <c r="I29" s="3" t="s">
        <v>58</v>
      </c>
      <c r="J29" s="3" t="s">
        <v>60</v>
      </c>
      <c r="K29" s="2" t="s">
        <v>328</v>
      </c>
      <c r="L29" s="2" t="s">
        <v>329</v>
      </c>
      <c r="M29" s="3" t="s">
        <v>330</v>
      </c>
      <c r="N29" s="2" t="s">
        <v>331</v>
      </c>
      <c r="O29" s="3" t="s">
        <v>64</v>
      </c>
      <c r="P29" s="3" t="s">
        <v>133</v>
      </c>
      <c r="R29" s="3" t="s">
        <v>67</v>
      </c>
      <c r="S29" s="4">
        <v>15</v>
      </c>
      <c r="T29" s="4">
        <v>15</v>
      </c>
      <c r="U29" s="5" t="s">
        <v>236</v>
      </c>
      <c r="V29" s="5" t="s">
        <v>236</v>
      </c>
      <c r="W29" s="5" t="s">
        <v>332</v>
      </c>
      <c r="X29" s="5" t="s">
        <v>332</v>
      </c>
      <c r="Y29" s="4">
        <v>194</v>
      </c>
      <c r="Z29" s="4">
        <v>155</v>
      </c>
      <c r="AA29" s="4">
        <v>266</v>
      </c>
      <c r="AB29" s="4">
        <v>1</v>
      </c>
      <c r="AC29" s="4">
        <v>2</v>
      </c>
      <c r="AD29" s="4">
        <v>2</v>
      </c>
      <c r="AE29" s="4">
        <v>6</v>
      </c>
      <c r="AF29" s="4">
        <v>1</v>
      </c>
      <c r="AG29" s="4">
        <v>1</v>
      </c>
      <c r="AH29" s="4">
        <v>0</v>
      </c>
      <c r="AI29" s="4">
        <v>1</v>
      </c>
      <c r="AJ29" s="4">
        <v>1</v>
      </c>
      <c r="AK29" s="4">
        <v>3</v>
      </c>
      <c r="AL29" s="4">
        <v>0</v>
      </c>
      <c r="AM29" s="4">
        <v>1</v>
      </c>
      <c r="AN29" s="4">
        <v>0</v>
      </c>
      <c r="AO29" s="4">
        <v>0</v>
      </c>
      <c r="AP29" s="3" t="s">
        <v>58</v>
      </c>
      <c r="AQ29" s="3" t="s">
        <v>58</v>
      </c>
      <c r="AS29" s="6" t="str">
        <f>HYPERLINK("https://creighton-primo.hosted.exlibrisgroup.com/primo-explore/search?tab=default_tab&amp;search_scope=EVERYTHING&amp;vid=01CRU&amp;lang=en_US&amp;offset=0&amp;query=any,contains,991000101969702656","Catalog Record")</f>
        <v>Catalog Record</v>
      </c>
      <c r="AT29" s="6" t="str">
        <f>HYPERLINK("http://www.worldcat.org/oclc/8954422","WorldCat Record")</f>
        <v>WorldCat Record</v>
      </c>
      <c r="AU29" s="3" t="s">
        <v>333</v>
      </c>
      <c r="AV29" s="3" t="s">
        <v>334</v>
      </c>
      <c r="AW29" s="3" t="s">
        <v>335</v>
      </c>
      <c r="AX29" s="3" t="s">
        <v>335</v>
      </c>
      <c r="AY29" s="3" t="s">
        <v>336</v>
      </c>
      <c r="AZ29" s="3" t="s">
        <v>74</v>
      </c>
      <c r="BB29" s="3" t="s">
        <v>337</v>
      </c>
      <c r="BC29" s="3" t="s">
        <v>338</v>
      </c>
      <c r="BD29" s="3" t="s">
        <v>339</v>
      </c>
    </row>
    <row r="30" spans="1:56" ht="30" customHeight="1" x14ac:dyDescent="0.25">
      <c r="A30" s="8" t="s">
        <v>58</v>
      </c>
      <c r="B30" s="2" t="s">
        <v>340</v>
      </c>
      <c r="C30" s="2" t="s">
        <v>341</v>
      </c>
      <c r="D30" s="2" t="s">
        <v>342</v>
      </c>
      <c r="F30" s="3" t="s">
        <v>58</v>
      </c>
      <c r="G30" s="3" t="s">
        <v>59</v>
      </c>
      <c r="H30" s="3" t="s">
        <v>58</v>
      </c>
      <c r="I30" s="3" t="s">
        <v>58</v>
      </c>
      <c r="J30" s="3" t="s">
        <v>60</v>
      </c>
      <c r="K30" s="2" t="s">
        <v>343</v>
      </c>
      <c r="L30" s="2" t="s">
        <v>344</v>
      </c>
      <c r="M30" s="3" t="s">
        <v>345</v>
      </c>
      <c r="O30" s="3" t="s">
        <v>64</v>
      </c>
      <c r="P30" s="3" t="s">
        <v>346</v>
      </c>
      <c r="R30" s="3" t="s">
        <v>67</v>
      </c>
      <c r="S30" s="4">
        <v>7</v>
      </c>
      <c r="T30" s="4">
        <v>7</v>
      </c>
      <c r="U30" s="5" t="s">
        <v>347</v>
      </c>
      <c r="V30" s="5" t="s">
        <v>347</v>
      </c>
      <c r="W30" s="5" t="s">
        <v>237</v>
      </c>
      <c r="X30" s="5" t="s">
        <v>237</v>
      </c>
      <c r="Y30" s="4">
        <v>899</v>
      </c>
      <c r="Z30" s="4">
        <v>862</v>
      </c>
      <c r="AA30" s="4">
        <v>981</v>
      </c>
      <c r="AB30" s="4">
        <v>14</v>
      </c>
      <c r="AC30" s="4">
        <v>14</v>
      </c>
      <c r="AD30" s="4">
        <v>16</v>
      </c>
      <c r="AE30" s="4">
        <v>17</v>
      </c>
      <c r="AF30" s="4">
        <v>3</v>
      </c>
      <c r="AG30" s="4">
        <v>4</v>
      </c>
      <c r="AH30" s="4">
        <v>2</v>
      </c>
      <c r="AI30" s="4">
        <v>2</v>
      </c>
      <c r="AJ30" s="4">
        <v>5</v>
      </c>
      <c r="AK30" s="4">
        <v>5</v>
      </c>
      <c r="AL30" s="4">
        <v>7</v>
      </c>
      <c r="AM30" s="4">
        <v>7</v>
      </c>
      <c r="AN30" s="4">
        <v>0</v>
      </c>
      <c r="AO30" s="4">
        <v>0</v>
      </c>
      <c r="AP30" s="3" t="s">
        <v>58</v>
      </c>
      <c r="AQ30" s="3" t="s">
        <v>58</v>
      </c>
      <c r="AR30" s="6" t="str">
        <f>HYPERLINK("http://catalog.hathitrust.org/Record/001552547","HathiTrust Record")</f>
        <v>HathiTrust Record</v>
      </c>
      <c r="AS30" s="6" t="str">
        <f>HYPERLINK("https://creighton-primo.hosted.exlibrisgroup.com/primo-explore/search?tab=default_tab&amp;search_scope=EVERYTHING&amp;vid=01CRU&amp;lang=en_US&amp;offset=0&amp;query=any,contains,991003047699702656","Catalog Record")</f>
        <v>Catalog Record</v>
      </c>
      <c r="AT30" s="6" t="str">
        <f>HYPERLINK("http://www.worldcat.org/oclc/608182","WorldCat Record")</f>
        <v>WorldCat Record</v>
      </c>
      <c r="AU30" s="3" t="s">
        <v>348</v>
      </c>
      <c r="AV30" s="3" t="s">
        <v>349</v>
      </c>
      <c r="AW30" s="3" t="s">
        <v>350</v>
      </c>
      <c r="AX30" s="3" t="s">
        <v>350</v>
      </c>
      <c r="AY30" s="3" t="s">
        <v>351</v>
      </c>
      <c r="AZ30" s="3" t="s">
        <v>74</v>
      </c>
      <c r="BC30" s="3" t="s">
        <v>352</v>
      </c>
      <c r="BD30" s="3" t="s">
        <v>353</v>
      </c>
    </row>
    <row r="31" spans="1:56" ht="30" customHeight="1" x14ac:dyDescent="0.25">
      <c r="A31" s="8" t="s">
        <v>58</v>
      </c>
      <c r="B31" s="2" t="s">
        <v>354</v>
      </c>
      <c r="C31" s="2" t="s">
        <v>355</v>
      </c>
      <c r="D31" s="2" t="s">
        <v>356</v>
      </c>
      <c r="F31" s="3" t="s">
        <v>58</v>
      </c>
      <c r="G31" s="3" t="s">
        <v>59</v>
      </c>
      <c r="H31" s="3" t="s">
        <v>58</v>
      </c>
      <c r="I31" s="3" t="s">
        <v>58</v>
      </c>
      <c r="J31" s="3" t="s">
        <v>60</v>
      </c>
      <c r="K31" s="2" t="s">
        <v>357</v>
      </c>
      <c r="L31" s="2" t="s">
        <v>358</v>
      </c>
      <c r="M31" s="3" t="s">
        <v>359</v>
      </c>
      <c r="O31" s="3" t="s">
        <v>64</v>
      </c>
      <c r="P31" s="3" t="s">
        <v>133</v>
      </c>
      <c r="R31" s="3" t="s">
        <v>67</v>
      </c>
      <c r="S31" s="4">
        <v>22</v>
      </c>
      <c r="T31" s="4">
        <v>22</v>
      </c>
      <c r="U31" s="5" t="s">
        <v>360</v>
      </c>
      <c r="V31" s="5" t="s">
        <v>360</v>
      </c>
      <c r="W31" s="5" t="s">
        <v>361</v>
      </c>
      <c r="X31" s="5" t="s">
        <v>361</v>
      </c>
      <c r="Y31" s="4">
        <v>487</v>
      </c>
      <c r="Z31" s="4">
        <v>460</v>
      </c>
      <c r="AA31" s="4">
        <v>485</v>
      </c>
      <c r="AB31" s="4">
        <v>4</v>
      </c>
      <c r="AC31" s="4">
        <v>4</v>
      </c>
      <c r="AD31" s="4">
        <v>6</v>
      </c>
      <c r="AE31" s="4">
        <v>6</v>
      </c>
      <c r="AF31" s="4">
        <v>3</v>
      </c>
      <c r="AG31" s="4">
        <v>3</v>
      </c>
      <c r="AH31" s="4">
        <v>2</v>
      </c>
      <c r="AI31" s="4">
        <v>2</v>
      </c>
      <c r="AJ31" s="4">
        <v>2</v>
      </c>
      <c r="AK31" s="4">
        <v>2</v>
      </c>
      <c r="AL31" s="4">
        <v>0</v>
      </c>
      <c r="AM31" s="4">
        <v>0</v>
      </c>
      <c r="AN31" s="4">
        <v>0</v>
      </c>
      <c r="AO31" s="4">
        <v>0</v>
      </c>
      <c r="AP31" s="3" t="s">
        <v>58</v>
      </c>
      <c r="AQ31" s="3" t="s">
        <v>103</v>
      </c>
      <c r="AR31" s="6" t="str">
        <f>HYPERLINK("http://catalog.hathitrust.org/Record/000374988","HathiTrust Record")</f>
        <v>HathiTrust Record</v>
      </c>
      <c r="AS31" s="6" t="str">
        <f>HYPERLINK("https://creighton-primo.hosted.exlibrisgroup.com/primo-explore/search?tab=default_tab&amp;search_scope=EVERYTHING&amp;vid=01CRU&amp;lang=en_US&amp;offset=0&amp;query=any,contains,991000643489702656","Catalog Record")</f>
        <v>Catalog Record</v>
      </c>
      <c r="AT31" s="6" t="str">
        <f>HYPERLINK("http://www.worldcat.org/oclc/12108016","WorldCat Record")</f>
        <v>WorldCat Record</v>
      </c>
      <c r="AU31" s="3" t="s">
        <v>362</v>
      </c>
      <c r="AV31" s="3" t="s">
        <v>363</v>
      </c>
      <c r="AW31" s="3" t="s">
        <v>364</v>
      </c>
      <c r="AX31" s="3" t="s">
        <v>364</v>
      </c>
      <c r="AY31" s="3" t="s">
        <v>365</v>
      </c>
      <c r="AZ31" s="3" t="s">
        <v>74</v>
      </c>
      <c r="BB31" s="3" t="s">
        <v>366</v>
      </c>
      <c r="BC31" s="3" t="s">
        <v>367</v>
      </c>
      <c r="BD31" s="3" t="s">
        <v>368</v>
      </c>
    </row>
    <row r="32" spans="1:56" ht="30" customHeight="1" x14ac:dyDescent="0.25">
      <c r="A32" s="8" t="s">
        <v>58</v>
      </c>
      <c r="B32" s="2" t="s">
        <v>369</v>
      </c>
      <c r="C32" s="2" t="s">
        <v>370</v>
      </c>
      <c r="D32" s="2" t="s">
        <v>371</v>
      </c>
      <c r="F32" s="3" t="s">
        <v>58</v>
      </c>
      <c r="G32" s="3" t="s">
        <v>59</v>
      </c>
      <c r="H32" s="3" t="s">
        <v>58</v>
      </c>
      <c r="I32" s="3" t="s">
        <v>58</v>
      </c>
      <c r="J32" s="3" t="s">
        <v>60</v>
      </c>
      <c r="K32" s="2" t="s">
        <v>372</v>
      </c>
      <c r="L32" s="2" t="s">
        <v>373</v>
      </c>
      <c r="M32" s="3" t="s">
        <v>374</v>
      </c>
      <c r="O32" s="3" t="s">
        <v>64</v>
      </c>
      <c r="P32" s="3" t="s">
        <v>84</v>
      </c>
      <c r="R32" s="3" t="s">
        <v>67</v>
      </c>
      <c r="S32" s="4">
        <v>1</v>
      </c>
      <c r="T32" s="4">
        <v>1</v>
      </c>
      <c r="U32" s="5" t="s">
        <v>118</v>
      </c>
      <c r="V32" s="5" t="s">
        <v>118</v>
      </c>
      <c r="W32" s="5" t="s">
        <v>375</v>
      </c>
      <c r="X32" s="5" t="s">
        <v>375</v>
      </c>
      <c r="Y32" s="4">
        <v>241</v>
      </c>
      <c r="Z32" s="4">
        <v>182</v>
      </c>
      <c r="AA32" s="4">
        <v>183</v>
      </c>
      <c r="AB32" s="4">
        <v>2</v>
      </c>
      <c r="AC32" s="4">
        <v>2</v>
      </c>
      <c r="AD32" s="4">
        <v>6</v>
      </c>
      <c r="AE32" s="4">
        <v>6</v>
      </c>
      <c r="AF32" s="4">
        <v>5</v>
      </c>
      <c r="AG32" s="4">
        <v>5</v>
      </c>
      <c r="AH32" s="4">
        <v>1</v>
      </c>
      <c r="AI32" s="4">
        <v>1</v>
      </c>
      <c r="AJ32" s="4">
        <v>1</v>
      </c>
      <c r="AK32" s="4">
        <v>1</v>
      </c>
      <c r="AL32" s="4">
        <v>1</v>
      </c>
      <c r="AM32" s="4">
        <v>1</v>
      </c>
      <c r="AN32" s="4">
        <v>0</v>
      </c>
      <c r="AO32" s="4">
        <v>0</v>
      </c>
      <c r="AP32" s="3" t="s">
        <v>58</v>
      </c>
      <c r="AQ32" s="3" t="s">
        <v>103</v>
      </c>
      <c r="AR32" s="6" t="str">
        <f>HYPERLINK("http://catalog.hathitrust.org/Record/003198757","HathiTrust Record")</f>
        <v>HathiTrust Record</v>
      </c>
      <c r="AS32" s="6" t="str">
        <f>HYPERLINK("https://creighton-primo.hosted.exlibrisgroup.com/primo-explore/search?tab=default_tab&amp;search_scope=EVERYTHING&amp;vid=01CRU&amp;lang=en_US&amp;offset=0&amp;query=any,contains,991002750709702656","Catalog Record")</f>
        <v>Catalog Record</v>
      </c>
      <c r="AT32" s="6" t="str">
        <f>HYPERLINK("http://www.worldcat.org/oclc/36095345","WorldCat Record")</f>
        <v>WorldCat Record</v>
      </c>
      <c r="AU32" s="3" t="s">
        <v>376</v>
      </c>
      <c r="AV32" s="3" t="s">
        <v>377</v>
      </c>
      <c r="AW32" s="3" t="s">
        <v>378</v>
      </c>
      <c r="AX32" s="3" t="s">
        <v>378</v>
      </c>
      <c r="AY32" s="3" t="s">
        <v>379</v>
      </c>
      <c r="AZ32" s="3" t="s">
        <v>74</v>
      </c>
      <c r="BB32" s="3" t="s">
        <v>380</v>
      </c>
      <c r="BC32" s="3" t="s">
        <v>381</v>
      </c>
      <c r="BD32" s="3" t="s">
        <v>382</v>
      </c>
    </row>
    <row r="33" spans="1:56" ht="30" customHeight="1" x14ac:dyDescent="0.25">
      <c r="A33" s="8" t="s">
        <v>58</v>
      </c>
      <c r="B33" s="2" t="s">
        <v>383</v>
      </c>
      <c r="C33" s="2" t="s">
        <v>384</v>
      </c>
      <c r="D33" s="2" t="s">
        <v>385</v>
      </c>
      <c r="F33" s="3" t="s">
        <v>58</v>
      </c>
      <c r="G33" s="3" t="s">
        <v>59</v>
      </c>
      <c r="H33" s="3" t="s">
        <v>58</v>
      </c>
      <c r="I33" s="3" t="s">
        <v>58</v>
      </c>
      <c r="J33" s="3" t="s">
        <v>60</v>
      </c>
      <c r="K33" s="2" t="s">
        <v>386</v>
      </c>
      <c r="L33" s="2" t="s">
        <v>387</v>
      </c>
      <c r="M33" s="3" t="s">
        <v>388</v>
      </c>
      <c r="N33" s="2" t="s">
        <v>162</v>
      </c>
      <c r="O33" s="3" t="s">
        <v>64</v>
      </c>
      <c r="P33" s="3" t="s">
        <v>133</v>
      </c>
      <c r="R33" s="3" t="s">
        <v>67</v>
      </c>
      <c r="S33" s="4">
        <v>1</v>
      </c>
      <c r="T33" s="4">
        <v>1</v>
      </c>
      <c r="U33" s="5" t="s">
        <v>389</v>
      </c>
      <c r="V33" s="5" t="s">
        <v>389</v>
      </c>
      <c r="W33" s="5" t="s">
        <v>390</v>
      </c>
      <c r="X33" s="5" t="s">
        <v>390</v>
      </c>
      <c r="Y33" s="4">
        <v>298</v>
      </c>
      <c r="Z33" s="4">
        <v>251</v>
      </c>
      <c r="AA33" s="4">
        <v>254</v>
      </c>
      <c r="AB33" s="4">
        <v>3</v>
      </c>
      <c r="AC33" s="4">
        <v>3</v>
      </c>
      <c r="AD33" s="4">
        <v>6</v>
      </c>
      <c r="AE33" s="4">
        <v>6</v>
      </c>
      <c r="AF33" s="4">
        <v>4</v>
      </c>
      <c r="AG33" s="4">
        <v>4</v>
      </c>
      <c r="AH33" s="4">
        <v>0</v>
      </c>
      <c r="AI33" s="4">
        <v>0</v>
      </c>
      <c r="AJ33" s="4">
        <v>3</v>
      </c>
      <c r="AK33" s="4">
        <v>3</v>
      </c>
      <c r="AL33" s="4">
        <v>1</v>
      </c>
      <c r="AM33" s="4">
        <v>1</v>
      </c>
      <c r="AN33" s="4">
        <v>0</v>
      </c>
      <c r="AO33" s="4">
        <v>0</v>
      </c>
      <c r="AP33" s="3" t="s">
        <v>58</v>
      </c>
      <c r="AQ33" s="3" t="s">
        <v>103</v>
      </c>
      <c r="AR33" s="6" t="str">
        <f>HYPERLINK("http://catalog.hathitrust.org/Record/006818856","HathiTrust Record")</f>
        <v>HathiTrust Record</v>
      </c>
      <c r="AS33" s="6" t="str">
        <f>HYPERLINK("https://creighton-primo.hosted.exlibrisgroup.com/primo-explore/search?tab=default_tab&amp;search_scope=EVERYTHING&amp;vid=01CRU&amp;lang=en_US&amp;offset=0&amp;query=any,contains,991001801489702656","Catalog Record")</f>
        <v>Catalog Record</v>
      </c>
      <c r="AT33" s="6" t="str">
        <f>HYPERLINK("http://www.worldcat.org/oclc/275864822","WorldCat Record")</f>
        <v>WorldCat Record</v>
      </c>
      <c r="AU33" s="3" t="s">
        <v>391</v>
      </c>
      <c r="AV33" s="3" t="s">
        <v>392</v>
      </c>
      <c r="AW33" s="3" t="s">
        <v>393</v>
      </c>
      <c r="AX33" s="3" t="s">
        <v>393</v>
      </c>
      <c r="AY33" s="3" t="s">
        <v>394</v>
      </c>
      <c r="AZ33" s="3" t="s">
        <v>74</v>
      </c>
      <c r="BB33" s="3" t="s">
        <v>395</v>
      </c>
      <c r="BC33" s="3" t="s">
        <v>396</v>
      </c>
      <c r="BD33" s="3" t="s">
        <v>397</v>
      </c>
    </row>
    <row r="34" spans="1:56" ht="30" customHeight="1" x14ac:dyDescent="0.25">
      <c r="A34" s="8" t="s">
        <v>58</v>
      </c>
      <c r="B34" s="2" t="s">
        <v>398</v>
      </c>
      <c r="C34" s="2" t="s">
        <v>399</v>
      </c>
      <c r="D34" s="2" t="s">
        <v>400</v>
      </c>
      <c r="F34" s="3" t="s">
        <v>58</v>
      </c>
      <c r="G34" s="3" t="s">
        <v>59</v>
      </c>
      <c r="H34" s="3" t="s">
        <v>58</v>
      </c>
      <c r="I34" s="3" t="s">
        <v>58</v>
      </c>
      <c r="J34" s="3" t="s">
        <v>60</v>
      </c>
      <c r="K34" s="2" t="s">
        <v>401</v>
      </c>
      <c r="L34" s="2" t="s">
        <v>402</v>
      </c>
      <c r="M34" s="3" t="s">
        <v>403</v>
      </c>
      <c r="N34" s="2" t="s">
        <v>404</v>
      </c>
      <c r="O34" s="3" t="s">
        <v>64</v>
      </c>
      <c r="P34" s="3" t="s">
        <v>405</v>
      </c>
      <c r="R34" s="3" t="s">
        <v>67</v>
      </c>
      <c r="S34" s="4">
        <v>2</v>
      </c>
      <c r="T34" s="4">
        <v>2</v>
      </c>
      <c r="U34" s="5" t="s">
        <v>406</v>
      </c>
      <c r="V34" s="5" t="s">
        <v>406</v>
      </c>
      <c r="W34" s="5" t="s">
        <v>102</v>
      </c>
      <c r="X34" s="5" t="s">
        <v>102</v>
      </c>
      <c r="Y34" s="4">
        <v>63</v>
      </c>
      <c r="Z34" s="4">
        <v>50</v>
      </c>
      <c r="AA34" s="4">
        <v>81</v>
      </c>
      <c r="AB34" s="4">
        <v>1</v>
      </c>
      <c r="AC34" s="4">
        <v>1</v>
      </c>
      <c r="AD34" s="4">
        <v>2</v>
      </c>
      <c r="AE34" s="4">
        <v>2</v>
      </c>
      <c r="AF34" s="4">
        <v>1</v>
      </c>
      <c r="AG34" s="4">
        <v>1</v>
      </c>
      <c r="AH34" s="4">
        <v>0</v>
      </c>
      <c r="AI34" s="4">
        <v>0</v>
      </c>
      <c r="AJ34" s="4">
        <v>1</v>
      </c>
      <c r="AK34" s="4">
        <v>1</v>
      </c>
      <c r="AL34" s="4">
        <v>0</v>
      </c>
      <c r="AM34" s="4">
        <v>0</v>
      </c>
      <c r="AN34" s="4">
        <v>0</v>
      </c>
      <c r="AO34" s="4">
        <v>0</v>
      </c>
      <c r="AP34" s="3" t="s">
        <v>58</v>
      </c>
      <c r="AQ34" s="3" t="s">
        <v>58</v>
      </c>
      <c r="AS34" s="6" t="str">
        <f>HYPERLINK("https://creighton-primo.hosted.exlibrisgroup.com/primo-explore/search?tab=default_tab&amp;search_scope=EVERYTHING&amp;vid=01CRU&amp;lang=en_US&amp;offset=0&amp;query=any,contains,991003579519702656","Catalog Record")</f>
        <v>Catalog Record</v>
      </c>
      <c r="AT34" s="6" t="str">
        <f>HYPERLINK("http://www.worldcat.org/oclc/1160351","WorldCat Record")</f>
        <v>WorldCat Record</v>
      </c>
      <c r="AU34" s="3" t="s">
        <v>407</v>
      </c>
      <c r="AV34" s="3" t="s">
        <v>408</v>
      </c>
      <c r="AW34" s="3" t="s">
        <v>409</v>
      </c>
      <c r="AX34" s="3" t="s">
        <v>409</v>
      </c>
      <c r="AY34" s="3" t="s">
        <v>410</v>
      </c>
      <c r="AZ34" s="3" t="s">
        <v>74</v>
      </c>
      <c r="BC34" s="3" t="s">
        <v>411</v>
      </c>
      <c r="BD34" s="3" t="s">
        <v>412</v>
      </c>
    </row>
    <row r="35" spans="1:56" ht="30" customHeight="1" x14ac:dyDescent="0.25">
      <c r="A35" s="8" t="s">
        <v>58</v>
      </c>
      <c r="B35" s="2" t="s">
        <v>413</v>
      </c>
      <c r="C35" s="2" t="s">
        <v>414</v>
      </c>
      <c r="D35" s="2" t="s">
        <v>415</v>
      </c>
      <c r="F35" s="3" t="s">
        <v>58</v>
      </c>
      <c r="G35" s="3" t="s">
        <v>59</v>
      </c>
      <c r="H35" s="3" t="s">
        <v>58</v>
      </c>
      <c r="I35" s="3" t="s">
        <v>58</v>
      </c>
      <c r="J35" s="3" t="s">
        <v>60</v>
      </c>
      <c r="K35" s="2" t="s">
        <v>416</v>
      </c>
      <c r="L35" s="2" t="s">
        <v>417</v>
      </c>
      <c r="M35" s="3" t="s">
        <v>418</v>
      </c>
      <c r="O35" s="3" t="s">
        <v>64</v>
      </c>
      <c r="P35" s="3" t="s">
        <v>133</v>
      </c>
      <c r="R35" s="3" t="s">
        <v>67</v>
      </c>
      <c r="S35" s="4">
        <v>3</v>
      </c>
      <c r="T35" s="4">
        <v>3</v>
      </c>
      <c r="U35" s="5" t="s">
        <v>419</v>
      </c>
      <c r="V35" s="5" t="s">
        <v>419</v>
      </c>
      <c r="W35" s="5" t="s">
        <v>119</v>
      </c>
      <c r="X35" s="5" t="s">
        <v>119</v>
      </c>
      <c r="Y35" s="4">
        <v>69</v>
      </c>
      <c r="Z35" s="4">
        <v>64</v>
      </c>
      <c r="AA35" s="4">
        <v>73</v>
      </c>
      <c r="AB35" s="4">
        <v>2</v>
      </c>
      <c r="AC35" s="4">
        <v>2</v>
      </c>
      <c r="AD35" s="4">
        <v>1</v>
      </c>
      <c r="AE35" s="4">
        <v>1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1</v>
      </c>
      <c r="AM35" s="4">
        <v>1</v>
      </c>
      <c r="AN35" s="4">
        <v>0</v>
      </c>
      <c r="AO35" s="4">
        <v>0</v>
      </c>
      <c r="AP35" s="3" t="s">
        <v>103</v>
      </c>
      <c r="AQ35" s="3" t="s">
        <v>58</v>
      </c>
      <c r="AR35" s="6" t="str">
        <f>HYPERLINK("http://catalog.hathitrust.org/Record/100466662","HathiTrust Record")</f>
        <v>HathiTrust Record</v>
      </c>
      <c r="AS35" s="6" t="str">
        <f>HYPERLINK("https://creighton-primo.hosted.exlibrisgroup.com/primo-explore/search?tab=default_tab&amp;search_scope=EVERYTHING&amp;vid=01CRU&amp;lang=en_US&amp;offset=0&amp;query=any,contains,991004624809702656","Catalog Record")</f>
        <v>Catalog Record</v>
      </c>
      <c r="AT35" s="6" t="str">
        <f>HYPERLINK("http://www.worldcat.org/oclc/4330494","WorldCat Record")</f>
        <v>WorldCat Record</v>
      </c>
      <c r="AU35" s="3" t="s">
        <v>420</v>
      </c>
      <c r="AV35" s="3" t="s">
        <v>421</v>
      </c>
      <c r="AW35" s="3" t="s">
        <v>422</v>
      </c>
      <c r="AX35" s="3" t="s">
        <v>422</v>
      </c>
      <c r="AY35" s="3" t="s">
        <v>423</v>
      </c>
      <c r="AZ35" s="3" t="s">
        <v>74</v>
      </c>
      <c r="BC35" s="3" t="s">
        <v>424</v>
      </c>
      <c r="BD35" s="3" t="s">
        <v>425</v>
      </c>
    </row>
    <row r="36" spans="1:56" ht="30" customHeight="1" x14ac:dyDescent="0.25">
      <c r="A36" s="8" t="s">
        <v>58</v>
      </c>
      <c r="B36" s="2" t="s">
        <v>426</v>
      </c>
      <c r="C36" s="2" t="s">
        <v>427</v>
      </c>
      <c r="D36" s="2" t="s">
        <v>428</v>
      </c>
      <c r="F36" s="3" t="s">
        <v>58</v>
      </c>
      <c r="G36" s="3" t="s">
        <v>59</v>
      </c>
      <c r="H36" s="3" t="s">
        <v>58</v>
      </c>
      <c r="I36" s="3" t="s">
        <v>58</v>
      </c>
      <c r="J36" s="3" t="s">
        <v>60</v>
      </c>
      <c r="K36" s="2" t="s">
        <v>429</v>
      </c>
      <c r="L36" s="2" t="s">
        <v>430</v>
      </c>
      <c r="M36" s="3" t="s">
        <v>431</v>
      </c>
      <c r="O36" s="3" t="s">
        <v>64</v>
      </c>
      <c r="P36" s="3" t="s">
        <v>432</v>
      </c>
      <c r="R36" s="3" t="s">
        <v>67</v>
      </c>
      <c r="S36" s="4">
        <v>1</v>
      </c>
      <c r="T36" s="4">
        <v>1</v>
      </c>
      <c r="U36" s="5" t="s">
        <v>433</v>
      </c>
      <c r="V36" s="5" t="s">
        <v>433</v>
      </c>
      <c r="W36" s="5" t="s">
        <v>434</v>
      </c>
      <c r="X36" s="5" t="s">
        <v>434</v>
      </c>
      <c r="Y36" s="4">
        <v>13</v>
      </c>
      <c r="Z36" s="4">
        <v>13</v>
      </c>
      <c r="AA36" s="4">
        <v>13</v>
      </c>
      <c r="AB36" s="4">
        <v>2</v>
      </c>
      <c r="AC36" s="4">
        <v>2</v>
      </c>
      <c r="AD36" s="4">
        <v>2</v>
      </c>
      <c r="AE36" s="4">
        <v>2</v>
      </c>
      <c r="AF36" s="4">
        <v>1</v>
      </c>
      <c r="AG36" s="4">
        <v>1</v>
      </c>
      <c r="AH36" s="4">
        <v>0</v>
      </c>
      <c r="AI36" s="4">
        <v>0</v>
      </c>
      <c r="AJ36" s="4">
        <v>0</v>
      </c>
      <c r="AK36" s="4">
        <v>0</v>
      </c>
      <c r="AL36" s="4">
        <v>1</v>
      </c>
      <c r="AM36" s="4">
        <v>1</v>
      </c>
      <c r="AN36" s="4">
        <v>0</v>
      </c>
      <c r="AO36" s="4">
        <v>0</v>
      </c>
      <c r="AP36" s="3" t="s">
        <v>58</v>
      </c>
      <c r="AQ36" s="3" t="s">
        <v>58</v>
      </c>
      <c r="AS36" s="6" t="str">
        <f>HYPERLINK("https://creighton-primo.hosted.exlibrisgroup.com/primo-explore/search?tab=default_tab&amp;search_scope=EVERYTHING&amp;vid=01CRU&amp;lang=en_US&amp;offset=0&amp;query=any,contains,991005148459702656","Catalog Record")</f>
        <v>Catalog Record</v>
      </c>
      <c r="AT36" s="6" t="str">
        <f>HYPERLINK("http://www.worldcat.org/oclc/7677973","WorldCat Record")</f>
        <v>WorldCat Record</v>
      </c>
      <c r="AU36" s="3" t="s">
        <v>435</v>
      </c>
      <c r="AV36" s="3" t="s">
        <v>436</v>
      </c>
      <c r="AW36" s="3" t="s">
        <v>437</v>
      </c>
      <c r="AX36" s="3" t="s">
        <v>437</v>
      </c>
      <c r="AY36" s="3" t="s">
        <v>438</v>
      </c>
      <c r="AZ36" s="3" t="s">
        <v>74</v>
      </c>
      <c r="BC36" s="3" t="s">
        <v>439</v>
      </c>
      <c r="BD36" s="3" t="s">
        <v>440</v>
      </c>
    </row>
    <row r="37" spans="1:56" ht="30" customHeight="1" x14ac:dyDescent="0.25">
      <c r="A37" s="8" t="s">
        <v>58</v>
      </c>
      <c r="B37" s="2" t="s">
        <v>441</v>
      </c>
      <c r="C37" s="2" t="s">
        <v>442</v>
      </c>
      <c r="D37" s="2" t="s">
        <v>443</v>
      </c>
      <c r="F37" s="3" t="s">
        <v>58</v>
      </c>
      <c r="G37" s="3" t="s">
        <v>59</v>
      </c>
      <c r="H37" s="3" t="s">
        <v>58</v>
      </c>
      <c r="I37" s="3" t="s">
        <v>58</v>
      </c>
      <c r="J37" s="3" t="s">
        <v>60</v>
      </c>
      <c r="K37" s="2" t="s">
        <v>444</v>
      </c>
      <c r="L37" s="2" t="s">
        <v>445</v>
      </c>
      <c r="M37" s="3" t="s">
        <v>374</v>
      </c>
      <c r="O37" s="3" t="s">
        <v>64</v>
      </c>
      <c r="P37" s="3" t="s">
        <v>133</v>
      </c>
      <c r="R37" s="3" t="s">
        <v>67</v>
      </c>
      <c r="S37" s="4">
        <v>0</v>
      </c>
      <c r="T37" s="4">
        <v>0</v>
      </c>
      <c r="U37" s="5" t="s">
        <v>446</v>
      </c>
      <c r="V37" s="5" t="s">
        <v>446</v>
      </c>
      <c r="W37" s="5" t="s">
        <v>447</v>
      </c>
      <c r="X37" s="5" t="s">
        <v>447</v>
      </c>
      <c r="Y37" s="4">
        <v>543</v>
      </c>
      <c r="Z37" s="4">
        <v>446</v>
      </c>
      <c r="AA37" s="4">
        <v>607</v>
      </c>
      <c r="AB37" s="4">
        <v>2</v>
      </c>
      <c r="AC37" s="4">
        <v>3</v>
      </c>
      <c r="AD37" s="4">
        <v>16</v>
      </c>
      <c r="AE37" s="4">
        <v>26</v>
      </c>
      <c r="AF37" s="4">
        <v>6</v>
      </c>
      <c r="AG37" s="4">
        <v>12</v>
      </c>
      <c r="AH37" s="4">
        <v>3</v>
      </c>
      <c r="AI37" s="4">
        <v>4</v>
      </c>
      <c r="AJ37" s="4">
        <v>10</v>
      </c>
      <c r="AK37" s="4">
        <v>15</v>
      </c>
      <c r="AL37" s="4">
        <v>1</v>
      </c>
      <c r="AM37" s="4">
        <v>2</v>
      </c>
      <c r="AN37" s="4">
        <v>0</v>
      </c>
      <c r="AO37" s="4">
        <v>0</v>
      </c>
      <c r="AP37" s="3" t="s">
        <v>58</v>
      </c>
      <c r="AQ37" s="3" t="s">
        <v>58</v>
      </c>
      <c r="AS37" s="6" t="str">
        <f>HYPERLINK("https://creighton-primo.hosted.exlibrisgroup.com/primo-explore/search?tab=default_tab&amp;search_scope=EVERYTHING&amp;vid=01CRU&amp;lang=en_US&amp;offset=0&amp;query=any,contains,991002580839702656","Catalog Record")</f>
        <v>Catalog Record</v>
      </c>
      <c r="AT37" s="6" t="str">
        <f>HYPERLINK("http://www.worldcat.org/oclc/33819357","WorldCat Record")</f>
        <v>WorldCat Record</v>
      </c>
      <c r="AU37" s="3" t="s">
        <v>448</v>
      </c>
      <c r="AV37" s="3" t="s">
        <v>449</v>
      </c>
      <c r="AW37" s="3" t="s">
        <v>450</v>
      </c>
      <c r="AX37" s="3" t="s">
        <v>450</v>
      </c>
      <c r="AY37" s="3" t="s">
        <v>451</v>
      </c>
      <c r="AZ37" s="3" t="s">
        <v>74</v>
      </c>
      <c r="BB37" s="3" t="s">
        <v>452</v>
      </c>
      <c r="BC37" s="3" t="s">
        <v>453</v>
      </c>
      <c r="BD37" s="3" t="s">
        <v>454</v>
      </c>
    </row>
    <row r="38" spans="1:56" ht="30" customHeight="1" x14ac:dyDescent="0.25">
      <c r="A38" s="8" t="s">
        <v>58</v>
      </c>
      <c r="B38" s="2" t="s">
        <v>455</v>
      </c>
      <c r="C38" s="2" t="s">
        <v>456</v>
      </c>
      <c r="D38" s="2" t="s">
        <v>457</v>
      </c>
      <c r="F38" s="3" t="s">
        <v>58</v>
      </c>
      <c r="G38" s="3" t="s">
        <v>59</v>
      </c>
      <c r="H38" s="3" t="s">
        <v>58</v>
      </c>
      <c r="I38" s="3" t="s">
        <v>58</v>
      </c>
      <c r="J38" s="3" t="s">
        <v>60</v>
      </c>
      <c r="K38" s="2" t="s">
        <v>458</v>
      </c>
      <c r="L38" s="2" t="s">
        <v>459</v>
      </c>
      <c r="M38" s="3" t="s">
        <v>460</v>
      </c>
      <c r="N38" s="2" t="s">
        <v>461</v>
      </c>
      <c r="O38" s="3" t="s">
        <v>64</v>
      </c>
      <c r="P38" s="3" t="s">
        <v>65</v>
      </c>
      <c r="R38" s="3" t="s">
        <v>67</v>
      </c>
      <c r="S38" s="4">
        <v>2</v>
      </c>
      <c r="T38" s="4">
        <v>2</v>
      </c>
      <c r="U38" s="5" t="s">
        <v>316</v>
      </c>
      <c r="V38" s="5" t="s">
        <v>316</v>
      </c>
      <c r="W38" s="5" t="s">
        <v>462</v>
      </c>
      <c r="X38" s="5" t="s">
        <v>462</v>
      </c>
      <c r="Y38" s="4">
        <v>550</v>
      </c>
      <c r="Z38" s="4">
        <v>445</v>
      </c>
      <c r="AA38" s="4">
        <v>575</v>
      </c>
      <c r="AB38" s="4">
        <v>6</v>
      </c>
      <c r="AC38" s="4">
        <v>7</v>
      </c>
      <c r="AD38" s="4">
        <v>14</v>
      </c>
      <c r="AE38" s="4">
        <v>25</v>
      </c>
      <c r="AF38" s="4">
        <v>5</v>
      </c>
      <c r="AG38" s="4">
        <v>11</v>
      </c>
      <c r="AH38" s="4">
        <v>3</v>
      </c>
      <c r="AI38" s="4">
        <v>5</v>
      </c>
      <c r="AJ38" s="4">
        <v>3</v>
      </c>
      <c r="AK38" s="4">
        <v>7</v>
      </c>
      <c r="AL38" s="4">
        <v>4</v>
      </c>
      <c r="AM38" s="4">
        <v>5</v>
      </c>
      <c r="AN38" s="4">
        <v>0</v>
      </c>
      <c r="AO38" s="4">
        <v>0</v>
      </c>
      <c r="AP38" s="3" t="s">
        <v>58</v>
      </c>
      <c r="AQ38" s="3" t="s">
        <v>103</v>
      </c>
      <c r="AR38" s="6" t="str">
        <f>HYPERLINK("http://catalog.hathitrust.org/Record/001552820","HathiTrust Record")</f>
        <v>HathiTrust Record</v>
      </c>
      <c r="AS38" s="6" t="str">
        <f>HYPERLINK("https://creighton-primo.hosted.exlibrisgroup.com/primo-explore/search?tab=default_tab&amp;search_scope=EVERYTHING&amp;vid=01CRU&amp;lang=en_US&amp;offset=0&amp;query=any,contains,991005266039702656","Catalog Record")</f>
        <v>Catalog Record</v>
      </c>
      <c r="AT38" s="6" t="str">
        <f>HYPERLINK("http://www.worldcat.org/oclc/224139","WorldCat Record")</f>
        <v>WorldCat Record</v>
      </c>
      <c r="AU38" s="3" t="s">
        <v>463</v>
      </c>
      <c r="AV38" s="3" t="s">
        <v>464</v>
      </c>
      <c r="AW38" s="3" t="s">
        <v>465</v>
      </c>
      <c r="AX38" s="3" t="s">
        <v>465</v>
      </c>
      <c r="AY38" s="3" t="s">
        <v>466</v>
      </c>
      <c r="AZ38" s="3" t="s">
        <v>74</v>
      </c>
      <c r="BC38" s="3" t="s">
        <v>467</v>
      </c>
      <c r="BD38" s="3" t="s">
        <v>468</v>
      </c>
    </row>
    <row r="39" spans="1:56" ht="30" customHeight="1" x14ac:dyDescent="0.25">
      <c r="A39" s="8" t="s">
        <v>58</v>
      </c>
      <c r="B39" s="2" t="s">
        <v>469</v>
      </c>
      <c r="C39" s="2" t="s">
        <v>470</v>
      </c>
      <c r="D39" s="2" t="s">
        <v>471</v>
      </c>
      <c r="F39" s="3" t="s">
        <v>58</v>
      </c>
      <c r="G39" s="3" t="s">
        <v>59</v>
      </c>
      <c r="H39" s="3" t="s">
        <v>58</v>
      </c>
      <c r="I39" s="3" t="s">
        <v>58</v>
      </c>
      <c r="J39" s="3" t="s">
        <v>60</v>
      </c>
      <c r="K39" s="2" t="s">
        <v>472</v>
      </c>
      <c r="L39" s="2" t="s">
        <v>473</v>
      </c>
      <c r="M39" s="3" t="s">
        <v>474</v>
      </c>
      <c r="O39" s="3" t="s">
        <v>64</v>
      </c>
      <c r="P39" s="3" t="s">
        <v>133</v>
      </c>
      <c r="Q39" s="2" t="s">
        <v>475</v>
      </c>
      <c r="R39" s="3" t="s">
        <v>67</v>
      </c>
      <c r="S39" s="4">
        <v>7</v>
      </c>
      <c r="T39" s="4">
        <v>7</v>
      </c>
      <c r="U39" s="5" t="s">
        <v>476</v>
      </c>
      <c r="V39" s="5" t="s">
        <v>476</v>
      </c>
      <c r="W39" s="5" t="s">
        <v>477</v>
      </c>
      <c r="X39" s="5" t="s">
        <v>477</v>
      </c>
      <c r="Y39" s="4">
        <v>296</v>
      </c>
      <c r="Z39" s="4">
        <v>227</v>
      </c>
      <c r="AA39" s="4">
        <v>558</v>
      </c>
      <c r="AB39" s="4">
        <v>1</v>
      </c>
      <c r="AC39" s="4">
        <v>5</v>
      </c>
      <c r="AD39" s="4">
        <v>12</v>
      </c>
      <c r="AE39" s="4">
        <v>27</v>
      </c>
      <c r="AF39" s="4">
        <v>4</v>
      </c>
      <c r="AG39" s="4">
        <v>9</v>
      </c>
      <c r="AH39" s="4">
        <v>3</v>
      </c>
      <c r="AI39" s="4">
        <v>7</v>
      </c>
      <c r="AJ39" s="4">
        <v>8</v>
      </c>
      <c r="AK39" s="4">
        <v>12</v>
      </c>
      <c r="AL39" s="4">
        <v>0</v>
      </c>
      <c r="AM39" s="4">
        <v>4</v>
      </c>
      <c r="AN39" s="4">
        <v>0</v>
      </c>
      <c r="AO39" s="4">
        <v>0</v>
      </c>
      <c r="AP39" s="3" t="s">
        <v>58</v>
      </c>
      <c r="AQ39" s="3" t="s">
        <v>103</v>
      </c>
      <c r="AR39" s="6" t="str">
        <f>HYPERLINK("http://catalog.hathitrust.org/Record/002506957","HathiTrust Record")</f>
        <v>HathiTrust Record</v>
      </c>
      <c r="AS39" s="6" t="str">
        <f>HYPERLINK("https://creighton-primo.hosted.exlibrisgroup.com/primo-explore/search?tab=default_tab&amp;search_scope=EVERYTHING&amp;vid=01CRU&amp;lang=en_US&amp;offset=0&amp;query=any,contains,991001831739702656","Catalog Record")</f>
        <v>Catalog Record</v>
      </c>
      <c r="AT39" s="6" t="str">
        <f>HYPERLINK("http://www.worldcat.org/oclc/23015568","WorldCat Record")</f>
        <v>WorldCat Record</v>
      </c>
      <c r="AU39" s="3" t="s">
        <v>478</v>
      </c>
      <c r="AV39" s="3" t="s">
        <v>479</v>
      </c>
      <c r="AW39" s="3" t="s">
        <v>480</v>
      </c>
      <c r="AX39" s="3" t="s">
        <v>480</v>
      </c>
      <c r="AY39" s="3" t="s">
        <v>481</v>
      </c>
      <c r="AZ39" s="3" t="s">
        <v>74</v>
      </c>
      <c r="BB39" s="3" t="s">
        <v>482</v>
      </c>
      <c r="BC39" s="3" t="s">
        <v>483</v>
      </c>
      <c r="BD39" s="3" t="s">
        <v>484</v>
      </c>
    </row>
    <row r="40" spans="1:56" ht="30" customHeight="1" x14ac:dyDescent="0.25">
      <c r="A40" s="8" t="s">
        <v>58</v>
      </c>
      <c r="B40" s="2" t="s">
        <v>485</v>
      </c>
      <c r="C40" s="2" t="s">
        <v>486</v>
      </c>
      <c r="D40" s="2" t="s">
        <v>487</v>
      </c>
      <c r="F40" s="3" t="s">
        <v>58</v>
      </c>
      <c r="G40" s="3" t="s">
        <v>59</v>
      </c>
      <c r="H40" s="3" t="s">
        <v>58</v>
      </c>
      <c r="I40" s="3" t="s">
        <v>58</v>
      </c>
      <c r="J40" s="3" t="s">
        <v>60</v>
      </c>
      <c r="K40" s="2" t="s">
        <v>488</v>
      </c>
      <c r="L40" s="2" t="s">
        <v>489</v>
      </c>
      <c r="M40" s="3" t="s">
        <v>490</v>
      </c>
      <c r="O40" s="3" t="s">
        <v>64</v>
      </c>
      <c r="P40" s="3" t="s">
        <v>432</v>
      </c>
      <c r="R40" s="3" t="s">
        <v>67</v>
      </c>
      <c r="S40" s="4">
        <v>3</v>
      </c>
      <c r="T40" s="4">
        <v>3</v>
      </c>
      <c r="U40" s="5" t="s">
        <v>491</v>
      </c>
      <c r="V40" s="5" t="s">
        <v>491</v>
      </c>
      <c r="W40" s="5" t="s">
        <v>492</v>
      </c>
      <c r="X40" s="5" t="s">
        <v>492</v>
      </c>
      <c r="Y40" s="4">
        <v>271</v>
      </c>
      <c r="Z40" s="4">
        <v>183</v>
      </c>
      <c r="AA40" s="4">
        <v>419</v>
      </c>
      <c r="AB40" s="4">
        <v>2</v>
      </c>
      <c r="AC40" s="4">
        <v>4</v>
      </c>
      <c r="AD40" s="4">
        <v>5</v>
      </c>
      <c r="AE40" s="4">
        <v>16</v>
      </c>
      <c r="AF40" s="4">
        <v>0</v>
      </c>
      <c r="AG40" s="4">
        <v>5</v>
      </c>
      <c r="AH40" s="4">
        <v>2</v>
      </c>
      <c r="AI40" s="4">
        <v>3</v>
      </c>
      <c r="AJ40" s="4">
        <v>4</v>
      </c>
      <c r="AK40" s="4">
        <v>8</v>
      </c>
      <c r="AL40" s="4">
        <v>1</v>
      </c>
      <c r="AM40" s="4">
        <v>3</v>
      </c>
      <c r="AN40" s="4">
        <v>0</v>
      </c>
      <c r="AO40" s="4">
        <v>0</v>
      </c>
      <c r="AP40" s="3" t="s">
        <v>58</v>
      </c>
      <c r="AQ40" s="3" t="s">
        <v>103</v>
      </c>
      <c r="AR40" s="6" t="str">
        <f>HYPERLINK("http://catalog.hathitrust.org/Record/003148946","HathiTrust Record")</f>
        <v>HathiTrust Record</v>
      </c>
      <c r="AS40" s="6" t="str">
        <f>HYPERLINK("https://creighton-primo.hosted.exlibrisgroup.com/primo-explore/search?tab=default_tab&amp;search_scope=EVERYTHING&amp;vid=01CRU&amp;lang=en_US&amp;offset=0&amp;query=any,contains,991002784309702656","Catalog Record")</f>
        <v>Catalog Record</v>
      </c>
      <c r="AT40" s="6" t="str">
        <f>HYPERLINK("http://www.worldcat.org/oclc/36557183","WorldCat Record")</f>
        <v>WorldCat Record</v>
      </c>
      <c r="AU40" s="3" t="s">
        <v>493</v>
      </c>
      <c r="AV40" s="3" t="s">
        <v>494</v>
      </c>
      <c r="AW40" s="3" t="s">
        <v>495</v>
      </c>
      <c r="AX40" s="3" t="s">
        <v>495</v>
      </c>
      <c r="AY40" s="3" t="s">
        <v>496</v>
      </c>
      <c r="AZ40" s="3" t="s">
        <v>74</v>
      </c>
      <c r="BB40" s="3" t="s">
        <v>497</v>
      </c>
      <c r="BC40" s="3" t="s">
        <v>498</v>
      </c>
      <c r="BD40" s="3" t="s">
        <v>499</v>
      </c>
    </row>
    <row r="41" spans="1:56" ht="30" customHeight="1" x14ac:dyDescent="0.25">
      <c r="A41" s="8" t="s">
        <v>58</v>
      </c>
      <c r="B41" s="2" t="s">
        <v>500</v>
      </c>
      <c r="C41" s="2" t="s">
        <v>501</v>
      </c>
      <c r="D41" s="2" t="s">
        <v>502</v>
      </c>
      <c r="F41" s="3" t="s">
        <v>58</v>
      </c>
      <c r="G41" s="3" t="s">
        <v>59</v>
      </c>
      <c r="H41" s="3" t="s">
        <v>58</v>
      </c>
      <c r="I41" s="3" t="s">
        <v>58</v>
      </c>
      <c r="J41" s="3" t="s">
        <v>60</v>
      </c>
      <c r="K41" s="2" t="s">
        <v>503</v>
      </c>
      <c r="L41" s="2" t="s">
        <v>504</v>
      </c>
      <c r="M41" s="3" t="s">
        <v>505</v>
      </c>
      <c r="N41" s="2" t="s">
        <v>299</v>
      </c>
      <c r="O41" s="3" t="s">
        <v>64</v>
      </c>
      <c r="P41" s="3" t="s">
        <v>65</v>
      </c>
      <c r="R41" s="3" t="s">
        <v>67</v>
      </c>
      <c r="S41" s="4">
        <v>2</v>
      </c>
      <c r="T41" s="4">
        <v>2</v>
      </c>
      <c r="U41" s="5" t="s">
        <v>506</v>
      </c>
      <c r="V41" s="5" t="s">
        <v>506</v>
      </c>
      <c r="W41" s="5" t="s">
        <v>119</v>
      </c>
      <c r="X41" s="5" t="s">
        <v>119</v>
      </c>
      <c r="Y41" s="4">
        <v>154</v>
      </c>
      <c r="Z41" s="4">
        <v>110</v>
      </c>
      <c r="AA41" s="4">
        <v>152</v>
      </c>
      <c r="AB41" s="4">
        <v>1</v>
      </c>
      <c r="AC41" s="4">
        <v>2</v>
      </c>
      <c r="AD41" s="4">
        <v>3</v>
      </c>
      <c r="AE41" s="4">
        <v>4</v>
      </c>
      <c r="AF41" s="4">
        <v>2</v>
      </c>
      <c r="AG41" s="4">
        <v>2</v>
      </c>
      <c r="AH41" s="4">
        <v>0</v>
      </c>
      <c r="AI41" s="4">
        <v>0</v>
      </c>
      <c r="AJ41" s="4">
        <v>1</v>
      </c>
      <c r="AK41" s="4">
        <v>1</v>
      </c>
      <c r="AL41" s="4">
        <v>0</v>
      </c>
      <c r="AM41" s="4">
        <v>1</v>
      </c>
      <c r="AN41" s="4">
        <v>0</v>
      </c>
      <c r="AO41" s="4">
        <v>0</v>
      </c>
      <c r="AP41" s="3" t="s">
        <v>58</v>
      </c>
      <c r="AQ41" s="3" t="s">
        <v>103</v>
      </c>
      <c r="AR41" s="6" t="str">
        <f>HYPERLINK("http://catalog.hathitrust.org/Record/001576618","HathiTrust Record")</f>
        <v>HathiTrust Record</v>
      </c>
      <c r="AS41" s="6" t="str">
        <f>HYPERLINK("https://creighton-primo.hosted.exlibrisgroup.com/primo-explore/search?tab=default_tab&amp;search_scope=EVERYTHING&amp;vid=01CRU&amp;lang=en_US&amp;offset=0&amp;query=any,contains,991003128359702656","Catalog Record")</f>
        <v>Catalog Record</v>
      </c>
      <c r="AT41" s="6" t="str">
        <f>HYPERLINK("http://www.worldcat.org/oclc/671949","WorldCat Record")</f>
        <v>WorldCat Record</v>
      </c>
      <c r="AU41" s="3" t="s">
        <v>507</v>
      </c>
      <c r="AV41" s="3" t="s">
        <v>508</v>
      </c>
      <c r="AW41" s="3" t="s">
        <v>509</v>
      </c>
      <c r="AX41" s="3" t="s">
        <v>509</v>
      </c>
      <c r="AY41" s="3" t="s">
        <v>510</v>
      </c>
      <c r="AZ41" s="3" t="s">
        <v>74</v>
      </c>
      <c r="BB41" s="3" t="s">
        <v>511</v>
      </c>
      <c r="BC41" s="3" t="s">
        <v>512</v>
      </c>
      <c r="BD41" s="3" t="s">
        <v>513</v>
      </c>
    </row>
    <row r="42" spans="1:56" ht="30" customHeight="1" x14ac:dyDescent="0.25">
      <c r="A42" s="8" t="s">
        <v>58</v>
      </c>
      <c r="B42" s="2" t="s">
        <v>514</v>
      </c>
      <c r="C42" s="2" t="s">
        <v>515</v>
      </c>
      <c r="D42" s="2" t="s">
        <v>516</v>
      </c>
      <c r="F42" s="3" t="s">
        <v>58</v>
      </c>
      <c r="G42" s="3" t="s">
        <v>59</v>
      </c>
      <c r="H42" s="3" t="s">
        <v>58</v>
      </c>
      <c r="I42" s="3" t="s">
        <v>58</v>
      </c>
      <c r="J42" s="3" t="s">
        <v>60</v>
      </c>
      <c r="K42" s="2" t="s">
        <v>517</v>
      </c>
      <c r="L42" s="2" t="s">
        <v>518</v>
      </c>
      <c r="M42" s="3" t="s">
        <v>313</v>
      </c>
      <c r="O42" s="3" t="s">
        <v>64</v>
      </c>
      <c r="P42" s="3" t="s">
        <v>315</v>
      </c>
      <c r="R42" s="3" t="s">
        <v>67</v>
      </c>
      <c r="S42" s="4">
        <v>28</v>
      </c>
      <c r="T42" s="4">
        <v>28</v>
      </c>
      <c r="U42" s="5" t="s">
        <v>519</v>
      </c>
      <c r="V42" s="5" t="s">
        <v>519</v>
      </c>
      <c r="W42" s="5" t="s">
        <v>317</v>
      </c>
      <c r="X42" s="5" t="s">
        <v>317</v>
      </c>
      <c r="Y42" s="4">
        <v>210</v>
      </c>
      <c r="Z42" s="4">
        <v>175</v>
      </c>
      <c r="AA42" s="4">
        <v>189</v>
      </c>
      <c r="AB42" s="4">
        <v>1</v>
      </c>
      <c r="AC42" s="4">
        <v>1</v>
      </c>
      <c r="AD42" s="4">
        <v>4</v>
      </c>
      <c r="AE42" s="4">
        <v>4</v>
      </c>
      <c r="AF42" s="4">
        <v>2</v>
      </c>
      <c r="AG42" s="4">
        <v>2</v>
      </c>
      <c r="AH42" s="4">
        <v>1</v>
      </c>
      <c r="AI42" s="4">
        <v>1</v>
      </c>
      <c r="AJ42" s="4">
        <v>2</v>
      </c>
      <c r="AK42" s="4">
        <v>2</v>
      </c>
      <c r="AL42" s="4">
        <v>0</v>
      </c>
      <c r="AM42" s="4">
        <v>0</v>
      </c>
      <c r="AN42" s="4">
        <v>0</v>
      </c>
      <c r="AO42" s="4">
        <v>0</v>
      </c>
      <c r="AP42" s="3" t="s">
        <v>58</v>
      </c>
      <c r="AQ42" s="3" t="s">
        <v>103</v>
      </c>
      <c r="AR42" s="6" t="str">
        <f>HYPERLINK("http://catalog.hathitrust.org/Record/000399837","HathiTrust Record")</f>
        <v>HathiTrust Record</v>
      </c>
      <c r="AS42" s="6" t="str">
        <f>HYPERLINK("https://creighton-primo.hosted.exlibrisgroup.com/primo-explore/search?tab=default_tab&amp;search_scope=EVERYTHING&amp;vid=01CRU&amp;lang=en_US&amp;offset=0&amp;query=any,contains,991000745499702656","Catalog Record")</f>
        <v>Catalog Record</v>
      </c>
      <c r="AT42" s="6" t="str">
        <f>HYPERLINK("http://www.worldcat.org/oclc/12839303","WorldCat Record")</f>
        <v>WorldCat Record</v>
      </c>
      <c r="AU42" s="3" t="s">
        <v>520</v>
      </c>
      <c r="AV42" s="3" t="s">
        <v>521</v>
      </c>
      <c r="AW42" s="3" t="s">
        <v>522</v>
      </c>
      <c r="AX42" s="3" t="s">
        <v>522</v>
      </c>
      <c r="AY42" s="3" t="s">
        <v>523</v>
      </c>
      <c r="AZ42" s="3" t="s">
        <v>74</v>
      </c>
      <c r="BB42" s="3" t="s">
        <v>524</v>
      </c>
      <c r="BC42" s="3" t="s">
        <v>525</v>
      </c>
      <c r="BD42" s="3" t="s">
        <v>526</v>
      </c>
    </row>
    <row r="43" spans="1:56" ht="30" customHeight="1" x14ac:dyDescent="0.25">
      <c r="A43" s="8" t="s">
        <v>58</v>
      </c>
      <c r="B43" s="2" t="s">
        <v>527</v>
      </c>
      <c r="C43" s="2" t="s">
        <v>528</v>
      </c>
      <c r="D43" s="2" t="s">
        <v>529</v>
      </c>
      <c r="F43" s="3" t="s">
        <v>58</v>
      </c>
      <c r="G43" s="3" t="s">
        <v>59</v>
      </c>
      <c r="H43" s="3" t="s">
        <v>103</v>
      </c>
      <c r="I43" s="3" t="s">
        <v>58</v>
      </c>
      <c r="J43" s="3" t="s">
        <v>60</v>
      </c>
      <c r="K43" s="2" t="s">
        <v>530</v>
      </c>
      <c r="L43" s="2" t="s">
        <v>531</v>
      </c>
      <c r="M43" s="3" t="s">
        <v>298</v>
      </c>
      <c r="O43" s="3" t="s">
        <v>64</v>
      </c>
      <c r="P43" s="3" t="s">
        <v>65</v>
      </c>
      <c r="R43" s="3" t="s">
        <v>67</v>
      </c>
      <c r="S43" s="4">
        <v>2</v>
      </c>
      <c r="T43" s="4">
        <v>6</v>
      </c>
      <c r="U43" s="5" t="s">
        <v>532</v>
      </c>
      <c r="V43" s="5" t="s">
        <v>533</v>
      </c>
      <c r="W43" s="5" t="s">
        <v>102</v>
      </c>
      <c r="X43" s="5" t="s">
        <v>102</v>
      </c>
      <c r="Y43" s="4">
        <v>193</v>
      </c>
      <c r="Z43" s="4">
        <v>121</v>
      </c>
      <c r="AA43" s="4">
        <v>123</v>
      </c>
      <c r="AB43" s="4">
        <v>2</v>
      </c>
      <c r="AC43" s="4">
        <v>2</v>
      </c>
      <c r="AD43" s="4">
        <v>1</v>
      </c>
      <c r="AE43" s="4">
        <v>1</v>
      </c>
      <c r="AF43" s="4">
        <v>0</v>
      </c>
      <c r="AG43" s="4">
        <v>0</v>
      </c>
      <c r="AH43" s="4">
        <v>1</v>
      </c>
      <c r="AI43" s="4">
        <v>1</v>
      </c>
      <c r="AJ43" s="4">
        <v>1</v>
      </c>
      <c r="AK43" s="4">
        <v>1</v>
      </c>
      <c r="AL43" s="4">
        <v>0</v>
      </c>
      <c r="AM43" s="4">
        <v>0</v>
      </c>
      <c r="AN43" s="4">
        <v>0</v>
      </c>
      <c r="AO43" s="4">
        <v>0</v>
      </c>
      <c r="AP43" s="3" t="s">
        <v>58</v>
      </c>
      <c r="AQ43" s="3" t="s">
        <v>103</v>
      </c>
      <c r="AR43" s="6" t="str">
        <f>HYPERLINK("http://catalog.hathitrust.org/Record/000259907","HathiTrust Record")</f>
        <v>HathiTrust Record</v>
      </c>
      <c r="AS43" s="6" t="str">
        <f>HYPERLINK("https://creighton-primo.hosted.exlibrisgroup.com/primo-explore/search?tab=default_tab&amp;search_scope=EVERYTHING&amp;vid=01CRU&amp;lang=en_US&amp;offset=0&amp;query=any,contains,991001788039702656","Catalog Record")</f>
        <v>Catalog Record</v>
      </c>
      <c r="AT43" s="6" t="str">
        <f>HYPERLINK("http://www.worldcat.org/oclc/4638326","WorldCat Record")</f>
        <v>WorldCat Record</v>
      </c>
      <c r="AU43" s="3" t="s">
        <v>534</v>
      </c>
      <c r="AV43" s="3" t="s">
        <v>535</v>
      </c>
      <c r="AW43" s="3" t="s">
        <v>536</v>
      </c>
      <c r="AX43" s="3" t="s">
        <v>536</v>
      </c>
      <c r="AY43" s="3" t="s">
        <v>537</v>
      </c>
      <c r="AZ43" s="3" t="s">
        <v>74</v>
      </c>
      <c r="BB43" s="3" t="s">
        <v>538</v>
      </c>
      <c r="BC43" s="3" t="s">
        <v>539</v>
      </c>
      <c r="BD43" s="3" t="s">
        <v>540</v>
      </c>
    </row>
    <row r="44" spans="1:56" ht="30" customHeight="1" x14ac:dyDescent="0.25">
      <c r="A44" s="8" t="s">
        <v>58</v>
      </c>
      <c r="B44" s="2" t="s">
        <v>541</v>
      </c>
      <c r="C44" s="2" t="s">
        <v>542</v>
      </c>
      <c r="D44" s="2" t="s">
        <v>543</v>
      </c>
      <c r="F44" s="3" t="s">
        <v>58</v>
      </c>
      <c r="G44" s="3" t="s">
        <v>59</v>
      </c>
      <c r="H44" s="3" t="s">
        <v>58</v>
      </c>
      <c r="I44" s="3" t="s">
        <v>103</v>
      </c>
      <c r="J44" s="3" t="s">
        <v>60</v>
      </c>
      <c r="K44" s="2" t="s">
        <v>544</v>
      </c>
      <c r="L44" s="2" t="s">
        <v>545</v>
      </c>
      <c r="M44" s="3" t="s">
        <v>546</v>
      </c>
      <c r="N44" s="2" t="s">
        <v>461</v>
      </c>
      <c r="O44" s="3" t="s">
        <v>64</v>
      </c>
      <c r="P44" s="3" t="s">
        <v>65</v>
      </c>
      <c r="R44" s="3" t="s">
        <v>67</v>
      </c>
      <c r="S44" s="4">
        <v>4</v>
      </c>
      <c r="T44" s="4">
        <v>4</v>
      </c>
      <c r="U44" s="5" t="s">
        <v>547</v>
      </c>
      <c r="V44" s="5" t="s">
        <v>547</v>
      </c>
      <c r="W44" s="5" t="s">
        <v>102</v>
      </c>
      <c r="X44" s="5" t="s">
        <v>102</v>
      </c>
      <c r="Y44" s="4">
        <v>523</v>
      </c>
      <c r="Z44" s="4">
        <v>361</v>
      </c>
      <c r="AA44" s="4">
        <v>1161</v>
      </c>
      <c r="AB44" s="4">
        <v>4</v>
      </c>
      <c r="AC44" s="4">
        <v>11</v>
      </c>
      <c r="AD44" s="4">
        <v>9</v>
      </c>
      <c r="AE44" s="4">
        <v>38</v>
      </c>
      <c r="AF44" s="4">
        <v>3</v>
      </c>
      <c r="AG44" s="4">
        <v>13</v>
      </c>
      <c r="AH44" s="4">
        <v>2</v>
      </c>
      <c r="AI44" s="4">
        <v>7</v>
      </c>
      <c r="AJ44" s="4">
        <v>3</v>
      </c>
      <c r="AK44" s="4">
        <v>18</v>
      </c>
      <c r="AL44" s="4">
        <v>2</v>
      </c>
      <c r="AM44" s="4">
        <v>7</v>
      </c>
      <c r="AN44" s="4">
        <v>0</v>
      </c>
      <c r="AO44" s="4">
        <v>0</v>
      </c>
      <c r="AP44" s="3" t="s">
        <v>58</v>
      </c>
      <c r="AQ44" s="3" t="s">
        <v>103</v>
      </c>
      <c r="AR44" s="6" t="str">
        <f>HYPERLINK("http://catalog.hathitrust.org/Record/001552940","HathiTrust Record")</f>
        <v>HathiTrust Record</v>
      </c>
      <c r="AS44" s="6" t="str">
        <f>HYPERLINK("https://creighton-primo.hosted.exlibrisgroup.com/primo-explore/search?tab=default_tab&amp;search_scope=EVERYTHING&amp;vid=01CRU&amp;lang=en_US&amp;offset=0&amp;query=any,contains,991003559769702656","Catalog Record")</f>
        <v>Catalog Record</v>
      </c>
      <c r="AT44" s="6" t="str">
        <f>HYPERLINK("http://www.worldcat.org/oclc/1129929","WorldCat Record")</f>
        <v>WorldCat Record</v>
      </c>
      <c r="AU44" s="3" t="s">
        <v>548</v>
      </c>
      <c r="AV44" s="3" t="s">
        <v>549</v>
      </c>
      <c r="AW44" s="3" t="s">
        <v>550</v>
      </c>
      <c r="AX44" s="3" t="s">
        <v>550</v>
      </c>
      <c r="AY44" s="3" t="s">
        <v>551</v>
      </c>
      <c r="AZ44" s="3" t="s">
        <v>74</v>
      </c>
      <c r="BB44" s="3" t="s">
        <v>552</v>
      </c>
      <c r="BC44" s="3" t="s">
        <v>553</v>
      </c>
      <c r="BD44" s="3" t="s">
        <v>554</v>
      </c>
    </row>
    <row r="45" spans="1:56" ht="30" customHeight="1" x14ac:dyDescent="0.25">
      <c r="A45" s="8" t="s">
        <v>58</v>
      </c>
      <c r="B45" s="2" t="s">
        <v>555</v>
      </c>
      <c r="C45" s="2" t="s">
        <v>556</v>
      </c>
      <c r="D45" s="2" t="s">
        <v>557</v>
      </c>
      <c r="F45" s="3" t="s">
        <v>58</v>
      </c>
      <c r="G45" s="3" t="s">
        <v>59</v>
      </c>
      <c r="H45" s="3" t="s">
        <v>58</v>
      </c>
      <c r="I45" s="3" t="s">
        <v>58</v>
      </c>
      <c r="J45" s="3" t="s">
        <v>60</v>
      </c>
      <c r="K45" s="2" t="s">
        <v>558</v>
      </c>
      <c r="L45" s="2" t="s">
        <v>559</v>
      </c>
      <c r="M45" s="3" t="s">
        <v>560</v>
      </c>
      <c r="O45" s="3" t="s">
        <v>64</v>
      </c>
      <c r="P45" s="3" t="s">
        <v>65</v>
      </c>
      <c r="R45" s="3" t="s">
        <v>67</v>
      </c>
      <c r="S45" s="4">
        <v>1</v>
      </c>
      <c r="T45" s="4">
        <v>1</v>
      </c>
      <c r="U45" s="5" t="s">
        <v>561</v>
      </c>
      <c r="V45" s="5" t="s">
        <v>561</v>
      </c>
      <c r="W45" s="5" t="s">
        <v>102</v>
      </c>
      <c r="X45" s="5" t="s">
        <v>102</v>
      </c>
      <c r="Y45" s="4">
        <v>182</v>
      </c>
      <c r="Z45" s="4">
        <v>132</v>
      </c>
      <c r="AA45" s="4">
        <v>135</v>
      </c>
      <c r="AB45" s="4">
        <v>1</v>
      </c>
      <c r="AC45" s="4">
        <v>1</v>
      </c>
      <c r="AD45" s="4">
        <v>4</v>
      </c>
      <c r="AE45" s="4">
        <v>4</v>
      </c>
      <c r="AF45" s="4">
        <v>2</v>
      </c>
      <c r="AG45" s="4">
        <v>2</v>
      </c>
      <c r="AH45" s="4">
        <v>1</v>
      </c>
      <c r="AI45" s="4">
        <v>1</v>
      </c>
      <c r="AJ45" s="4">
        <v>3</v>
      </c>
      <c r="AK45" s="4">
        <v>3</v>
      </c>
      <c r="AL45" s="4">
        <v>0</v>
      </c>
      <c r="AM45" s="4">
        <v>0</v>
      </c>
      <c r="AN45" s="4">
        <v>0</v>
      </c>
      <c r="AO45" s="4">
        <v>0</v>
      </c>
      <c r="AP45" s="3" t="s">
        <v>58</v>
      </c>
      <c r="AQ45" s="3" t="s">
        <v>58</v>
      </c>
      <c r="AS45" s="6" t="str">
        <f>HYPERLINK("https://creighton-primo.hosted.exlibrisgroup.com/primo-explore/search?tab=default_tab&amp;search_scope=EVERYTHING&amp;vid=01CRU&amp;lang=en_US&amp;offset=0&amp;query=any,contains,991000266479702656","Catalog Record")</f>
        <v>Catalog Record</v>
      </c>
      <c r="AT45" s="6" t="str">
        <f>HYPERLINK("http://www.worldcat.org/oclc/9830268","WorldCat Record")</f>
        <v>WorldCat Record</v>
      </c>
      <c r="AU45" s="3" t="s">
        <v>562</v>
      </c>
      <c r="AV45" s="3" t="s">
        <v>563</v>
      </c>
      <c r="AW45" s="3" t="s">
        <v>564</v>
      </c>
      <c r="AX45" s="3" t="s">
        <v>564</v>
      </c>
      <c r="AY45" s="3" t="s">
        <v>565</v>
      </c>
      <c r="AZ45" s="3" t="s">
        <v>74</v>
      </c>
      <c r="BB45" s="3" t="s">
        <v>566</v>
      </c>
      <c r="BC45" s="3" t="s">
        <v>567</v>
      </c>
      <c r="BD45" s="3" t="s">
        <v>568</v>
      </c>
    </row>
    <row r="46" spans="1:56" ht="30" customHeight="1" x14ac:dyDescent="0.25">
      <c r="A46" s="8" t="s">
        <v>58</v>
      </c>
      <c r="B46" s="2" t="s">
        <v>569</v>
      </c>
      <c r="C46" s="2" t="s">
        <v>570</v>
      </c>
      <c r="D46" s="2" t="s">
        <v>571</v>
      </c>
      <c r="F46" s="3" t="s">
        <v>58</v>
      </c>
      <c r="G46" s="3" t="s">
        <v>59</v>
      </c>
      <c r="H46" s="3" t="s">
        <v>58</v>
      </c>
      <c r="I46" s="3" t="s">
        <v>58</v>
      </c>
      <c r="J46" s="3" t="s">
        <v>60</v>
      </c>
      <c r="K46" s="2" t="s">
        <v>572</v>
      </c>
      <c r="L46" s="2" t="s">
        <v>573</v>
      </c>
      <c r="M46" s="3" t="s">
        <v>574</v>
      </c>
      <c r="O46" s="3" t="s">
        <v>64</v>
      </c>
      <c r="P46" s="3" t="s">
        <v>133</v>
      </c>
      <c r="R46" s="3" t="s">
        <v>67</v>
      </c>
      <c r="S46" s="4">
        <v>4</v>
      </c>
      <c r="T46" s="4">
        <v>4</v>
      </c>
      <c r="U46" s="5" t="s">
        <v>575</v>
      </c>
      <c r="V46" s="5" t="s">
        <v>575</v>
      </c>
      <c r="W46" s="5" t="s">
        <v>576</v>
      </c>
      <c r="X46" s="5" t="s">
        <v>576</v>
      </c>
      <c r="Y46" s="4">
        <v>323</v>
      </c>
      <c r="Z46" s="4">
        <v>224</v>
      </c>
      <c r="AA46" s="4">
        <v>224</v>
      </c>
      <c r="AB46" s="4">
        <v>2</v>
      </c>
      <c r="AC46" s="4">
        <v>2</v>
      </c>
      <c r="AD46" s="4">
        <v>10</v>
      </c>
      <c r="AE46" s="4">
        <v>10</v>
      </c>
      <c r="AF46" s="4">
        <v>5</v>
      </c>
      <c r="AG46" s="4">
        <v>5</v>
      </c>
      <c r="AH46" s="4">
        <v>4</v>
      </c>
      <c r="AI46" s="4">
        <v>4</v>
      </c>
      <c r="AJ46" s="4">
        <v>5</v>
      </c>
      <c r="AK46" s="4">
        <v>5</v>
      </c>
      <c r="AL46" s="4">
        <v>1</v>
      </c>
      <c r="AM46" s="4">
        <v>1</v>
      </c>
      <c r="AN46" s="4">
        <v>0</v>
      </c>
      <c r="AO46" s="4">
        <v>0</v>
      </c>
      <c r="AP46" s="3" t="s">
        <v>58</v>
      </c>
      <c r="AQ46" s="3" t="s">
        <v>58</v>
      </c>
      <c r="AS46" s="6" t="str">
        <f>HYPERLINK("https://creighton-primo.hosted.exlibrisgroup.com/primo-explore/search?tab=default_tab&amp;search_scope=EVERYTHING&amp;vid=01CRU&amp;lang=en_US&amp;offset=0&amp;query=any,contains,991002170439702656","Catalog Record")</f>
        <v>Catalog Record</v>
      </c>
      <c r="AT46" s="6" t="str">
        <f>HYPERLINK("http://www.worldcat.org/oclc/27935809","WorldCat Record")</f>
        <v>WorldCat Record</v>
      </c>
      <c r="AU46" s="3" t="s">
        <v>577</v>
      </c>
      <c r="AV46" s="3" t="s">
        <v>578</v>
      </c>
      <c r="AW46" s="3" t="s">
        <v>579</v>
      </c>
      <c r="AX46" s="3" t="s">
        <v>579</v>
      </c>
      <c r="AY46" s="3" t="s">
        <v>580</v>
      </c>
      <c r="AZ46" s="3" t="s">
        <v>74</v>
      </c>
      <c r="BB46" s="3" t="s">
        <v>581</v>
      </c>
      <c r="BC46" s="3" t="s">
        <v>582</v>
      </c>
      <c r="BD46" s="3" t="s">
        <v>583</v>
      </c>
    </row>
    <row r="47" spans="1:56" ht="30" customHeight="1" x14ac:dyDescent="0.25">
      <c r="A47" s="8" t="s">
        <v>58</v>
      </c>
      <c r="B47" s="2" t="s">
        <v>584</v>
      </c>
      <c r="C47" s="2" t="s">
        <v>585</v>
      </c>
      <c r="D47" s="2" t="s">
        <v>586</v>
      </c>
      <c r="F47" s="3" t="s">
        <v>58</v>
      </c>
      <c r="G47" s="3" t="s">
        <v>59</v>
      </c>
      <c r="H47" s="3" t="s">
        <v>103</v>
      </c>
      <c r="I47" s="3" t="s">
        <v>103</v>
      </c>
      <c r="J47" s="3" t="s">
        <v>60</v>
      </c>
      <c r="K47" s="2" t="s">
        <v>587</v>
      </c>
      <c r="L47" s="2" t="s">
        <v>588</v>
      </c>
      <c r="M47" s="3" t="s">
        <v>83</v>
      </c>
      <c r="N47" s="2" t="s">
        <v>589</v>
      </c>
      <c r="O47" s="3" t="s">
        <v>64</v>
      </c>
      <c r="P47" s="3" t="s">
        <v>133</v>
      </c>
      <c r="R47" s="3" t="s">
        <v>67</v>
      </c>
      <c r="S47" s="4">
        <v>3</v>
      </c>
      <c r="T47" s="4">
        <v>36</v>
      </c>
      <c r="U47" s="5" t="s">
        <v>590</v>
      </c>
      <c r="V47" s="5" t="s">
        <v>591</v>
      </c>
      <c r="W47" s="5" t="s">
        <v>592</v>
      </c>
      <c r="X47" s="5" t="s">
        <v>593</v>
      </c>
      <c r="Y47" s="4">
        <v>404</v>
      </c>
      <c r="Z47" s="4">
        <v>312</v>
      </c>
      <c r="AA47" s="4">
        <v>1161</v>
      </c>
      <c r="AB47" s="4">
        <v>3</v>
      </c>
      <c r="AC47" s="4">
        <v>11</v>
      </c>
      <c r="AD47" s="4">
        <v>15</v>
      </c>
      <c r="AE47" s="4">
        <v>38</v>
      </c>
      <c r="AF47" s="4">
        <v>3</v>
      </c>
      <c r="AG47" s="4">
        <v>13</v>
      </c>
      <c r="AH47" s="4">
        <v>5</v>
      </c>
      <c r="AI47" s="4">
        <v>7</v>
      </c>
      <c r="AJ47" s="4">
        <v>10</v>
      </c>
      <c r="AK47" s="4">
        <v>18</v>
      </c>
      <c r="AL47" s="4">
        <v>1</v>
      </c>
      <c r="AM47" s="4">
        <v>7</v>
      </c>
      <c r="AN47" s="4">
        <v>0</v>
      </c>
      <c r="AO47" s="4">
        <v>0</v>
      </c>
      <c r="AP47" s="3" t="s">
        <v>58</v>
      </c>
      <c r="AQ47" s="3" t="s">
        <v>58</v>
      </c>
      <c r="AS47" s="6" t="str">
        <f>HYPERLINK("https://creighton-primo.hosted.exlibrisgroup.com/primo-explore/search?tab=default_tab&amp;search_scope=EVERYTHING&amp;vid=01CRU&amp;lang=en_US&amp;offset=0&amp;query=any,contains,991001798809702656","Catalog Record")</f>
        <v>Catalog Record</v>
      </c>
      <c r="AT47" s="6" t="str">
        <f>HYPERLINK("http://www.worldcat.org/oclc/28294089","WorldCat Record")</f>
        <v>WorldCat Record</v>
      </c>
      <c r="AU47" s="3" t="s">
        <v>548</v>
      </c>
      <c r="AV47" s="3" t="s">
        <v>594</v>
      </c>
      <c r="AW47" s="3" t="s">
        <v>595</v>
      </c>
      <c r="AX47" s="3" t="s">
        <v>595</v>
      </c>
      <c r="AY47" s="3" t="s">
        <v>596</v>
      </c>
      <c r="AZ47" s="3" t="s">
        <v>74</v>
      </c>
      <c r="BB47" s="3" t="s">
        <v>597</v>
      </c>
      <c r="BC47" s="3" t="s">
        <v>598</v>
      </c>
      <c r="BD47" s="3" t="s">
        <v>599</v>
      </c>
    </row>
    <row r="48" spans="1:56" ht="30" customHeight="1" x14ac:dyDescent="0.25">
      <c r="A48" s="8" t="s">
        <v>58</v>
      </c>
      <c r="B48" s="2" t="s">
        <v>600</v>
      </c>
      <c r="C48" s="2" t="s">
        <v>601</v>
      </c>
      <c r="D48" s="2" t="s">
        <v>602</v>
      </c>
      <c r="F48" s="3" t="s">
        <v>58</v>
      </c>
      <c r="G48" s="3" t="s">
        <v>59</v>
      </c>
      <c r="H48" s="3" t="s">
        <v>58</v>
      </c>
      <c r="I48" s="3" t="s">
        <v>103</v>
      </c>
      <c r="J48" s="3" t="s">
        <v>60</v>
      </c>
      <c r="K48" s="2" t="s">
        <v>603</v>
      </c>
      <c r="L48" s="2" t="s">
        <v>604</v>
      </c>
      <c r="M48" s="3" t="s">
        <v>298</v>
      </c>
      <c r="O48" s="3" t="s">
        <v>64</v>
      </c>
      <c r="P48" s="3" t="s">
        <v>605</v>
      </c>
      <c r="R48" s="3" t="s">
        <v>67</v>
      </c>
      <c r="S48" s="4">
        <v>24</v>
      </c>
      <c r="T48" s="4">
        <v>24</v>
      </c>
      <c r="U48" s="5" t="s">
        <v>606</v>
      </c>
      <c r="V48" s="5" t="s">
        <v>606</v>
      </c>
      <c r="W48" s="5" t="s">
        <v>607</v>
      </c>
      <c r="X48" s="5" t="s">
        <v>607</v>
      </c>
      <c r="Y48" s="4">
        <v>258</v>
      </c>
      <c r="Z48" s="4">
        <v>154</v>
      </c>
      <c r="AA48" s="4">
        <v>295</v>
      </c>
      <c r="AB48" s="4">
        <v>3</v>
      </c>
      <c r="AC48" s="4">
        <v>4</v>
      </c>
      <c r="AD48" s="4">
        <v>4</v>
      </c>
      <c r="AE48" s="4">
        <v>7</v>
      </c>
      <c r="AF48" s="4">
        <v>1</v>
      </c>
      <c r="AG48" s="4">
        <v>2</v>
      </c>
      <c r="AH48" s="4">
        <v>0</v>
      </c>
      <c r="AI48" s="4">
        <v>0</v>
      </c>
      <c r="AJ48" s="4">
        <v>1</v>
      </c>
      <c r="AK48" s="4">
        <v>4</v>
      </c>
      <c r="AL48" s="4">
        <v>2</v>
      </c>
      <c r="AM48" s="4">
        <v>2</v>
      </c>
      <c r="AN48" s="4">
        <v>0</v>
      </c>
      <c r="AO48" s="4">
        <v>0</v>
      </c>
      <c r="AP48" s="3" t="s">
        <v>58</v>
      </c>
      <c r="AQ48" s="3" t="s">
        <v>58</v>
      </c>
      <c r="AS48" s="6" t="str">
        <f>HYPERLINK("https://creighton-primo.hosted.exlibrisgroup.com/primo-explore/search?tab=default_tab&amp;search_scope=EVERYTHING&amp;vid=01CRU&amp;lang=en_US&amp;offset=0&amp;query=any,contains,991004775169702656","Catalog Record")</f>
        <v>Catalog Record</v>
      </c>
      <c r="AT48" s="6" t="str">
        <f>HYPERLINK("http://www.worldcat.org/oclc/5100989","WorldCat Record")</f>
        <v>WorldCat Record</v>
      </c>
      <c r="AU48" s="3" t="s">
        <v>608</v>
      </c>
      <c r="AV48" s="3" t="s">
        <v>609</v>
      </c>
      <c r="AW48" s="3" t="s">
        <v>610</v>
      </c>
      <c r="AX48" s="3" t="s">
        <v>610</v>
      </c>
      <c r="AY48" s="3" t="s">
        <v>611</v>
      </c>
      <c r="AZ48" s="3" t="s">
        <v>74</v>
      </c>
      <c r="BB48" s="3" t="s">
        <v>612</v>
      </c>
      <c r="BC48" s="3" t="s">
        <v>613</v>
      </c>
      <c r="BD48" s="3" t="s">
        <v>614</v>
      </c>
    </row>
    <row r="49" spans="1:56" ht="30" customHeight="1" x14ac:dyDescent="0.25">
      <c r="A49" s="8" t="s">
        <v>58</v>
      </c>
      <c r="B49" s="2" t="s">
        <v>615</v>
      </c>
      <c r="C49" s="2" t="s">
        <v>616</v>
      </c>
      <c r="D49" s="2" t="s">
        <v>617</v>
      </c>
      <c r="F49" s="3" t="s">
        <v>58</v>
      </c>
      <c r="G49" s="3" t="s">
        <v>59</v>
      </c>
      <c r="H49" s="3" t="s">
        <v>58</v>
      </c>
      <c r="I49" s="3" t="s">
        <v>58</v>
      </c>
      <c r="J49" s="3" t="s">
        <v>60</v>
      </c>
      <c r="K49" s="2" t="s">
        <v>618</v>
      </c>
      <c r="L49" s="2" t="s">
        <v>619</v>
      </c>
      <c r="M49" s="3" t="s">
        <v>298</v>
      </c>
      <c r="O49" s="3" t="s">
        <v>64</v>
      </c>
      <c r="P49" s="3" t="s">
        <v>65</v>
      </c>
      <c r="R49" s="3" t="s">
        <v>67</v>
      </c>
      <c r="S49" s="4">
        <v>6</v>
      </c>
      <c r="T49" s="4">
        <v>6</v>
      </c>
      <c r="U49" s="5" t="s">
        <v>620</v>
      </c>
      <c r="V49" s="5" t="s">
        <v>620</v>
      </c>
      <c r="W49" s="5" t="s">
        <v>102</v>
      </c>
      <c r="X49" s="5" t="s">
        <v>102</v>
      </c>
      <c r="Y49" s="4">
        <v>263</v>
      </c>
      <c r="Z49" s="4">
        <v>191</v>
      </c>
      <c r="AA49" s="4">
        <v>198</v>
      </c>
      <c r="AB49" s="4">
        <v>3</v>
      </c>
      <c r="AC49" s="4">
        <v>3</v>
      </c>
      <c r="AD49" s="4">
        <v>6</v>
      </c>
      <c r="AE49" s="4">
        <v>6</v>
      </c>
      <c r="AF49" s="4">
        <v>0</v>
      </c>
      <c r="AG49" s="4">
        <v>0</v>
      </c>
      <c r="AH49" s="4">
        <v>0</v>
      </c>
      <c r="AI49" s="4">
        <v>0</v>
      </c>
      <c r="AJ49" s="4">
        <v>4</v>
      </c>
      <c r="AK49" s="4">
        <v>4</v>
      </c>
      <c r="AL49" s="4">
        <v>2</v>
      </c>
      <c r="AM49" s="4">
        <v>2</v>
      </c>
      <c r="AN49" s="4">
        <v>0</v>
      </c>
      <c r="AO49" s="4">
        <v>0</v>
      </c>
      <c r="AP49" s="3" t="s">
        <v>58</v>
      </c>
      <c r="AQ49" s="3" t="s">
        <v>103</v>
      </c>
      <c r="AR49" s="6" t="str">
        <f>HYPERLINK("http://catalog.hathitrust.org/Record/000256944","HathiTrust Record")</f>
        <v>HathiTrust Record</v>
      </c>
      <c r="AS49" s="6" t="str">
        <f>HYPERLINK("https://creighton-primo.hosted.exlibrisgroup.com/primo-explore/search?tab=default_tab&amp;search_scope=EVERYTHING&amp;vid=01CRU&amp;lang=en_US&amp;offset=0&amp;query=any,contains,991004664309702656","Catalog Record")</f>
        <v>Catalog Record</v>
      </c>
      <c r="AT49" s="6" t="str">
        <f>HYPERLINK("http://www.worldcat.org/oclc/4499865","WorldCat Record")</f>
        <v>WorldCat Record</v>
      </c>
      <c r="AU49" s="3" t="s">
        <v>621</v>
      </c>
      <c r="AV49" s="3" t="s">
        <v>622</v>
      </c>
      <c r="AW49" s="3" t="s">
        <v>623</v>
      </c>
      <c r="AX49" s="3" t="s">
        <v>623</v>
      </c>
      <c r="AY49" s="3" t="s">
        <v>624</v>
      </c>
      <c r="AZ49" s="3" t="s">
        <v>74</v>
      </c>
      <c r="BB49" s="3" t="s">
        <v>625</v>
      </c>
      <c r="BC49" s="3" t="s">
        <v>626</v>
      </c>
      <c r="BD49" s="3" t="s">
        <v>627</v>
      </c>
    </row>
    <row r="50" spans="1:56" ht="30" customHeight="1" x14ac:dyDescent="0.25">
      <c r="A50" s="8" t="s">
        <v>58</v>
      </c>
      <c r="B50" s="2" t="s">
        <v>628</v>
      </c>
      <c r="C50" s="2" t="s">
        <v>629</v>
      </c>
      <c r="D50" s="2" t="s">
        <v>630</v>
      </c>
      <c r="F50" s="3" t="s">
        <v>58</v>
      </c>
      <c r="G50" s="3" t="s">
        <v>59</v>
      </c>
      <c r="H50" s="3" t="s">
        <v>58</v>
      </c>
      <c r="I50" s="3" t="s">
        <v>58</v>
      </c>
      <c r="J50" s="3" t="s">
        <v>60</v>
      </c>
      <c r="K50" s="2" t="s">
        <v>631</v>
      </c>
      <c r="L50" s="2" t="s">
        <v>632</v>
      </c>
      <c r="M50" s="3" t="s">
        <v>345</v>
      </c>
      <c r="O50" s="3" t="s">
        <v>64</v>
      </c>
      <c r="P50" s="3" t="s">
        <v>65</v>
      </c>
      <c r="R50" s="3" t="s">
        <v>67</v>
      </c>
      <c r="S50" s="4">
        <v>3</v>
      </c>
      <c r="T50" s="4">
        <v>3</v>
      </c>
      <c r="U50" s="5" t="s">
        <v>633</v>
      </c>
      <c r="V50" s="5" t="s">
        <v>633</v>
      </c>
      <c r="W50" s="5" t="s">
        <v>634</v>
      </c>
      <c r="X50" s="5" t="s">
        <v>634</v>
      </c>
      <c r="Y50" s="4">
        <v>640</v>
      </c>
      <c r="Z50" s="4">
        <v>539</v>
      </c>
      <c r="AA50" s="4">
        <v>547</v>
      </c>
      <c r="AB50" s="4">
        <v>7</v>
      </c>
      <c r="AC50" s="4">
        <v>7</v>
      </c>
      <c r="AD50" s="4">
        <v>25</v>
      </c>
      <c r="AE50" s="4">
        <v>25</v>
      </c>
      <c r="AF50" s="4">
        <v>7</v>
      </c>
      <c r="AG50" s="4">
        <v>7</v>
      </c>
      <c r="AH50" s="4">
        <v>6</v>
      </c>
      <c r="AI50" s="4">
        <v>6</v>
      </c>
      <c r="AJ50" s="4">
        <v>11</v>
      </c>
      <c r="AK50" s="4">
        <v>11</v>
      </c>
      <c r="AL50" s="4">
        <v>6</v>
      </c>
      <c r="AM50" s="4">
        <v>6</v>
      </c>
      <c r="AN50" s="4">
        <v>0</v>
      </c>
      <c r="AO50" s="4">
        <v>0</v>
      </c>
      <c r="AP50" s="3" t="s">
        <v>58</v>
      </c>
      <c r="AQ50" s="3" t="s">
        <v>103</v>
      </c>
      <c r="AR50" s="6" t="str">
        <f>HYPERLINK("http://catalog.hathitrust.org/Record/001992444","HathiTrust Record")</f>
        <v>HathiTrust Record</v>
      </c>
      <c r="AS50" s="6" t="str">
        <f>HYPERLINK("https://creighton-primo.hosted.exlibrisgroup.com/primo-explore/search?tab=default_tab&amp;search_scope=EVERYTHING&amp;vid=01CRU&amp;lang=en_US&amp;offset=0&amp;query=any,contains,991005254099702656","Catalog Record")</f>
        <v>Catalog Record</v>
      </c>
      <c r="AT50" s="6" t="str">
        <f>HYPERLINK("http://www.worldcat.org/oclc/965181","WorldCat Record")</f>
        <v>WorldCat Record</v>
      </c>
      <c r="AU50" s="3" t="s">
        <v>635</v>
      </c>
      <c r="AV50" s="3" t="s">
        <v>636</v>
      </c>
      <c r="AW50" s="3" t="s">
        <v>637</v>
      </c>
      <c r="AX50" s="3" t="s">
        <v>637</v>
      </c>
      <c r="AY50" s="3" t="s">
        <v>638</v>
      </c>
      <c r="AZ50" s="3" t="s">
        <v>74</v>
      </c>
      <c r="BC50" s="3" t="s">
        <v>639</v>
      </c>
      <c r="BD50" s="3" t="s">
        <v>640</v>
      </c>
    </row>
    <row r="51" spans="1:56" ht="30" customHeight="1" x14ac:dyDescent="0.25">
      <c r="A51" s="8" t="s">
        <v>58</v>
      </c>
      <c r="B51" s="2" t="s">
        <v>641</v>
      </c>
      <c r="C51" s="2" t="s">
        <v>642</v>
      </c>
      <c r="D51" s="2" t="s">
        <v>643</v>
      </c>
      <c r="F51" s="3" t="s">
        <v>58</v>
      </c>
      <c r="G51" s="3" t="s">
        <v>59</v>
      </c>
      <c r="H51" s="3" t="s">
        <v>58</v>
      </c>
      <c r="I51" s="3" t="s">
        <v>58</v>
      </c>
      <c r="J51" s="3" t="s">
        <v>60</v>
      </c>
      <c r="L51" s="2" t="s">
        <v>644</v>
      </c>
      <c r="M51" s="3" t="s">
        <v>313</v>
      </c>
      <c r="O51" s="3" t="s">
        <v>64</v>
      </c>
      <c r="P51" s="3" t="s">
        <v>84</v>
      </c>
      <c r="R51" s="3" t="s">
        <v>67</v>
      </c>
      <c r="S51" s="4">
        <v>1</v>
      </c>
      <c r="T51" s="4">
        <v>1</v>
      </c>
      <c r="U51" s="5" t="s">
        <v>645</v>
      </c>
      <c r="V51" s="5" t="s">
        <v>645</v>
      </c>
      <c r="W51" s="5" t="s">
        <v>222</v>
      </c>
      <c r="X51" s="5" t="s">
        <v>222</v>
      </c>
      <c r="Y51" s="4">
        <v>154</v>
      </c>
      <c r="Z51" s="4">
        <v>93</v>
      </c>
      <c r="AA51" s="4">
        <v>101</v>
      </c>
      <c r="AB51" s="4">
        <v>1</v>
      </c>
      <c r="AC51" s="4">
        <v>1</v>
      </c>
      <c r="AD51" s="4">
        <v>3</v>
      </c>
      <c r="AE51" s="4">
        <v>3</v>
      </c>
      <c r="AF51" s="4">
        <v>1</v>
      </c>
      <c r="AG51" s="4">
        <v>1</v>
      </c>
      <c r="AH51" s="4">
        <v>1</v>
      </c>
      <c r="AI51" s="4">
        <v>1</v>
      </c>
      <c r="AJ51" s="4">
        <v>2</v>
      </c>
      <c r="AK51" s="4">
        <v>2</v>
      </c>
      <c r="AL51" s="4">
        <v>0</v>
      </c>
      <c r="AM51" s="4">
        <v>0</v>
      </c>
      <c r="AN51" s="4">
        <v>0</v>
      </c>
      <c r="AO51" s="4">
        <v>0</v>
      </c>
      <c r="AP51" s="3" t="s">
        <v>58</v>
      </c>
      <c r="AQ51" s="3" t="s">
        <v>103</v>
      </c>
      <c r="AR51" s="6" t="str">
        <f>HYPERLINK("http://catalog.hathitrust.org/Record/000809220","HathiTrust Record")</f>
        <v>HathiTrust Record</v>
      </c>
      <c r="AS51" s="6" t="str">
        <f>HYPERLINK("https://creighton-primo.hosted.exlibrisgroup.com/primo-explore/search?tab=default_tab&amp;search_scope=EVERYTHING&amp;vid=01CRU&amp;lang=en_US&amp;offset=0&amp;query=any,contains,991000911969702656","Catalog Record")</f>
        <v>Catalog Record</v>
      </c>
      <c r="AT51" s="6" t="str">
        <f>HYPERLINK("http://www.worldcat.org/oclc/14134898","WorldCat Record")</f>
        <v>WorldCat Record</v>
      </c>
      <c r="AU51" s="3" t="s">
        <v>646</v>
      </c>
      <c r="AV51" s="3" t="s">
        <v>647</v>
      </c>
      <c r="AW51" s="3" t="s">
        <v>648</v>
      </c>
      <c r="AX51" s="3" t="s">
        <v>648</v>
      </c>
      <c r="AY51" s="3" t="s">
        <v>649</v>
      </c>
      <c r="AZ51" s="3" t="s">
        <v>74</v>
      </c>
      <c r="BB51" s="3" t="s">
        <v>650</v>
      </c>
      <c r="BC51" s="3" t="s">
        <v>651</v>
      </c>
      <c r="BD51" s="3" t="s">
        <v>652</v>
      </c>
    </row>
    <row r="52" spans="1:56" ht="30" customHeight="1" x14ac:dyDescent="0.25">
      <c r="A52" s="8" t="s">
        <v>58</v>
      </c>
      <c r="B52" s="2" t="s">
        <v>653</v>
      </c>
      <c r="C52" s="2" t="s">
        <v>654</v>
      </c>
      <c r="D52" s="2" t="s">
        <v>655</v>
      </c>
      <c r="F52" s="3" t="s">
        <v>58</v>
      </c>
      <c r="G52" s="3" t="s">
        <v>59</v>
      </c>
      <c r="H52" s="3" t="s">
        <v>58</v>
      </c>
      <c r="I52" s="3" t="s">
        <v>58</v>
      </c>
      <c r="J52" s="3" t="s">
        <v>60</v>
      </c>
      <c r="K52" s="2" t="s">
        <v>656</v>
      </c>
      <c r="L52" s="2" t="s">
        <v>657</v>
      </c>
      <c r="M52" s="3" t="s">
        <v>658</v>
      </c>
      <c r="O52" s="3" t="s">
        <v>64</v>
      </c>
      <c r="P52" s="3" t="s">
        <v>133</v>
      </c>
      <c r="R52" s="3" t="s">
        <v>67</v>
      </c>
      <c r="S52" s="4">
        <v>1</v>
      </c>
      <c r="T52" s="4">
        <v>1</v>
      </c>
      <c r="U52" s="5" t="s">
        <v>659</v>
      </c>
      <c r="V52" s="5" t="s">
        <v>659</v>
      </c>
      <c r="W52" s="5" t="s">
        <v>660</v>
      </c>
      <c r="X52" s="5" t="s">
        <v>660</v>
      </c>
      <c r="Y52" s="4">
        <v>313</v>
      </c>
      <c r="Z52" s="4">
        <v>223</v>
      </c>
      <c r="AA52" s="4">
        <v>266</v>
      </c>
      <c r="AB52" s="4">
        <v>3</v>
      </c>
      <c r="AC52" s="4">
        <v>3</v>
      </c>
      <c r="AD52" s="4">
        <v>9</v>
      </c>
      <c r="AE52" s="4">
        <v>11</v>
      </c>
      <c r="AF52" s="4">
        <v>2</v>
      </c>
      <c r="AG52" s="4">
        <v>4</v>
      </c>
      <c r="AH52" s="4">
        <v>4</v>
      </c>
      <c r="AI52" s="4">
        <v>5</v>
      </c>
      <c r="AJ52" s="4">
        <v>3</v>
      </c>
      <c r="AK52" s="4">
        <v>3</v>
      </c>
      <c r="AL52" s="4">
        <v>2</v>
      </c>
      <c r="AM52" s="4">
        <v>2</v>
      </c>
      <c r="AN52" s="4">
        <v>0</v>
      </c>
      <c r="AO52" s="4">
        <v>0</v>
      </c>
      <c r="AP52" s="3" t="s">
        <v>58</v>
      </c>
      <c r="AQ52" s="3" t="s">
        <v>103</v>
      </c>
      <c r="AR52" s="6" t="str">
        <f>HYPERLINK("http://catalog.hathitrust.org/Record/000177736","HathiTrust Record")</f>
        <v>HathiTrust Record</v>
      </c>
      <c r="AS52" s="6" t="str">
        <f>HYPERLINK("https://creighton-primo.hosted.exlibrisgroup.com/primo-explore/search?tab=default_tab&amp;search_scope=EVERYTHING&amp;vid=01CRU&amp;lang=en_US&amp;offset=0&amp;query=any,contains,991004572049702656","Catalog Record")</f>
        <v>Catalog Record</v>
      </c>
      <c r="AT52" s="6" t="str">
        <f>HYPERLINK("http://www.worldcat.org/oclc/4036244","WorldCat Record")</f>
        <v>WorldCat Record</v>
      </c>
      <c r="AU52" s="3" t="s">
        <v>661</v>
      </c>
      <c r="AV52" s="3" t="s">
        <v>662</v>
      </c>
      <c r="AW52" s="3" t="s">
        <v>663</v>
      </c>
      <c r="AX52" s="3" t="s">
        <v>663</v>
      </c>
      <c r="AY52" s="3" t="s">
        <v>664</v>
      </c>
      <c r="AZ52" s="3" t="s">
        <v>74</v>
      </c>
      <c r="BB52" s="3" t="s">
        <v>665</v>
      </c>
      <c r="BC52" s="3" t="s">
        <v>666</v>
      </c>
      <c r="BD52" s="3" t="s">
        <v>667</v>
      </c>
    </row>
    <row r="53" spans="1:56" ht="30" customHeight="1" x14ac:dyDescent="0.25">
      <c r="A53" s="8" t="s">
        <v>58</v>
      </c>
      <c r="B53" s="2" t="s">
        <v>668</v>
      </c>
      <c r="C53" s="2" t="s">
        <v>669</v>
      </c>
      <c r="D53" s="2" t="s">
        <v>670</v>
      </c>
      <c r="F53" s="3" t="s">
        <v>58</v>
      </c>
      <c r="G53" s="3" t="s">
        <v>59</v>
      </c>
      <c r="H53" s="3" t="s">
        <v>58</v>
      </c>
      <c r="I53" s="3" t="s">
        <v>58</v>
      </c>
      <c r="J53" s="3" t="s">
        <v>60</v>
      </c>
      <c r="K53" s="2" t="s">
        <v>671</v>
      </c>
      <c r="L53" s="2" t="s">
        <v>672</v>
      </c>
      <c r="M53" s="3" t="s">
        <v>403</v>
      </c>
      <c r="O53" s="3" t="s">
        <v>64</v>
      </c>
      <c r="P53" s="3" t="s">
        <v>84</v>
      </c>
      <c r="Q53" s="2" t="s">
        <v>673</v>
      </c>
      <c r="R53" s="3" t="s">
        <v>67</v>
      </c>
      <c r="S53" s="4">
        <v>2</v>
      </c>
      <c r="T53" s="4">
        <v>2</v>
      </c>
      <c r="U53" s="5" t="s">
        <v>674</v>
      </c>
      <c r="V53" s="5" t="s">
        <v>674</v>
      </c>
      <c r="W53" s="5" t="s">
        <v>222</v>
      </c>
      <c r="X53" s="5" t="s">
        <v>222</v>
      </c>
      <c r="Y53" s="4">
        <v>174</v>
      </c>
      <c r="Z53" s="4">
        <v>79</v>
      </c>
      <c r="AA53" s="4">
        <v>149</v>
      </c>
      <c r="AB53" s="4">
        <v>1</v>
      </c>
      <c r="AC53" s="4">
        <v>2</v>
      </c>
      <c r="AD53" s="4">
        <v>5</v>
      </c>
      <c r="AE53" s="4">
        <v>8</v>
      </c>
      <c r="AF53" s="4">
        <v>1</v>
      </c>
      <c r="AG53" s="4">
        <v>1</v>
      </c>
      <c r="AH53" s="4">
        <v>1</v>
      </c>
      <c r="AI53" s="4">
        <v>1</v>
      </c>
      <c r="AJ53" s="4">
        <v>4</v>
      </c>
      <c r="AK53" s="4">
        <v>6</v>
      </c>
      <c r="AL53" s="4">
        <v>0</v>
      </c>
      <c r="AM53" s="4">
        <v>1</v>
      </c>
      <c r="AN53" s="4">
        <v>0</v>
      </c>
      <c r="AO53" s="4">
        <v>0</v>
      </c>
      <c r="AP53" s="3" t="s">
        <v>58</v>
      </c>
      <c r="AQ53" s="3" t="s">
        <v>103</v>
      </c>
      <c r="AR53" s="6" t="str">
        <f>HYPERLINK("http://catalog.hathitrust.org/Record/000023567","HathiTrust Record")</f>
        <v>HathiTrust Record</v>
      </c>
      <c r="AS53" s="6" t="str">
        <f>HYPERLINK("https://creighton-primo.hosted.exlibrisgroup.com/primo-explore/search?tab=default_tab&amp;search_scope=EVERYTHING&amp;vid=01CRU&amp;lang=en_US&amp;offset=0&amp;query=any,contains,991004352699702656","Catalog Record")</f>
        <v>Catalog Record</v>
      </c>
      <c r="AT53" s="6" t="str">
        <f>HYPERLINK("http://www.worldcat.org/oclc/3121411","WorldCat Record")</f>
        <v>WorldCat Record</v>
      </c>
      <c r="AU53" s="3" t="s">
        <v>675</v>
      </c>
      <c r="AV53" s="3" t="s">
        <v>676</v>
      </c>
      <c r="AW53" s="3" t="s">
        <v>677</v>
      </c>
      <c r="AX53" s="3" t="s">
        <v>677</v>
      </c>
      <c r="AY53" s="3" t="s">
        <v>678</v>
      </c>
      <c r="AZ53" s="3" t="s">
        <v>74</v>
      </c>
      <c r="BB53" s="3" t="s">
        <v>679</v>
      </c>
      <c r="BC53" s="3" t="s">
        <v>680</v>
      </c>
      <c r="BD53" s="3" t="s">
        <v>681</v>
      </c>
    </row>
    <row r="54" spans="1:56" ht="30" customHeight="1" x14ac:dyDescent="0.25">
      <c r="A54" s="8" t="s">
        <v>58</v>
      </c>
      <c r="B54" s="2" t="s">
        <v>682</v>
      </c>
      <c r="C54" s="2" t="s">
        <v>683</v>
      </c>
      <c r="D54" s="2" t="s">
        <v>684</v>
      </c>
      <c r="E54" s="3" t="s">
        <v>685</v>
      </c>
      <c r="F54" s="3" t="s">
        <v>103</v>
      </c>
      <c r="G54" s="3" t="s">
        <v>59</v>
      </c>
      <c r="H54" s="3" t="s">
        <v>103</v>
      </c>
      <c r="I54" s="3" t="s">
        <v>58</v>
      </c>
      <c r="J54" s="3" t="s">
        <v>60</v>
      </c>
      <c r="K54" s="2" t="s">
        <v>686</v>
      </c>
      <c r="L54" s="2" t="s">
        <v>687</v>
      </c>
      <c r="M54" s="3" t="s">
        <v>688</v>
      </c>
      <c r="O54" s="3" t="s">
        <v>64</v>
      </c>
      <c r="P54" s="3" t="s">
        <v>133</v>
      </c>
      <c r="R54" s="3" t="s">
        <v>67</v>
      </c>
      <c r="S54" s="4">
        <v>1</v>
      </c>
      <c r="T54" s="4">
        <v>12</v>
      </c>
      <c r="U54" s="5" t="s">
        <v>689</v>
      </c>
      <c r="V54" s="5" t="s">
        <v>690</v>
      </c>
      <c r="W54" s="5" t="s">
        <v>102</v>
      </c>
      <c r="X54" s="5" t="s">
        <v>102</v>
      </c>
      <c r="Y54" s="4">
        <v>487</v>
      </c>
      <c r="Z54" s="4">
        <v>382</v>
      </c>
      <c r="AA54" s="4">
        <v>394</v>
      </c>
      <c r="AB54" s="4">
        <v>3</v>
      </c>
      <c r="AC54" s="4">
        <v>3</v>
      </c>
      <c r="AD54" s="4">
        <v>14</v>
      </c>
      <c r="AE54" s="4">
        <v>14</v>
      </c>
      <c r="AF54" s="4">
        <v>4</v>
      </c>
      <c r="AG54" s="4">
        <v>4</v>
      </c>
      <c r="AH54" s="4">
        <v>3</v>
      </c>
      <c r="AI54" s="4">
        <v>3</v>
      </c>
      <c r="AJ54" s="4">
        <v>9</v>
      </c>
      <c r="AK54" s="4">
        <v>9</v>
      </c>
      <c r="AL54" s="4">
        <v>1</v>
      </c>
      <c r="AM54" s="4">
        <v>1</v>
      </c>
      <c r="AN54" s="4">
        <v>0</v>
      </c>
      <c r="AO54" s="4">
        <v>0</v>
      </c>
      <c r="AP54" s="3" t="s">
        <v>103</v>
      </c>
      <c r="AQ54" s="3" t="s">
        <v>103</v>
      </c>
      <c r="AR54" s="6" t="str">
        <f>HYPERLINK("http://catalog.hathitrust.org/Record/001553050","HathiTrust Record")</f>
        <v>HathiTrust Record</v>
      </c>
      <c r="AS54" s="6" t="str">
        <f>HYPERLINK("https://creighton-primo.hosted.exlibrisgroup.com/primo-explore/search?tab=default_tab&amp;search_scope=EVERYTHING&amp;vid=01CRU&amp;lang=en_US&amp;offset=0&amp;query=any,contains,991001787919702656","Catalog Record")</f>
        <v>Catalog Record</v>
      </c>
      <c r="AT54" s="6" t="str">
        <f>HYPERLINK("http://www.worldcat.org/oclc/557828","WorldCat Record")</f>
        <v>WorldCat Record</v>
      </c>
      <c r="AU54" s="3" t="s">
        <v>691</v>
      </c>
      <c r="AV54" s="3" t="s">
        <v>692</v>
      </c>
      <c r="AW54" s="3" t="s">
        <v>693</v>
      </c>
      <c r="AX54" s="3" t="s">
        <v>693</v>
      </c>
      <c r="AY54" s="3" t="s">
        <v>694</v>
      </c>
      <c r="AZ54" s="3" t="s">
        <v>74</v>
      </c>
      <c r="BC54" s="3" t="s">
        <v>695</v>
      </c>
      <c r="BD54" s="3" t="s">
        <v>696</v>
      </c>
    </row>
    <row r="55" spans="1:56" ht="30" customHeight="1" x14ac:dyDescent="0.25">
      <c r="A55" s="8" t="s">
        <v>58</v>
      </c>
      <c r="B55" s="2" t="s">
        <v>682</v>
      </c>
      <c r="C55" s="2" t="s">
        <v>683</v>
      </c>
      <c r="D55" s="2" t="s">
        <v>684</v>
      </c>
      <c r="E55" s="3" t="s">
        <v>697</v>
      </c>
      <c r="F55" s="3" t="s">
        <v>103</v>
      </c>
      <c r="G55" s="3" t="s">
        <v>59</v>
      </c>
      <c r="H55" s="3" t="s">
        <v>103</v>
      </c>
      <c r="I55" s="3" t="s">
        <v>58</v>
      </c>
      <c r="J55" s="3" t="s">
        <v>60</v>
      </c>
      <c r="K55" s="2" t="s">
        <v>686</v>
      </c>
      <c r="L55" s="2" t="s">
        <v>687</v>
      </c>
      <c r="M55" s="3" t="s">
        <v>688</v>
      </c>
      <c r="O55" s="3" t="s">
        <v>64</v>
      </c>
      <c r="P55" s="3" t="s">
        <v>133</v>
      </c>
      <c r="R55" s="3" t="s">
        <v>67</v>
      </c>
      <c r="S55" s="4">
        <v>3</v>
      </c>
      <c r="T55" s="4">
        <v>12</v>
      </c>
      <c r="U55" s="5" t="s">
        <v>689</v>
      </c>
      <c r="V55" s="5" t="s">
        <v>690</v>
      </c>
      <c r="W55" s="5" t="s">
        <v>698</v>
      </c>
      <c r="X55" s="5" t="s">
        <v>102</v>
      </c>
      <c r="Y55" s="4">
        <v>487</v>
      </c>
      <c r="Z55" s="4">
        <v>382</v>
      </c>
      <c r="AA55" s="4">
        <v>394</v>
      </c>
      <c r="AB55" s="4">
        <v>3</v>
      </c>
      <c r="AC55" s="4">
        <v>3</v>
      </c>
      <c r="AD55" s="4">
        <v>14</v>
      </c>
      <c r="AE55" s="4">
        <v>14</v>
      </c>
      <c r="AF55" s="4">
        <v>4</v>
      </c>
      <c r="AG55" s="4">
        <v>4</v>
      </c>
      <c r="AH55" s="4">
        <v>3</v>
      </c>
      <c r="AI55" s="4">
        <v>3</v>
      </c>
      <c r="AJ55" s="4">
        <v>9</v>
      </c>
      <c r="AK55" s="4">
        <v>9</v>
      </c>
      <c r="AL55" s="4">
        <v>1</v>
      </c>
      <c r="AM55" s="4">
        <v>1</v>
      </c>
      <c r="AN55" s="4">
        <v>0</v>
      </c>
      <c r="AO55" s="4">
        <v>0</v>
      </c>
      <c r="AP55" s="3" t="s">
        <v>103</v>
      </c>
      <c r="AQ55" s="3" t="s">
        <v>103</v>
      </c>
      <c r="AR55" s="6" t="str">
        <f>HYPERLINK("http://catalog.hathitrust.org/Record/001553050","HathiTrust Record")</f>
        <v>HathiTrust Record</v>
      </c>
      <c r="AS55" s="6" t="str">
        <f>HYPERLINK("https://creighton-primo.hosted.exlibrisgroup.com/primo-explore/search?tab=default_tab&amp;search_scope=EVERYTHING&amp;vid=01CRU&amp;lang=en_US&amp;offset=0&amp;query=any,contains,991001787919702656","Catalog Record")</f>
        <v>Catalog Record</v>
      </c>
      <c r="AT55" s="6" t="str">
        <f>HYPERLINK("http://www.worldcat.org/oclc/557828","WorldCat Record")</f>
        <v>WorldCat Record</v>
      </c>
      <c r="AU55" s="3" t="s">
        <v>691</v>
      </c>
      <c r="AV55" s="3" t="s">
        <v>692</v>
      </c>
      <c r="AW55" s="3" t="s">
        <v>693</v>
      </c>
      <c r="AX55" s="3" t="s">
        <v>693</v>
      </c>
      <c r="AY55" s="3" t="s">
        <v>694</v>
      </c>
      <c r="AZ55" s="3" t="s">
        <v>74</v>
      </c>
      <c r="BC55" s="3" t="s">
        <v>699</v>
      </c>
      <c r="BD55" s="3" t="s">
        <v>700</v>
      </c>
    </row>
    <row r="56" spans="1:56" ht="30" customHeight="1" x14ac:dyDescent="0.25">
      <c r="A56" s="8" t="s">
        <v>58</v>
      </c>
      <c r="B56" s="2" t="s">
        <v>701</v>
      </c>
      <c r="C56" s="2" t="s">
        <v>702</v>
      </c>
      <c r="D56" s="2" t="s">
        <v>703</v>
      </c>
      <c r="F56" s="3" t="s">
        <v>58</v>
      </c>
      <c r="G56" s="3" t="s">
        <v>59</v>
      </c>
      <c r="H56" s="3" t="s">
        <v>58</v>
      </c>
      <c r="I56" s="3" t="s">
        <v>58</v>
      </c>
      <c r="J56" s="3" t="s">
        <v>60</v>
      </c>
      <c r="K56" s="2" t="s">
        <v>704</v>
      </c>
      <c r="L56" s="2" t="s">
        <v>705</v>
      </c>
      <c r="M56" s="3" t="s">
        <v>706</v>
      </c>
      <c r="O56" s="3" t="s">
        <v>64</v>
      </c>
      <c r="P56" s="3" t="s">
        <v>133</v>
      </c>
      <c r="Q56" s="2" t="s">
        <v>707</v>
      </c>
      <c r="R56" s="3" t="s">
        <v>67</v>
      </c>
      <c r="S56" s="4">
        <v>7</v>
      </c>
      <c r="T56" s="4">
        <v>7</v>
      </c>
      <c r="U56" s="5" t="s">
        <v>708</v>
      </c>
      <c r="V56" s="5" t="s">
        <v>708</v>
      </c>
      <c r="W56" s="5" t="s">
        <v>709</v>
      </c>
      <c r="X56" s="5" t="s">
        <v>709</v>
      </c>
      <c r="Y56" s="4">
        <v>246</v>
      </c>
      <c r="Z56" s="4">
        <v>173</v>
      </c>
      <c r="AA56" s="4">
        <v>175</v>
      </c>
      <c r="AB56" s="4">
        <v>1</v>
      </c>
      <c r="AC56" s="4">
        <v>1</v>
      </c>
      <c r="AD56" s="4">
        <v>8</v>
      </c>
      <c r="AE56" s="4">
        <v>8</v>
      </c>
      <c r="AF56" s="4">
        <v>2</v>
      </c>
      <c r="AG56" s="4">
        <v>2</v>
      </c>
      <c r="AH56" s="4">
        <v>2</v>
      </c>
      <c r="AI56" s="4">
        <v>2</v>
      </c>
      <c r="AJ56" s="4">
        <v>6</v>
      </c>
      <c r="AK56" s="4">
        <v>6</v>
      </c>
      <c r="AL56" s="4">
        <v>0</v>
      </c>
      <c r="AM56" s="4">
        <v>0</v>
      </c>
      <c r="AN56" s="4">
        <v>0</v>
      </c>
      <c r="AO56" s="4">
        <v>0</v>
      </c>
      <c r="AP56" s="3" t="s">
        <v>58</v>
      </c>
      <c r="AQ56" s="3" t="s">
        <v>103</v>
      </c>
      <c r="AR56" s="6" t="str">
        <f>HYPERLINK("http://catalog.hathitrust.org/Record/001545851","HathiTrust Record")</f>
        <v>HathiTrust Record</v>
      </c>
      <c r="AS56" s="6" t="str">
        <f>HYPERLINK("https://creighton-primo.hosted.exlibrisgroup.com/primo-explore/search?tab=default_tab&amp;search_scope=EVERYTHING&amp;vid=01CRU&amp;lang=en_US&amp;offset=0&amp;query=any,contains,991001136199702656","Catalog Record")</f>
        <v>Catalog Record</v>
      </c>
      <c r="AT56" s="6" t="str">
        <f>HYPERLINK("http://www.worldcat.org/oclc/16713572","WorldCat Record")</f>
        <v>WorldCat Record</v>
      </c>
      <c r="AU56" s="3" t="s">
        <v>710</v>
      </c>
      <c r="AV56" s="3" t="s">
        <v>711</v>
      </c>
      <c r="AW56" s="3" t="s">
        <v>712</v>
      </c>
      <c r="AX56" s="3" t="s">
        <v>712</v>
      </c>
      <c r="AY56" s="3" t="s">
        <v>713</v>
      </c>
      <c r="AZ56" s="3" t="s">
        <v>74</v>
      </c>
      <c r="BB56" s="3" t="s">
        <v>714</v>
      </c>
      <c r="BC56" s="3" t="s">
        <v>715</v>
      </c>
      <c r="BD56" s="3" t="s">
        <v>716</v>
      </c>
    </row>
    <row r="57" spans="1:56" ht="30" customHeight="1" x14ac:dyDescent="0.25">
      <c r="A57" s="8" t="s">
        <v>58</v>
      </c>
      <c r="B57" s="2" t="s">
        <v>717</v>
      </c>
      <c r="C57" s="2" t="s">
        <v>718</v>
      </c>
      <c r="D57" s="2" t="s">
        <v>719</v>
      </c>
      <c r="E57" s="3" t="s">
        <v>272</v>
      </c>
      <c r="F57" s="3" t="s">
        <v>103</v>
      </c>
      <c r="G57" s="3" t="s">
        <v>59</v>
      </c>
      <c r="H57" s="3" t="s">
        <v>58</v>
      </c>
      <c r="I57" s="3" t="s">
        <v>58</v>
      </c>
      <c r="J57" s="3" t="s">
        <v>60</v>
      </c>
      <c r="K57" s="2" t="s">
        <v>704</v>
      </c>
      <c r="L57" s="2" t="s">
        <v>720</v>
      </c>
      <c r="M57" s="3" t="s">
        <v>721</v>
      </c>
      <c r="O57" s="3" t="s">
        <v>64</v>
      </c>
      <c r="P57" s="3" t="s">
        <v>133</v>
      </c>
      <c r="Q57" s="2" t="s">
        <v>475</v>
      </c>
      <c r="R57" s="3" t="s">
        <v>67</v>
      </c>
      <c r="S57" s="4">
        <v>1</v>
      </c>
      <c r="T57" s="4">
        <v>2</v>
      </c>
      <c r="U57" s="5" t="s">
        <v>633</v>
      </c>
      <c r="V57" s="5" t="s">
        <v>633</v>
      </c>
      <c r="W57" s="5" t="s">
        <v>722</v>
      </c>
      <c r="X57" s="5" t="s">
        <v>722</v>
      </c>
      <c r="Y57" s="4">
        <v>328</v>
      </c>
      <c r="Z57" s="4">
        <v>253</v>
      </c>
      <c r="AA57" s="4">
        <v>260</v>
      </c>
      <c r="AB57" s="4">
        <v>2</v>
      </c>
      <c r="AC57" s="4">
        <v>2</v>
      </c>
      <c r="AD57" s="4">
        <v>10</v>
      </c>
      <c r="AE57" s="4">
        <v>10</v>
      </c>
      <c r="AF57" s="4">
        <v>2</v>
      </c>
      <c r="AG57" s="4">
        <v>2</v>
      </c>
      <c r="AH57" s="4">
        <v>4</v>
      </c>
      <c r="AI57" s="4">
        <v>4</v>
      </c>
      <c r="AJ57" s="4">
        <v>7</v>
      </c>
      <c r="AK57" s="4">
        <v>7</v>
      </c>
      <c r="AL57" s="4">
        <v>1</v>
      </c>
      <c r="AM57" s="4">
        <v>1</v>
      </c>
      <c r="AN57" s="4">
        <v>0</v>
      </c>
      <c r="AO57" s="4">
        <v>0</v>
      </c>
      <c r="AP57" s="3" t="s">
        <v>58</v>
      </c>
      <c r="AQ57" s="3" t="s">
        <v>103</v>
      </c>
      <c r="AR57" s="6" t="str">
        <f>HYPERLINK("http://catalog.hathitrust.org/Record/002954093","HathiTrust Record")</f>
        <v>HathiTrust Record</v>
      </c>
      <c r="AS57" s="6" t="str">
        <f>HYPERLINK("https://creighton-primo.hosted.exlibrisgroup.com/primo-explore/search?tab=default_tab&amp;search_scope=EVERYTHING&amp;vid=01CRU&amp;lang=en_US&amp;offset=0&amp;query=any,contains,991002232149702656","Catalog Record")</f>
        <v>Catalog Record</v>
      </c>
      <c r="AT57" s="6" t="str">
        <f>HYPERLINK("http://www.worldcat.org/oclc/28749254","WorldCat Record")</f>
        <v>WorldCat Record</v>
      </c>
      <c r="AU57" s="3" t="s">
        <v>723</v>
      </c>
      <c r="AV57" s="3" t="s">
        <v>724</v>
      </c>
      <c r="AW57" s="3" t="s">
        <v>725</v>
      </c>
      <c r="AX57" s="3" t="s">
        <v>725</v>
      </c>
      <c r="AY57" s="3" t="s">
        <v>726</v>
      </c>
      <c r="AZ57" s="3" t="s">
        <v>74</v>
      </c>
      <c r="BB57" s="3" t="s">
        <v>727</v>
      </c>
      <c r="BC57" s="3" t="s">
        <v>728</v>
      </c>
      <c r="BD57" s="3" t="s">
        <v>729</v>
      </c>
    </row>
    <row r="58" spans="1:56" ht="30" customHeight="1" x14ac:dyDescent="0.25">
      <c r="A58" s="8" t="s">
        <v>58</v>
      </c>
      <c r="B58" s="2" t="s">
        <v>717</v>
      </c>
      <c r="C58" s="2" t="s">
        <v>718</v>
      </c>
      <c r="D58" s="2" t="s">
        <v>719</v>
      </c>
      <c r="E58" s="3" t="s">
        <v>269</v>
      </c>
      <c r="F58" s="3" t="s">
        <v>103</v>
      </c>
      <c r="G58" s="3" t="s">
        <v>59</v>
      </c>
      <c r="H58" s="3" t="s">
        <v>58</v>
      </c>
      <c r="I58" s="3" t="s">
        <v>58</v>
      </c>
      <c r="J58" s="3" t="s">
        <v>60</v>
      </c>
      <c r="K58" s="2" t="s">
        <v>704</v>
      </c>
      <c r="L58" s="2" t="s">
        <v>720</v>
      </c>
      <c r="M58" s="3" t="s">
        <v>721</v>
      </c>
      <c r="O58" s="3" t="s">
        <v>64</v>
      </c>
      <c r="P58" s="3" t="s">
        <v>133</v>
      </c>
      <c r="Q58" s="2" t="s">
        <v>475</v>
      </c>
      <c r="R58" s="3" t="s">
        <v>67</v>
      </c>
      <c r="S58" s="4">
        <v>1</v>
      </c>
      <c r="T58" s="4">
        <v>2</v>
      </c>
      <c r="U58" s="5" t="s">
        <v>633</v>
      </c>
      <c r="V58" s="5" t="s">
        <v>633</v>
      </c>
      <c r="W58" s="5" t="s">
        <v>722</v>
      </c>
      <c r="X58" s="5" t="s">
        <v>722</v>
      </c>
      <c r="Y58" s="4">
        <v>328</v>
      </c>
      <c r="Z58" s="4">
        <v>253</v>
      </c>
      <c r="AA58" s="4">
        <v>260</v>
      </c>
      <c r="AB58" s="4">
        <v>2</v>
      </c>
      <c r="AC58" s="4">
        <v>2</v>
      </c>
      <c r="AD58" s="4">
        <v>10</v>
      </c>
      <c r="AE58" s="4">
        <v>10</v>
      </c>
      <c r="AF58" s="4">
        <v>2</v>
      </c>
      <c r="AG58" s="4">
        <v>2</v>
      </c>
      <c r="AH58" s="4">
        <v>4</v>
      </c>
      <c r="AI58" s="4">
        <v>4</v>
      </c>
      <c r="AJ58" s="4">
        <v>7</v>
      </c>
      <c r="AK58" s="4">
        <v>7</v>
      </c>
      <c r="AL58" s="4">
        <v>1</v>
      </c>
      <c r="AM58" s="4">
        <v>1</v>
      </c>
      <c r="AN58" s="4">
        <v>0</v>
      </c>
      <c r="AO58" s="4">
        <v>0</v>
      </c>
      <c r="AP58" s="3" t="s">
        <v>58</v>
      </c>
      <c r="AQ58" s="3" t="s">
        <v>103</v>
      </c>
      <c r="AR58" s="6" t="str">
        <f>HYPERLINK("http://catalog.hathitrust.org/Record/002954093","HathiTrust Record")</f>
        <v>HathiTrust Record</v>
      </c>
      <c r="AS58" s="6" t="str">
        <f>HYPERLINK("https://creighton-primo.hosted.exlibrisgroup.com/primo-explore/search?tab=default_tab&amp;search_scope=EVERYTHING&amp;vid=01CRU&amp;lang=en_US&amp;offset=0&amp;query=any,contains,991002232149702656","Catalog Record")</f>
        <v>Catalog Record</v>
      </c>
      <c r="AT58" s="6" t="str">
        <f>HYPERLINK("http://www.worldcat.org/oclc/28749254","WorldCat Record")</f>
        <v>WorldCat Record</v>
      </c>
      <c r="AU58" s="3" t="s">
        <v>723</v>
      </c>
      <c r="AV58" s="3" t="s">
        <v>724</v>
      </c>
      <c r="AW58" s="3" t="s">
        <v>725</v>
      </c>
      <c r="AX58" s="3" t="s">
        <v>725</v>
      </c>
      <c r="AY58" s="3" t="s">
        <v>726</v>
      </c>
      <c r="AZ58" s="3" t="s">
        <v>74</v>
      </c>
      <c r="BB58" s="3" t="s">
        <v>727</v>
      </c>
      <c r="BC58" s="3" t="s">
        <v>730</v>
      </c>
      <c r="BD58" s="3" t="s">
        <v>731</v>
      </c>
    </row>
    <row r="59" spans="1:56" ht="30" customHeight="1" x14ac:dyDescent="0.25">
      <c r="A59" s="8" t="s">
        <v>58</v>
      </c>
      <c r="B59" s="2" t="s">
        <v>732</v>
      </c>
      <c r="C59" s="2" t="s">
        <v>733</v>
      </c>
      <c r="D59" s="2" t="s">
        <v>734</v>
      </c>
      <c r="F59" s="3" t="s">
        <v>58</v>
      </c>
      <c r="G59" s="3" t="s">
        <v>59</v>
      </c>
      <c r="H59" s="3" t="s">
        <v>58</v>
      </c>
      <c r="I59" s="3" t="s">
        <v>58</v>
      </c>
      <c r="J59" s="3" t="s">
        <v>60</v>
      </c>
      <c r="K59" s="2" t="s">
        <v>735</v>
      </c>
      <c r="L59" s="2" t="s">
        <v>736</v>
      </c>
      <c r="M59" s="3" t="s">
        <v>658</v>
      </c>
      <c r="O59" s="3" t="s">
        <v>64</v>
      </c>
      <c r="P59" s="3" t="s">
        <v>84</v>
      </c>
      <c r="Q59" s="2" t="s">
        <v>737</v>
      </c>
      <c r="R59" s="3" t="s">
        <v>67</v>
      </c>
      <c r="S59" s="4">
        <v>2</v>
      </c>
      <c r="T59" s="4">
        <v>2</v>
      </c>
      <c r="U59" s="5" t="s">
        <v>738</v>
      </c>
      <c r="V59" s="5" t="s">
        <v>738</v>
      </c>
      <c r="W59" s="5" t="s">
        <v>102</v>
      </c>
      <c r="X59" s="5" t="s">
        <v>102</v>
      </c>
      <c r="Y59" s="4">
        <v>108</v>
      </c>
      <c r="Z59" s="4">
        <v>62</v>
      </c>
      <c r="AA59" s="4">
        <v>62</v>
      </c>
      <c r="AB59" s="4">
        <v>1</v>
      </c>
      <c r="AC59" s="4">
        <v>1</v>
      </c>
      <c r="AD59" s="4">
        <v>2</v>
      </c>
      <c r="AE59" s="4">
        <v>2</v>
      </c>
      <c r="AF59" s="4">
        <v>0</v>
      </c>
      <c r="AG59" s="4">
        <v>0</v>
      </c>
      <c r="AH59" s="4">
        <v>2</v>
      </c>
      <c r="AI59" s="4">
        <v>2</v>
      </c>
      <c r="AJ59" s="4">
        <v>2</v>
      </c>
      <c r="AK59" s="4">
        <v>2</v>
      </c>
      <c r="AL59" s="4">
        <v>0</v>
      </c>
      <c r="AM59" s="4">
        <v>0</v>
      </c>
      <c r="AN59" s="4">
        <v>0</v>
      </c>
      <c r="AO59" s="4">
        <v>0</v>
      </c>
      <c r="AP59" s="3" t="s">
        <v>58</v>
      </c>
      <c r="AQ59" s="3" t="s">
        <v>58</v>
      </c>
      <c r="AS59" s="6" t="str">
        <f>HYPERLINK("https://creighton-primo.hosted.exlibrisgroup.com/primo-explore/search?tab=default_tab&amp;search_scope=EVERYTHING&amp;vid=01CRU&amp;lang=en_US&amp;offset=0&amp;query=any,contains,991004673689702656","Catalog Record")</f>
        <v>Catalog Record</v>
      </c>
      <c r="AT59" s="6" t="str">
        <f>HYPERLINK("http://www.worldcat.org/oclc/4524651","WorldCat Record")</f>
        <v>WorldCat Record</v>
      </c>
      <c r="AU59" s="3" t="s">
        <v>739</v>
      </c>
      <c r="AV59" s="3" t="s">
        <v>740</v>
      </c>
      <c r="AW59" s="3" t="s">
        <v>741</v>
      </c>
      <c r="AX59" s="3" t="s">
        <v>741</v>
      </c>
      <c r="AY59" s="3" t="s">
        <v>742</v>
      </c>
      <c r="AZ59" s="3" t="s">
        <v>74</v>
      </c>
      <c r="BB59" s="3" t="s">
        <v>743</v>
      </c>
      <c r="BC59" s="3" t="s">
        <v>744</v>
      </c>
      <c r="BD59" s="3" t="s">
        <v>745</v>
      </c>
    </row>
    <row r="60" spans="1:56" ht="30" customHeight="1" x14ac:dyDescent="0.25">
      <c r="A60" s="8" t="s">
        <v>58</v>
      </c>
      <c r="B60" s="2" t="s">
        <v>746</v>
      </c>
      <c r="C60" s="2" t="s">
        <v>747</v>
      </c>
      <c r="D60" s="2" t="s">
        <v>748</v>
      </c>
      <c r="F60" s="3" t="s">
        <v>58</v>
      </c>
      <c r="G60" s="3" t="s">
        <v>59</v>
      </c>
      <c r="H60" s="3" t="s">
        <v>103</v>
      </c>
      <c r="I60" s="3" t="s">
        <v>103</v>
      </c>
      <c r="J60" s="3" t="s">
        <v>60</v>
      </c>
      <c r="K60" s="2" t="s">
        <v>749</v>
      </c>
      <c r="L60" s="2" t="s">
        <v>750</v>
      </c>
      <c r="M60" s="3" t="s">
        <v>574</v>
      </c>
      <c r="O60" s="3" t="s">
        <v>64</v>
      </c>
      <c r="P60" s="3" t="s">
        <v>133</v>
      </c>
      <c r="R60" s="3" t="s">
        <v>67</v>
      </c>
      <c r="S60" s="4">
        <v>26</v>
      </c>
      <c r="T60" s="4">
        <v>167</v>
      </c>
      <c r="U60" s="5" t="s">
        <v>751</v>
      </c>
      <c r="V60" s="5" t="s">
        <v>751</v>
      </c>
      <c r="W60" s="5" t="s">
        <v>752</v>
      </c>
      <c r="X60" s="5" t="s">
        <v>753</v>
      </c>
      <c r="Y60" s="4">
        <v>301</v>
      </c>
      <c r="Z60" s="4">
        <v>194</v>
      </c>
      <c r="AA60" s="4">
        <v>432</v>
      </c>
      <c r="AB60" s="4">
        <v>3</v>
      </c>
      <c r="AC60" s="4">
        <v>4</v>
      </c>
      <c r="AD60" s="4">
        <v>8</v>
      </c>
      <c r="AE60" s="4">
        <v>16</v>
      </c>
      <c r="AF60" s="4">
        <v>4</v>
      </c>
      <c r="AG60" s="4">
        <v>8</v>
      </c>
      <c r="AH60" s="4">
        <v>2</v>
      </c>
      <c r="AI60" s="4">
        <v>3</v>
      </c>
      <c r="AJ60" s="4">
        <v>3</v>
      </c>
      <c r="AK60" s="4">
        <v>6</v>
      </c>
      <c r="AL60" s="4">
        <v>1</v>
      </c>
      <c r="AM60" s="4">
        <v>2</v>
      </c>
      <c r="AN60" s="4">
        <v>0</v>
      </c>
      <c r="AO60" s="4">
        <v>0</v>
      </c>
      <c r="AP60" s="3" t="s">
        <v>58</v>
      </c>
      <c r="AQ60" s="3" t="s">
        <v>103</v>
      </c>
      <c r="AR60" s="6" t="str">
        <f>HYPERLINK("http://catalog.hathitrust.org/Record/002710369","HathiTrust Record")</f>
        <v>HathiTrust Record</v>
      </c>
      <c r="AS60" s="6" t="str">
        <f>HYPERLINK("https://creighton-primo.hosted.exlibrisgroup.com/primo-explore/search?tab=default_tab&amp;search_scope=EVERYTHING&amp;vid=01CRU&amp;lang=en_US&amp;offset=0&amp;query=any,contains,991001804249702656","Catalog Record")</f>
        <v>Catalog Record</v>
      </c>
      <c r="AT60" s="6" t="str">
        <f>HYPERLINK("http://www.worldcat.org/oclc/26552743","WorldCat Record")</f>
        <v>WorldCat Record</v>
      </c>
      <c r="AU60" s="3" t="s">
        <v>754</v>
      </c>
      <c r="AV60" s="3" t="s">
        <v>755</v>
      </c>
      <c r="AW60" s="3" t="s">
        <v>756</v>
      </c>
      <c r="AX60" s="3" t="s">
        <v>756</v>
      </c>
      <c r="AY60" s="3" t="s">
        <v>757</v>
      </c>
      <c r="AZ60" s="3" t="s">
        <v>74</v>
      </c>
      <c r="BB60" s="3" t="s">
        <v>758</v>
      </c>
      <c r="BC60" s="3" t="s">
        <v>759</v>
      </c>
      <c r="BD60" s="3" t="s">
        <v>760</v>
      </c>
    </row>
    <row r="61" spans="1:56" ht="30" customHeight="1" x14ac:dyDescent="0.25">
      <c r="A61" s="8" t="s">
        <v>58</v>
      </c>
      <c r="B61" s="2" t="s">
        <v>761</v>
      </c>
      <c r="C61" s="2" t="s">
        <v>762</v>
      </c>
      <c r="D61" s="2" t="s">
        <v>763</v>
      </c>
      <c r="F61" s="3" t="s">
        <v>58</v>
      </c>
      <c r="G61" s="3" t="s">
        <v>59</v>
      </c>
      <c r="H61" s="3" t="s">
        <v>58</v>
      </c>
      <c r="I61" s="3" t="s">
        <v>103</v>
      </c>
      <c r="J61" s="3" t="s">
        <v>60</v>
      </c>
      <c r="K61" s="2" t="s">
        <v>764</v>
      </c>
      <c r="L61" s="2" t="s">
        <v>765</v>
      </c>
      <c r="M61" s="3" t="s">
        <v>766</v>
      </c>
      <c r="O61" s="3" t="s">
        <v>64</v>
      </c>
      <c r="P61" s="3" t="s">
        <v>133</v>
      </c>
      <c r="R61" s="3" t="s">
        <v>67</v>
      </c>
      <c r="S61" s="4">
        <v>11</v>
      </c>
      <c r="T61" s="4">
        <v>11</v>
      </c>
      <c r="U61" s="5" t="s">
        <v>767</v>
      </c>
      <c r="V61" s="5" t="s">
        <v>767</v>
      </c>
      <c r="W61" s="5" t="s">
        <v>768</v>
      </c>
      <c r="X61" s="5" t="s">
        <v>768</v>
      </c>
      <c r="Y61" s="4">
        <v>194</v>
      </c>
      <c r="Z61" s="4">
        <v>131</v>
      </c>
      <c r="AA61" s="4">
        <v>287</v>
      </c>
      <c r="AB61" s="4">
        <v>2</v>
      </c>
      <c r="AC61" s="4">
        <v>5</v>
      </c>
      <c r="AD61" s="4">
        <v>3</v>
      </c>
      <c r="AE61" s="4">
        <v>17</v>
      </c>
      <c r="AF61" s="4">
        <v>1</v>
      </c>
      <c r="AG61" s="4">
        <v>6</v>
      </c>
      <c r="AH61" s="4">
        <v>0</v>
      </c>
      <c r="AI61" s="4">
        <v>4</v>
      </c>
      <c r="AJ61" s="4">
        <v>2</v>
      </c>
      <c r="AK61" s="4">
        <v>6</v>
      </c>
      <c r="AL61" s="4">
        <v>1</v>
      </c>
      <c r="AM61" s="4">
        <v>4</v>
      </c>
      <c r="AN61" s="4">
        <v>0</v>
      </c>
      <c r="AO61" s="4">
        <v>1</v>
      </c>
      <c r="AP61" s="3" t="s">
        <v>58</v>
      </c>
      <c r="AQ61" s="3" t="s">
        <v>58</v>
      </c>
      <c r="AS61" s="6" t="str">
        <f>HYPERLINK("https://creighton-primo.hosted.exlibrisgroup.com/primo-explore/search?tab=default_tab&amp;search_scope=EVERYTHING&amp;vid=01CRU&amp;lang=en_US&amp;offset=0&amp;query=any,contains,991001953409702656","Catalog Record")</f>
        <v>Catalog Record</v>
      </c>
      <c r="AT61" s="6" t="str">
        <f>HYPERLINK("http://www.worldcat.org/oclc/24698052","WorldCat Record")</f>
        <v>WorldCat Record</v>
      </c>
      <c r="AU61" s="3" t="s">
        <v>769</v>
      </c>
      <c r="AV61" s="3" t="s">
        <v>770</v>
      </c>
      <c r="AW61" s="3" t="s">
        <v>771</v>
      </c>
      <c r="AX61" s="3" t="s">
        <v>771</v>
      </c>
      <c r="AY61" s="3" t="s">
        <v>772</v>
      </c>
      <c r="AZ61" s="3" t="s">
        <v>74</v>
      </c>
      <c r="BB61" s="3" t="s">
        <v>773</v>
      </c>
      <c r="BC61" s="3" t="s">
        <v>774</v>
      </c>
      <c r="BD61" s="3" t="s">
        <v>775</v>
      </c>
    </row>
    <row r="62" spans="1:56" ht="30" customHeight="1" x14ac:dyDescent="0.25">
      <c r="A62" s="8" t="s">
        <v>58</v>
      </c>
      <c r="B62" s="2" t="s">
        <v>776</v>
      </c>
      <c r="C62" s="2" t="s">
        <v>777</v>
      </c>
      <c r="D62" s="2" t="s">
        <v>778</v>
      </c>
      <c r="F62" s="3" t="s">
        <v>58</v>
      </c>
      <c r="G62" s="3" t="s">
        <v>59</v>
      </c>
      <c r="H62" s="3" t="s">
        <v>58</v>
      </c>
      <c r="I62" s="3" t="s">
        <v>58</v>
      </c>
      <c r="J62" s="3" t="s">
        <v>60</v>
      </c>
      <c r="K62" s="2" t="s">
        <v>779</v>
      </c>
      <c r="L62" s="2" t="s">
        <v>780</v>
      </c>
      <c r="M62" s="3" t="s">
        <v>474</v>
      </c>
      <c r="O62" s="3" t="s">
        <v>64</v>
      </c>
      <c r="P62" s="3" t="s">
        <v>84</v>
      </c>
      <c r="R62" s="3" t="s">
        <v>67</v>
      </c>
      <c r="S62" s="4">
        <v>2</v>
      </c>
      <c r="T62" s="4">
        <v>2</v>
      </c>
      <c r="U62" s="5" t="s">
        <v>781</v>
      </c>
      <c r="V62" s="5" t="s">
        <v>781</v>
      </c>
      <c r="W62" s="5" t="s">
        <v>782</v>
      </c>
      <c r="X62" s="5" t="s">
        <v>782</v>
      </c>
      <c r="Y62" s="4">
        <v>1036</v>
      </c>
      <c r="Z62" s="4">
        <v>866</v>
      </c>
      <c r="AA62" s="4">
        <v>971</v>
      </c>
      <c r="AB62" s="4">
        <v>4</v>
      </c>
      <c r="AC62" s="4">
        <v>4</v>
      </c>
      <c r="AD62" s="4">
        <v>29</v>
      </c>
      <c r="AE62" s="4">
        <v>32</v>
      </c>
      <c r="AF62" s="4">
        <v>13</v>
      </c>
      <c r="AG62" s="4">
        <v>15</v>
      </c>
      <c r="AH62" s="4">
        <v>6</v>
      </c>
      <c r="AI62" s="4">
        <v>7</v>
      </c>
      <c r="AJ62" s="4">
        <v>15</v>
      </c>
      <c r="AK62" s="4">
        <v>15</v>
      </c>
      <c r="AL62" s="4">
        <v>3</v>
      </c>
      <c r="AM62" s="4">
        <v>3</v>
      </c>
      <c r="AN62" s="4">
        <v>0</v>
      </c>
      <c r="AO62" s="4">
        <v>0</v>
      </c>
      <c r="AP62" s="3" t="s">
        <v>58</v>
      </c>
      <c r="AQ62" s="3" t="s">
        <v>103</v>
      </c>
      <c r="AR62" s="6" t="str">
        <f>HYPERLINK("http://catalog.hathitrust.org/Record/002483636","HathiTrust Record")</f>
        <v>HathiTrust Record</v>
      </c>
      <c r="AS62" s="6" t="str">
        <f>HYPERLINK("https://creighton-primo.hosted.exlibrisgroup.com/primo-explore/search?tab=default_tab&amp;search_scope=EVERYTHING&amp;vid=01CRU&amp;lang=en_US&amp;offset=0&amp;query=any,contains,991001842429702656","Catalog Record")</f>
        <v>Catalog Record</v>
      </c>
      <c r="AT62" s="6" t="str">
        <f>HYPERLINK("http://www.worldcat.org/oclc/23143328","WorldCat Record")</f>
        <v>WorldCat Record</v>
      </c>
      <c r="AU62" s="3" t="s">
        <v>783</v>
      </c>
      <c r="AV62" s="3" t="s">
        <v>784</v>
      </c>
      <c r="AW62" s="3" t="s">
        <v>785</v>
      </c>
      <c r="AX62" s="3" t="s">
        <v>785</v>
      </c>
      <c r="AY62" s="3" t="s">
        <v>786</v>
      </c>
      <c r="AZ62" s="3" t="s">
        <v>74</v>
      </c>
      <c r="BB62" s="3" t="s">
        <v>787</v>
      </c>
      <c r="BC62" s="3" t="s">
        <v>788</v>
      </c>
      <c r="BD62" s="3" t="s">
        <v>789</v>
      </c>
    </row>
    <row r="63" spans="1:56" ht="30" customHeight="1" x14ac:dyDescent="0.25">
      <c r="A63" s="8" t="s">
        <v>58</v>
      </c>
      <c r="B63" s="2" t="s">
        <v>790</v>
      </c>
      <c r="C63" s="2" t="s">
        <v>791</v>
      </c>
      <c r="D63" s="2" t="s">
        <v>792</v>
      </c>
      <c r="F63" s="3" t="s">
        <v>58</v>
      </c>
      <c r="G63" s="3" t="s">
        <v>59</v>
      </c>
      <c r="H63" s="3" t="s">
        <v>58</v>
      </c>
      <c r="I63" s="3" t="s">
        <v>58</v>
      </c>
      <c r="J63" s="3" t="s">
        <v>60</v>
      </c>
      <c r="K63" s="2" t="s">
        <v>793</v>
      </c>
      <c r="L63" s="2" t="s">
        <v>794</v>
      </c>
      <c r="M63" s="3" t="s">
        <v>313</v>
      </c>
      <c r="O63" s="3" t="s">
        <v>64</v>
      </c>
      <c r="P63" s="3" t="s">
        <v>605</v>
      </c>
      <c r="R63" s="3" t="s">
        <v>67</v>
      </c>
      <c r="S63" s="4">
        <v>3</v>
      </c>
      <c r="T63" s="4">
        <v>3</v>
      </c>
      <c r="U63" s="5" t="s">
        <v>795</v>
      </c>
      <c r="V63" s="5" t="s">
        <v>795</v>
      </c>
      <c r="W63" s="5" t="s">
        <v>796</v>
      </c>
      <c r="X63" s="5" t="s">
        <v>796</v>
      </c>
      <c r="Y63" s="4">
        <v>34</v>
      </c>
      <c r="Z63" s="4">
        <v>17</v>
      </c>
      <c r="AA63" s="4">
        <v>19</v>
      </c>
      <c r="AB63" s="4">
        <v>2</v>
      </c>
      <c r="AC63" s="4">
        <v>2</v>
      </c>
      <c r="AD63" s="4">
        <v>1</v>
      </c>
      <c r="AE63" s="4">
        <v>1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1</v>
      </c>
      <c r="AM63" s="4">
        <v>1</v>
      </c>
      <c r="AN63" s="4">
        <v>0</v>
      </c>
      <c r="AO63" s="4">
        <v>0</v>
      </c>
      <c r="AP63" s="3" t="s">
        <v>58</v>
      </c>
      <c r="AQ63" s="3" t="s">
        <v>103</v>
      </c>
      <c r="AR63" s="6" t="str">
        <f>HYPERLINK("http://catalog.hathitrust.org/Record/009144118","HathiTrust Record")</f>
        <v>HathiTrust Record</v>
      </c>
      <c r="AS63" s="6" t="str">
        <f>HYPERLINK("https://creighton-primo.hosted.exlibrisgroup.com/primo-explore/search?tab=default_tab&amp;search_scope=EVERYTHING&amp;vid=01CRU&amp;lang=en_US&amp;offset=0&amp;query=any,contains,991000875569702656","Catalog Record")</f>
        <v>Catalog Record</v>
      </c>
      <c r="AT63" s="6" t="str">
        <f>HYPERLINK("http://www.worldcat.org/oclc/19522532","WorldCat Record")</f>
        <v>WorldCat Record</v>
      </c>
      <c r="AU63" s="3" t="s">
        <v>797</v>
      </c>
      <c r="AV63" s="3" t="s">
        <v>798</v>
      </c>
      <c r="AW63" s="3" t="s">
        <v>799</v>
      </c>
      <c r="AX63" s="3" t="s">
        <v>799</v>
      </c>
      <c r="AY63" s="3" t="s">
        <v>800</v>
      </c>
      <c r="AZ63" s="3" t="s">
        <v>74</v>
      </c>
      <c r="BB63" s="3" t="s">
        <v>801</v>
      </c>
      <c r="BC63" s="3" t="s">
        <v>802</v>
      </c>
      <c r="BD63" s="3" t="s">
        <v>803</v>
      </c>
    </row>
    <row r="64" spans="1:56" ht="30" customHeight="1" x14ac:dyDescent="0.25">
      <c r="A64" s="8" t="s">
        <v>58</v>
      </c>
      <c r="B64" s="2" t="s">
        <v>804</v>
      </c>
      <c r="C64" s="2" t="s">
        <v>805</v>
      </c>
      <c r="D64" s="2" t="s">
        <v>806</v>
      </c>
      <c r="F64" s="3" t="s">
        <v>58</v>
      </c>
      <c r="G64" s="3" t="s">
        <v>59</v>
      </c>
      <c r="H64" s="3" t="s">
        <v>58</v>
      </c>
      <c r="I64" s="3" t="s">
        <v>58</v>
      </c>
      <c r="J64" s="3" t="s">
        <v>60</v>
      </c>
      <c r="L64" s="2" t="s">
        <v>807</v>
      </c>
      <c r="M64" s="3" t="s">
        <v>298</v>
      </c>
      <c r="O64" s="3" t="s">
        <v>64</v>
      </c>
      <c r="P64" s="3" t="s">
        <v>315</v>
      </c>
      <c r="Q64" s="2" t="s">
        <v>808</v>
      </c>
      <c r="R64" s="3" t="s">
        <v>67</v>
      </c>
      <c r="S64" s="4">
        <v>10</v>
      </c>
      <c r="T64" s="4">
        <v>10</v>
      </c>
      <c r="U64" s="5" t="s">
        <v>809</v>
      </c>
      <c r="V64" s="5" t="s">
        <v>809</v>
      </c>
      <c r="W64" s="5" t="s">
        <v>796</v>
      </c>
      <c r="X64" s="5" t="s">
        <v>796</v>
      </c>
      <c r="Y64" s="4">
        <v>105</v>
      </c>
      <c r="Z64" s="4">
        <v>96</v>
      </c>
      <c r="AA64" s="4">
        <v>123</v>
      </c>
      <c r="AB64" s="4">
        <v>2</v>
      </c>
      <c r="AC64" s="4">
        <v>2</v>
      </c>
      <c r="AD64" s="4">
        <v>4</v>
      </c>
      <c r="AE64" s="4">
        <v>5</v>
      </c>
      <c r="AF64" s="4">
        <v>2</v>
      </c>
      <c r="AG64" s="4">
        <v>3</v>
      </c>
      <c r="AH64" s="4">
        <v>1</v>
      </c>
      <c r="AI64" s="4">
        <v>1</v>
      </c>
      <c r="AJ64" s="4">
        <v>1</v>
      </c>
      <c r="AK64" s="4">
        <v>2</v>
      </c>
      <c r="AL64" s="4">
        <v>1</v>
      </c>
      <c r="AM64" s="4">
        <v>1</v>
      </c>
      <c r="AN64" s="4">
        <v>0</v>
      </c>
      <c r="AO64" s="4">
        <v>0</v>
      </c>
      <c r="AP64" s="3" t="s">
        <v>58</v>
      </c>
      <c r="AQ64" s="3" t="s">
        <v>103</v>
      </c>
      <c r="AR64" s="6" t="str">
        <f>HYPERLINK("http://catalog.hathitrust.org/Record/000713005","HathiTrust Record")</f>
        <v>HathiTrust Record</v>
      </c>
      <c r="AS64" s="6" t="str">
        <f>HYPERLINK("https://creighton-primo.hosted.exlibrisgroup.com/primo-explore/search?tab=default_tab&amp;search_scope=EVERYTHING&amp;vid=01CRU&amp;lang=en_US&amp;offset=0&amp;query=any,contains,991004791159702656","Catalog Record")</f>
        <v>Catalog Record</v>
      </c>
      <c r="AT64" s="6" t="str">
        <f>HYPERLINK("http://www.worldcat.org/oclc/5171194","WorldCat Record")</f>
        <v>WorldCat Record</v>
      </c>
      <c r="AU64" s="3" t="s">
        <v>810</v>
      </c>
      <c r="AV64" s="3" t="s">
        <v>811</v>
      </c>
      <c r="AW64" s="3" t="s">
        <v>812</v>
      </c>
      <c r="AX64" s="3" t="s">
        <v>812</v>
      </c>
      <c r="AY64" s="3" t="s">
        <v>813</v>
      </c>
      <c r="AZ64" s="3" t="s">
        <v>74</v>
      </c>
      <c r="BB64" s="3" t="s">
        <v>814</v>
      </c>
      <c r="BC64" s="3" t="s">
        <v>815</v>
      </c>
      <c r="BD64" s="3" t="s">
        <v>816</v>
      </c>
    </row>
    <row r="65" spans="1:56" ht="30" customHeight="1" x14ac:dyDescent="0.25">
      <c r="A65" s="8" t="s">
        <v>58</v>
      </c>
      <c r="B65" s="2" t="s">
        <v>817</v>
      </c>
      <c r="C65" s="2" t="s">
        <v>818</v>
      </c>
      <c r="D65" s="2" t="s">
        <v>819</v>
      </c>
      <c r="F65" s="3" t="s">
        <v>58</v>
      </c>
      <c r="G65" s="3" t="s">
        <v>59</v>
      </c>
      <c r="H65" s="3" t="s">
        <v>103</v>
      </c>
      <c r="I65" s="3" t="s">
        <v>58</v>
      </c>
      <c r="J65" s="3" t="s">
        <v>60</v>
      </c>
      <c r="L65" s="2" t="s">
        <v>820</v>
      </c>
      <c r="M65" s="3" t="s">
        <v>298</v>
      </c>
      <c r="N65" s="2" t="s">
        <v>299</v>
      </c>
      <c r="O65" s="3" t="s">
        <v>64</v>
      </c>
      <c r="P65" s="3" t="s">
        <v>133</v>
      </c>
      <c r="R65" s="3" t="s">
        <v>67</v>
      </c>
      <c r="S65" s="4">
        <v>2</v>
      </c>
      <c r="T65" s="4">
        <v>19</v>
      </c>
      <c r="U65" s="5" t="s">
        <v>821</v>
      </c>
      <c r="V65" s="5" t="s">
        <v>821</v>
      </c>
      <c r="W65" s="5" t="s">
        <v>796</v>
      </c>
      <c r="X65" s="5" t="s">
        <v>796</v>
      </c>
      <c r="Y65" s="4">
        <v>356</v>
      </c>
      <c r="Z65" s="4">
        <v>316</v>
      </c>
      <c r="AA65" s="4">
        <v>327</v>
      </c>
      <c r="AB65" s="4">
        <v>4</v>
      </c>
      <c r="AC65" s="4">
        <v>4</v>
      </c>
      <c r="AD65" s="4">
        <v>7</v>
      </c>
      <c r="AE65" s="4">
        <v>7</v>
      </c>
      <c r="AF65" s="4">
        <v>4</v>
      </c>
      <c r="AG65" s="4">
        <v>4</v>
      </c>
      <c r="AH65" s="4">
        <v>2</v>
      </c>
      <c r="AI65" s="4">
        <v>2</v>
      </c>
      <c r="AJ65" s="4">
        <v>2</v>
      </c>
      <c r="AK65" s="4">
        <v>2</v>
      </c>
      <c r="AL65" s="4">
        <v>1</v>
      </c>
      <c r="AM65" s="4">
        <v>1</v>
      </c>
      <c r="AN65" s="4">
        <v>0</v>
      </c>
      <c r="AO65" s="4">
        <v>0</v>
      </c>
      <c r="AP65" s="3" t="s">
        <v>58</v>
      </c>
      <c r="AQ65" s="3" t="s">
        <v>58</v>
      </c>
      <c r="AS65" s="6" t="str">
        <f>HYPERLINK("https://creighton-primo.hosted.exlibrisgroup.com/primo-explore/search?tab=default_tab&amp;search_scope=EVERYTHING&amp;vid=01CRU&amp;lang=en_US&amp;offset=0&amp;query=any,contains,991001760559702656","Catalog Record")</f>
        <v>Catalog Record</v>
      </c>
      <c r="AT65" s="6" t="str">
        <f>HYPERLINK("http://www.worldcat.org/oclc/4495382","WorldCat Record")</f>
        <v>WorldCat Record</v>
      </c>
      <c r="AU65" s="3" t="s">
        <v>822</v>
      </c>
      <c r="AV65" s="3" t="s">
        <v>823</v>
      </c>
      <c r="AW65" s="3" t="s">
        <v>824</v>
      </c>
      <c r="AX65" s="3" t="s">
        <v>824</v>
      </c>
      <c r="AY65" s="3" t="s">
        <v>825</v>
      </c>
      <c r="AZ65" s="3" t="s">
        <v>74</v>
      </c>
      <c r="BB65" s="3" t="s">
        <v>826</v>
      </c>
      <c r="BC65" s="3" t="s">
        <v>827</v>
      </c>
      <c r="BD65" s="3" t="s">
        <v>828</v>
      </c>
    </row>
    <row r="66" spans="1:56" ht="30" customHeight="1" x14ac:dyDescent="0.25">
      <c r="A66" s="8" t="s">
        <v>58</v>
      </c>
      <c r="B66" s="2" t="s">
        <v>829</v>
      </c>
      <c r="C66" s="2" t="s">
        <v>830</v>
      </c>
      <c r="D66" s="2" t="s">
        <v>831</v>
      </c>
      <c r="F66" s="3" t="s">
        <v>58</v>
      </c>
      <c r="G66" s="3" t="s">
        <v>59</v>
      </c>
      <c r="H66" s="3" t="s">
        <v>58</v>
      </c>
      <c r="I66" s="3" t="s">
        <v>58</v>
      </c>
      <c r="J66" s="3" t="s">
        <v>60</v>
      </c>
      <c r="L66" s="2" t="s">
        <v>832</v>
      </c>
      <c r="M66" s="3" t="s">
        <v>431</v>
      </c>
      <c r="O66" s="3" t="s">
        <v>64</v>
      </c>
      <c r="P66" s="3" t="s">
        <v>833</v>
      </c>
      <c r="Q66" s="2" t="s">
        <v>834</v>
      </c>
      <c r="R66" s="3" t="s">
        <v>67</v>
      </c>
      <c r="S66" s="4">
        <v>2</v>
      </c>
      <c r="T66" s="4">
        <v>2</v>
      </c>
      <c r="U66" s="5" t="s">
        <v>835</v>
      </c>
      <c r="V66" s="5" t="s">
        <v>835</v>
      </c>
      <c r="W66" s="5" t="s">
        <v>796</v>
      </c>
      <c r="X66" s="5" t="s">
        <v>796</v>
      </c>
      <c r="Y66" s="4">
        <v>85</v>
      </c>
      <c r="Z66" s="4">
        <v>47</v>
      </c>
      <c r="AA66" s="4">
        <v>47</v>
      </c>
      <c r="AB66" s="4">
        <v>2</v>
      </c>
      <c r="AC66" s="4">
        <v>2</v>
      </c>
      <c r="AD66" s="4">
        <v>1</v>
      </c>
      <c r="AE66" s="4">
        <v>1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1</v>
      </c>
      <c r="AM66" s="4">
        <v>1</v>
      </c>
      <c r="AN66" s="4">
        <v>0</v>
      </c>
      <c r="AO66" s="4">
        <v>0</v>
      </c>
      <c r="AP66" s="3" t="s">
        <v>58</v>
      </c>
      <c r="AQ66" s="3" t="s">
        <v>58</v>
      </c>
      <c r="AS66" s="6" t="str">
        <f>HYPERLINK("https://creighton-primo.hosted.exlibrisgroup.com/primo-explore/search?tab=default_tab&amp;search_scope=EVERYTHING&amp;vid=01CRU&amp;lang=en_US&amp;offset=0&amp;query=any,contains,991004974569702656","Catalog Record")</f>
        <v>Catalog Record</v>
      </c>
      <c r="AT66" s="6" t="str">
        <f>HYPERLINK("http://www.worldcat.org/oclc/6379051","WorldCat Record")</f>
        <v>WorldCat Record</v>
      </c>
      <c r="AU66" s="3" t="s">
        <v>836</v>
      </c>
      <c r="AV66" s="3" t="s">
        <v>837</v>
      </c>
      <c r="AW66" s="3" t="s">
        <v>838</v>
      </c>
      <c r="AX66" s="3" t="s">
        <v>838</v>
      </c>
      <c r="AY66" s="3" t="s">
        <v>839</v>
      </c>
      <c r="AZ66" s="3" t="s">
        <v>74</v>
      </c>
      <c r="BB66" s="3" t="s">
        <v>840</v>
      </c>
      <c r="BC66" s="3" t="s">
        <v>841</v>
      </c>
      <c r="BD66" s="3" t="s">
        <v>842</v>
      </c>
    </row>
    <row r="67" spans="1:56" ht="30" customHeight="1" x14ac:dyDescent="0.25">
      <c r="A67" s="8" t="s">
        <v>58</v>
      </c>
      <c r="B67" s="2" t="s">
        <v>843</v>
      </c>
      <c r="C67" s="2" t="s">
        <v>844</v>
      </c>
      <c r="D67" s="2" t="s">
        <v>845</v>
      </c>
      <c r="E67" s="3" t="s">
        <v>269</v>
      </c>
      <c r="F67" s="3" t="s">
        <v>103</v>
      </c>
      <c r="G67" s="3" t="s">
        <v>59</v>
      </c>
      <c r="H67" s="3" t="s">
        <v>58</v>
      </c>
      <c r="I67" s="3" t="s">
        <v>58</v>
      </c>
      <c r="J67" s="3" t="s">
        <v>60</v>
      </c>
      <c r="L67" s="2" t="s">
        <v>846</v>
      </c>
      <c r="M67" s="3" t="s">
        <v>330</v>
      </c>
      <c r="O67" s="3" t="s">
        <v>64</v>
      </c>
      <c r="P67" s="3" t="s">
        <v>133</v>
      </c>
      <c r="R67" s="3" t="s">
        <v>67</v>
      </c>
      <c r="S67" s="4">
        <v>1</v>
      </c>
      <c r="T67" s="4">
        <v>5</v>
      </c>
      <c r="V67" s="5" t="s">
        <v>847</v>
      </c>
      <c r="W67" s="5" t="s">
        <v>796</v>
      </c>
      <c r="X67" s="5" t="s">
        <v>796</v>
      </c>
      <c r="Y67" s="4">
        <v>78</v>
      </c>
      <c r="Z67" s="4">
        <v>65</v>
      </c>
      <c r="AA67" s="4">
        <v>67</v>
      </c>
      <c r="AB67" s="4">
        <v>2</v>
      </c>
      <c r="AC67" s="4">
        <v>2</v>
      </c>
      <c r="AD67" s="4">
        <v>3</v>
      </c>
      <c r="AE67" s="4">
        <v>3</v>
      </c>
      <c r="AF67" s="4">
        <v>2</v>
      </c>
      <c r="AG67" s="4">
        <v>2</v>
      </c>
      <c r="AH67" s="4">
        <v>1</v>
      </c>
      <c r="AI67" s="4">
        <v>1</v>
      </c>
      <c r="AJ67" s="4">
        <v>0</v>
      </c>
      <c r="AK67" s="4">
        <v>0</v>
      </c>
      <c r="AL67" s="4">
        <v>1</v>
      </c>
      <c r="AM67" s="4">
        <v>1</v>
      </c>
      <c r="AN67" s="4">
        <v>0</v>
      </c>
      <c r="AO67" s="4">
        <v>0</v>
      </c>
      <c r="AP67" s="3" t="s">
        <v>58</v>
      </c>
      <c r="AQ67" s="3" t="s">
        <v>103</v>
      </c>
      <c r="AR67" s="6" t="str">
        <f>HYPERLINK("http://catalog.hathitrust.org/Record/009548786","HathiTrust Record")</f>
        <v>HathiTrust Record</v>
      </c>
      <c r="AS67" s="6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T67" s="6" t="str">
        <f>HYPERLINK("http://www.worldcat.org/oclc/9442141","WorldCat Record")</f>
        <v>WorldCat Record</v>
      </c>
      <c r="AU67" s="3" t="s">
        <v>848</v>
      </c>
      <c r="AV67" s="3" t="s">
        <v>849</v>
      </c>
      <c r="AW67" s="3" t="s">
        <v>850</v>
      </c>
      <c r="AX67" s="3" t="s">
        <v>850</v>
      </c>
      <c r="AY67" s="3" t="s">
        <v>851</v>
      </c>
      <c r="AZ67" s="3" t="s">
        <v>74</v>
      </c>
      <c r="BB67" s="3" t="s">
        <v>852</v>
      </c>
      <c r="BC67" s="3" t="s">
        <v>853</v>
      </c>
      <c r="BD67" s="3" t="s">
        <v>854</v>
      </c>
    </row>
    <row r="68" spans="1:56" ht="30" customHeight="1" x14ac:dyDescent="0.25">
      <c r="A68" s="8" t="s">
        <v>58</v>
      </c>
      <c r="B68" s="2" t="s">
        <v>855</v>
      </c>
      <c r="C68" s="2" t="s">
        <v>856</v>
      </c>
      <c r="D68" s="2" t="s">
        <v>845</v>
      </c>
      <c r="E68" s="3" t="s">
        <v>287</v>
      </c>
      <c r="F68" s="3" t="s">
        <v>103</v>
      </c>
      <c r="G68" s="3" t="s">
        <v>59</v>
      </c>
      <c r="H68" s="3" t="s">
        <v>58</v>
      </c>
      <c r="I68" s="3" t="s">
        <v>58</v>
      </c>
      <c r="J68" s="3" t="s">
        <v>60</v>
      </c>
      <c r="L68" s="2" t="s">
        <v>846</v>
      </c>
      <c r="M68" s="3" t="s">
        <v>330</v>
      </c>
      <c r="O68" s="3" t="s">
        <v>64</v>
      </c>
      <c r="P68" s="3" t="s">
        <v>133</v>
      </c>
      <c r="R68" s="3" t="s">
        <v>67</v>
      </c>
      <c r="S68" s="4">
        <v>1</v>
      </c>
      <c r="T68" s="4">
        <v>5</v>
      </c>
      <c r="V68" s="5" t="s">
        <v>847</v>
      </c>
      <c r="W68" s="5" t="s">
        <v>796</v>
      </c>
      <c r="X68" s="5" t="s">
        <v>796</v>
      </c>
      <c r="Y68" s="4">
        <v>78</v>
      </c>
      <c r="Z68" s="4">
        <v>65</v>
      </c>
      <c r="AA68" s="4">
        <v>67</v>
      </c>
      <c r="AB68" s="4">
        <v>2</v>
      </c>
      <c r="AC68" s="4">
        <v>2</v>
      </c>
      <c r="AD68" s="4">
        <v>3</v>
      </c>
      <c r="AE68" s="4">
        <v>3</v>
      </c>
      <c r="AF68" s="4">
        <v>2</v>
      </c>
      <c r="AG68" s="4">
        <v>2</v>
      </c>
      <c r="AH68" s="4">
        <v>1</v>
      </c>
      <c r="AI68" s="4">
        <v>1</v>
      </c>
      <c r="AJ68" s="4">
        <v>0</v>
      </c>
      <c r="AK68" s="4">
        <v>0</v>
      </c>
      <c r="AL68" s="4">
        <v>1</v>
      </c>
      <c r="AM68" s="4">
        <v>1</v>
      </c>
      <c r="AN68" s="4">
        <v>0</v>
      </c>
      <c r="AO68" s="4">
        <v>0</v>
      </c>
      <c r="AP68" s="3" t="s">
        <v>58</v>
      </c>
      <c r="AQ68" s="3" t="s">
        <v>103</v>
      </c>
      <c r="AR68" s="6" t="str">
        <f>HYPERLINK("http://catalog.hathitrust.org/Record/009548786","HathiTrust Record")</f>
        <v>HathiTrust Record</v>
      </c>
      <c r="AS68" s="6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T68" s="6" t="str">
        <f>HYPERLINK("http://www.worldcat.org/oclc/9442141","WorldCat Record")</f>
        <v>WorldCat Record</v>
      </c>
      <c r="AU68" s="3" t="s">
        <v>848</v>
      </c>
      <c r="AV68" s="3" t="s">
        <v>849</v>
      </c>
      <c r="AW68" s="3" t="s">
        <v>850</v>
      </c>
      <c r="AX68" s="3" t="s">
        <v>850</v>
      </c>
      <c r="AY68" s="3" t="s">
        <v>851</v>
      </c>
      <c r="AZ68" s="3" t="s">
        <v>74</v>
      </c>
      <c r="BB68" s="3" t="s">
        <v>852</v>
      </c>
      <c r="BC68" s="3" t="s">
        <v>857</v>
      </c>
      <c r="BD68" s="3" t="s">
        <v>858</v>
      </c>
    </row>
    <row r="69" spans="1:56" ht="30" customHeight="1" x14ac:dyDescent="0.25">
      <c r="A69" s="8" t="s">
        <v>58</v>
      </c>
      <c r="B69" s="2" t="s">
        <v>859</v>
      </c>
      <c r="C69" s="2" t="s">
        <v>860</v>
      </c>
      <c r="D69" s="2" t="s">
        <v>845</v>
      </c>
      <c r="E69" s="3" t="s">
        <v>272</v>
      </c>
      <c r="F69" s="3" t="s">
        <v>103</v>
      </c>
      <c r="G69" s="3" t="s">
        <v>59</v>
      </c>
      <c r="H69" s="3" t="s">
        <v>58</v>
      </c>
      <c r="I69" s="3" t="s">
        <v>58</v>
      </c>
      <c r="J69" s="3" t="s">
        <v>60</v>
      </c>
      <c r="L69" s="2" t="s">
        <v>846</v>
      </c>
      <c r="M69" s="3" t="s">
        <v>330</v>
      </c>
      <c r="O69" s="3" t="s">
        <v>64</v>
      </c>
      <c r="P69" s="3" t="s">
        <v>133</v>
      </c>
      <c r="R69" s="3" t="s">
        <v>67</v>
      </c>
      <c r="S69" s="4">
        <v>3</v>
      </c>
      <c r="T69" s="4">
        <v>5</v>
      </c>
      <c r="U69" s="5" t="s">
        <v>847</v>
      </c>
      <c r="V69" s="5" t="s">
        <v>847</v>
      </c>
      <c r="W69" s="5" t="s">
        <v>796</v>
      </c>
      <c r="X69" s="5" t="s">
        <v>796</v>
      </c>
      <c r="Y69" s="4">
        <v>78</v>
      </c>
      <c r="Z69" s="4">
        <v>65</v>
      </c>
      <c r="AA69" s="4">
        <v>67</v>
      </c>
      <c r="AB69" s="4">
        <v>2</v>
      </c>
      <c r="AC69" s="4">
        <v>2</v>
      </c>
      <c r="AD69" s="4">
        <v>3</v>
      </c>
      <c r="AE69" s="4">
        <v>3</v>
      </c>
      <c r="AF69" s="4">
        <v>2</v>
      </c>
      <c r="AG69" s="4">
        <v>2</v>
      </c>
      <c r="AH69" s="4">
        <v>1</v>
      </c>
      <c r="AI69" s="4">
        <v>1</v>
      </c>
      <c r="AJ69" s="4">
        <v>0</v>
      </c>
      <c r="AK69" s="4">
        <v>0</v>
      </c>
      <c r="AL69" s="4">
        <v>1</v>
      </c>
      <c r="AM69" s="4">
        <v>1</v>
      </c>
      <c r="AN69" s="4">
        <v>0</v>
      </c>
      <c r="AO69" s="4">
        <v>0</v>
      </c>
      <c r="AP69" s="3" t="s">
        <v>58</v>
      </c>
      <c r="AQ69" s="3" t="s">
        <v>103</v>
      </c>
      <c r="AR69" s="6" t="str">
        <f>HYPERLINK("http://catalog.hathitrust.org/Record/009548786","HathiTrust Record")</f>
        <v>HathiTrust Record</v>
      </c>
      <c r="AS69" s="6" t="str">
        <f>HYPERLINK("https://creighton-primo.hosted.exlibrisgroup.com/primo-explore/search?tab=default_tab&amp;search_scope=EVERYTHING&amp;vid=01CRU&amp;lang=en_US&amp;offset=0&amp;query=any,contains,991000197329702656","Catalog Record")</f>
        <v>Catalog Record</v>
      </c>
      <c r="AT69" s="6" t="str">
        <f>HYPERLINK("http://www.worldcat.org/oclc/9442141","WorldCat Record")</f>
        <v>WorldCat Record</v>
      </c>
      <c r="AU69" s="3" t="s">
        <v>848</v>
      </c>
      <c r="AV69" s="3" t="s">
        <v>849</v>
      </c>
      <c r="AW69" s="3" t="s">
        <v>850</v>
      </c>
      <c r="AX69" s="3" t="s">
        <v>850</v>
      </c>
      <c r="AY69" s="3" t="s">
        <v>851</v>
      </c>
      <c r="AZ69" s="3" t="s">
        <v>74</v>
      </c>
      <c r="BB69" s="3" t="s">
        <v>852</v>
      </c>
      <c r="BC69" s="3" t="s">
        <v>861</v>
      </c>
      <c r="BD69" s="3" t="s">
        <v>862</v>
      </c>
    </row>
    <row r="70" spans="1:56" ht="30" customHeight="1" x14ac:dyDescent="0.25">
      <c r="A70" s="8" t="s">
        <v>58</v>
      </c>
      <c r="B70" s="2" t="s">
        <v>863</v>
      </c>
      <c r="C70" s="2" t="s">
        <v>864</v>
      </c>
      <c r="D70" s="2" t="s">
        <v>865</v>
      </c>
      <c r="F70" s="3" t="s">
        <v>58</v>
      </c>
      <c r="G70" s="3" t="s">
        <v>59</v>
      </c>
      <c r="H70" s="3" t="s">
        <v>103</v>
      </c>
      <c r="I70" s="3" t="s">
        <v>58</v>
      </c>
      <c r="J70" s="3" t="s">
        <v>60</v>
      </c>
      <c r="L70" s="2" t="s">
        <v>866</v>
      </c>
      <c r="M70" s="3" t="s">
        <v>867</v>
      </c>
      <c r="N70" s="2" t="s">
        <v>162</v>
      </c>
      <c r="O70" s="3" t="s">
        <v>64</v>
      </c>
      <c r="P70" s="3" t="s">
        <v>315</v>
      </c>
      <c r="R70" s="3" t="s">
        <v>67</v>
      </c>
      <c r="S70" s="4">
        <v>1</v>
      </c>
      <c r="T70" s="4">
        <v>11</v>
      </c>
      <c r="V70" s="5" t="s">
        <v>868</v>
      </c>
      <c r="W70" s="5" t="s">
        <v>119</v>
      </c>
      <c r="X70" s="5" t="s">
        <v>119</v>
      </c>
      <c r="Y70" s="4">
        <v>225</v>
      </c>
      <c r="Z70" s="4">
        <v>192</v>
      </c>
      <c r="AA70" s="4">
        <v>199</v>
      </c>
      <c r="AB70" s="4">
        <v>4</v>
      </c>
      <c r="AC70" s="4">
        <v>4</v>
      </c>
      <c r="AD70" s="4">
        <v>6</v>
      </c>
      <c r="AE70" s="4">
        <v>6</v>
      </c>
      <c r="AF70" s="4">
        <v>3</v>
      </c>
      <c r="AG70" s="4">
        <v>3</v>
      </c>
      <c r="AH70" s="4">
        <v>1</v>
      </c>
      <c r="AI70" s="4">
        <v>1</v>
      </c>
      <c r="AJ70" s="4">
        <v>2</v>
      </c>
      <c r="AK70" s="4">
        <v>2</v>
      </c>
      <c r="AL70" s="4">
        <v>1</v>
      </c>
      <c r="AM70" s="4">
        <v>1</v>
      </c>
      <c r="AN70" s="4">
        <v>0</v>
      </c>
      <c r="AO70" s="4">
        <v>0</v>
      </c>
      <c r="AP70" s="3" t="s">
        <v>58</v>
      </c>
      <c r="AQ70" s="3" t="s">
        <v>103</v>
      </c>
      <c r="AR70" s="6" t="str">
        <f>HYPERLINK("http://catalog.hathitrust.org/Record/000715586","HathiTrust Record")</f>
        <v>HathiTrust Record</v>
      </c>
      <c r="AS70" s="6" t="str">
        <f>HYPERLINK("https://creighton-primo.hosted.exlibrisgroup.com/primo-explore/search?tab=default_tab&amp;search_scope=EVERYTHING&amp;vid=01CRU&amp;lang=en_US&amp;offset=0&amp;query=any,contains,991001764229702656","Catalog Record")</f>
        <v>Catalog Record</v>
      </c>
      <c r="AT70" s="6" t="str">
        <f>HYPERLINK("http://www.worldcat.org/oclc/2121494","WorldCat Record")</f>
        <v>WorldCat Record</v>
      </c>
      <c r="AU70" s="3" t="s">
        <v>869</v>
      </c>
      <c r="AV70" s="3" t="s">
        <v>870</v>
      </c>
      <c r="AW70" s="3" t="s">
        <v>871</v>
      </c>
      <c r="AX70" s="3" t="s">
        <v>871</v>
      </c>
      <c r="AY70" s="3" t="s">
        <v>872</v>
      </c>
      <c r="AZ70" s="3" t="s">
        <v>74</v>
      </c>
      <c r="BB70" s="3" t="s">
        <v>873</v>
      </c>
      <c r="BC70" s="3" t="s">
        <v>874</v>
      </c>
      <c r="BD70" s="3" t="s">
        <v>875</v>
      </c>
    </row>
    <row r="71" spans="1:56" ht="30" customHeight="1" x14ac:dyDescent="0.25">
      <c r="A71" s="8" t="s">
        <v>58</v>
      </c>
      <c r="B71" s="2" t="s">
        <v>876</v>
      </c>
      <c r="C71" s="2" t="s">
        <v>877</v>
      </c>
      <c r="D71" s="2" t="s">
        <v>878</v>
      </c>
      <c r="F71" s="3" t="s">
        <v>58</v>
      </c>
      <c r="G71" s="3" t="s">
        <v>59</v>
      </c>
      <c r="H71" s="3" t="s">
        <v>103</v>
      </c>
      <c r="I71" s="3" t="s">
        <v>58</v>
      </c>
      <c r="J71" s="3" t="s">
        <v>60</v>
      </c>
      <c r="K71" s="2" t="s">
        <v>879</v>
      </c>
      <c r="L71" s="2" t="s">
        <v>880</v>
      </c>
      <c r="M71" s="3" t="s">
        <v>881</v>
      </c>
      <c r="N71" s="2" t="s">
        <v>882</v>
      </c>
      <c r="O71" s="3" t="s">
        <v>64</v>
      </c>
      <c r="P71" s="3" t="s">
        <v>315</v>
      </c>
      <c r="R71" s="3" t="s">
        <v>67</v>
      </c>
      <c r="S71" s="4">
        <v>3</v>
      </c>
      <c r="T71" s="4">
        <v>3</v>
      </c>
      <c r="U71" s="5" t="s">
        <v>847</v>
      </c>
      <c r="V71" s="5" t="s">
        <v>847</v>
      </c>
      <c r="W71" s="5" t="s">
        <v>883</v>
      </c>
      <c r="X71" s="5" t="s">
        <v>883</v>
      </c>
      <c r="Y71" s="4">
        <v>240</v>
      </c>
      <c r="Z71" s="4">
        <v>197</v>
      </c>
      <c r="AA71" s="4">
        <v>201</v>
      </c>
      <c r="AB71" s="4">
        <v>2</v>
      </c>
      <c r="AC71" s="4">
        <v>2</v>
      </c>
      <c r="AD71" s="4">
        <v>4</v>
      </c>
      <c r="AE71" s="4">
        <v>4</v>
      </c>
      <c r="AF71" s="4">
        <v>0</v>
      </c>
      <c r="AG71" s="4">
        <v>0</v>
      </c>
      <c r="AH71" s="4">
        <v>3</v>
      </c>
      <c r="AI71" s="4">
        <v>3</v>
      </c>
      <c r="AJ71" s="4">
        <v>1</v>
      </c>
      <c r="AK71" s="4">
        <v>1</v>
      </c>
      <c r="AL71" s="4">
        <v>0</v>
      </c>
      <c r="AM71" s="4">
        <v>0</v>
      </c>
      <c r="AN71" s="4">
        <v>1</v>
      </c>
      <c r="AO71" s="4">
        <v>1</v>
      </c>
      <c r="AP71" s="3" t="s">
        <v>58</v>
      </c>
      <c r="AQ71" s="3" t="s">
        <v>103</v>
      </c>
      <c r="AR71" s="6" t="str">
        <f>HYPERLINK("http://catalog.hathitrust.org/Record/001545252","HathiTrust Record")</f>
        <v>HathiTrust Record</v>
      </c>
      <c r="AS71" s="6" t="str">
        <f>HYPERLINK("https://creighton-primo.hosted.exlibrisgroup.com/primo-explore/search?tab=default_tab&amp;search_scope=EVERYTHING&amp;vid=01CRU&amp;lang=en_US&amp;offset=0&amp;query=any,contains,991001450939702656","Catalog Record")</f>
        <v>Catalog Record</v>
      </c>
      <c r="AT71" s="6" t="str">
        <f>HYPERLINK("http://www.worldcat.org/oclc/19324857","WorldCat Record")</f>
        <v>WorldCat Record</v>
      </c>
      <c r="AU71" s="3" t="s">
        <v>884</v>
      </c>
      <c r="AV71" s="3" t="s">
        <v>885</v>
      </c>
      <c r="AW71" s="3" t="s">
        <v>886</v>
      </c>
      <c r="AX71" s="3" t="s">
        <v>886</v>
      </c>
      <c r="AY71" s="3" t="s">
        <v>887</v>
      </c>
      <c r="AZ71" s="3" t="s">
        <v>74</v>
      </c>
      <c r="BB71" s="3" t="s">
        <v>888</v>
      </c>
      <c r="BC71" s="3" t="s">
        <v>889</v>
      </c>
      <c r="BD71" s="3" t="s">
        <v>890</v>
      </c>
    </row>
    <row r="72" spans="1:56" ht="30" customHeight="1" x14ac:dyDescent="0.25">
      <c r="A72" s="8" t="s">
        <v>58</v>
      </c>
      <c r="B72" s="2" t="s">
        <v>891</v>
      </c>
      <c r="C72" s="2" t="s">
        <v>892</v>
      </c>
      <c r="D72" s="2" t="s">
        <v>893</v>
      </c>
      <c r="F72" s="3" t="s">
        <v>58</v>
      </c>
      <c r="G72" s="3" t="s">
        <v>59</v>
      </c>
      <c r="H72" s="3" t="s">
        <v>58</v>
      </c>
      <c r="I72" s="3" t="s">
        <v>58</v>
      </c>
      <c r="J72" s="3" t="s">
        <v>60</v>
      </c>
      <c r="L72" s="2" t="s">
        <v>894</v>
      </c>
      <c r="M72" s="3" t="s">
        <v>298</v>
      </c>
      <c r="O72" s="3" t="s">
        <v>64</v>
      </c>
      <c r="P72" s="3" t="s">
        <v>315</v>
      </c>
      <c r="Q72" s="2" t="s">
        <v>895</v>
      </c>
      <c r="R72" s="3" t="s">
        <v>67</v>
      </c>
      <c r="S72" s="4">
        <v>2</v>
      </c>
      <c r="T72" s="4">
        <v>2</v>
      </c>
      <c r="U72" s="5" t="s">
        <v>896</v>
      </c>
      <c r="V72" s="5" t="s">
        <v>896</v>
      </c>
      <c r="W72" s="5" t="s">
        <v>897</v>
      </c>
      <c r="X72" s="5" t="s">
        <v>897</v>
      </c>
      <c r="Y72" s="4">
        <v>126</v>
      </c>
      <c r="Z72" s="4">
        <v>115</v>
      </c>
      <c r="AA72" s="4">
        <v>151</v>
      </c>
      <c r="AB72" s="4">
        <v>3</v>
      </c>
      <c r="AC72" s="4">
        <v>3</v>
      </c>
      <c r="AD72" s="4">
        <v>3</v>
      </c>
      <c r="AE72" s="4">
        <v>4</v>
      </c>
      <c r="AF72" s="4">
        <v>0</v>
      </c>
      <c r="AG72" s="4">
        <v>1</v>
      </c>
      <c r="AH72" s="4">
        <v>1</v>
      </c>
      <c r="AI72" s="4">
        <v>1</v>
      </c>
      <c r="AJ72" s="4">
        <v>1</v>
      </c>
      <c r="AK72" s="4">
        <v>2</v>
      </c>
      <c r="AL72" s="4">
        <v>1</v>
      </c>
      <c r="AM72" s="4">
        <v>1</v>
      </c>
      <c r="AN72" s="4">
        <v>0</v>
      </c>
      <c r="AO72" s="4">
        <v>0</v>
      </c>
      <c r="AP72" s="3" t="s">
        <v>58</v>
      </c>
      <c r="AQ72" s="3" t="s">
        <v>103</v>
      </c>
      <c r="AR72" s="6" t="str">
        <f>HYPERLINK("http://catalog.hathitrust.org/Record/000715147","HathiTrust Record")</f>
        <v>HathiTrust Record</v>
      </c>
      <c r="AS72" s="6" t="str">
        <f>HYPERLINK("https://creighton-primo.hosted.exlibrisgroup.com/primo-explore/search?tab=default_tab&amp;search_scope=EVERYTHING&amp;vid=01CRU&amp;lang=en_US&amp;offset=0&amp;query=any,contains,991004864629702656","Catalog Record")</f>
        <v>Catalog Record</v>
      </c>
      <c r="AT72" s="6" t="str">
        <f>HYPERLINK("http://www.worldcat.org/oclc/5726338","WorldCat Record")</f>
        <v>WorldCat Record</v>
      </c>
      <c r="AU72" s="3" t="s">
        <v>898</v>
      </c>
      <c r="AV72" s="3" t="s">
        <v>899</v>
      </c>
      <c r="AW72" s="3" t="s">
        <v>900</v>
      </c>
      <c r="AX72" s="3" t="s">
        <v>900</v>
      </c>
      <c r="AY72" s="3" t="s">
        <v>901</v>
      </c>
      <c r="AZ72" s="3" t="s">
        <v>74</v>
      </c>
      <c r="BB72" s="3" t="s">
        <v>902</v>
      </c>
      <c r="BC72" s="3" t="s">
        <v>903</v>
      </c>
      <c r="BD72" s="3" t="s">
        <v>904</v>
      </c>
    </row>
    <row r="73" spans="1:56" ht="30" customHeight="1" x14ac:dyDescent="0.25">
      <c r="A73" s="8" t="s">
        <v>58</v>
      </c>
      <c r="B73" s="2" t="s">
        <v>905</v>
      </c>
      <c r="C73" s="2" t="s">
        <v>906</v>
      </c>
      <c r="D73" s="2" t="s">
        <v>907</v>
      </c>
      <c r="F73" s="3" t="s">
        <v>58</v>
      </c>
      <c r="G73" s="3" t="s">
        <v>59</v>
      </c>
      <c r="H73" s="3" t="s">
        <v>58</v>
      </c>
      <c r="I73" s="3" t="s">
        <v>58</v>
      </c>
      <c r="J73" s="3" t="s">
        <v>60</v>
      </c>
      <c r="K73" s="2" t="s">
        <v>908</v>
      </c>
      <c r="L73" s="2" t="s">
        <v>909</v>
      </c>
      <c r="M73" s="3" t="s">
        <v>330</v>
      </c>
      <c r="N73" s="2" t="s">
        <v>910</v>
      </c>
      <c r="O73" s="3" t="s">
        <v>64</v>
      </c>
      <c r="P73" s="3" t="s">
        <v>911</v>
      </c>
      <c r="R73" s="3" t="s">
        <v>912</v>
      </c>
      <c r="S73" s="4">
        <v>47</v>
      </c>
      <c r="T73" s="4">
        <v>47</v>
      </c>
      <c r="U73" s="5" t="s">
        <v>913</v>
      </c>
      <c r="V73" s="5" t="s">
        <v>913</v>
      </c>
      <c r="W73" s="5" t="s">
        <v>914</v>
      </c>
      <c r="X73" s="5" t="s">
        <v>914</v>
      </c>
      <c r="Y73" s="4">
        <v>445</v>
      </c>
      <c r="Z73" s="4">
        <v>340</v>
      </c>
      <c r="AA73" s="4">
        <v>941</v>
      </c>
      <c r="AB73" s="4">
        <v>3</v>
      </c>
      <c r="AC73" s="4">
        <v>8</v>
      </c>
      <c r="AD73" s="4">
        <v>8</v>
      </c>
      <c r="AE73" s="4">
        <v>29</v>
      </c>
      <c r="AF73" s="4">
        <v>4</v>
      </c>
      <c r="AG73" s="4">
        <v>9</v>
      </c>
      <c r="AH73" s="4">
        <v>2</v>
      </c>
      <c r="AI73" s="4">
        <v>8</v>
      </c>
      <c r="AJ73" s="4">
        <v>4</v>
      </c>
      <c r="AK73" s="4">
        <v>14</v>
      </c>
      <c r="AL73" s="4">
        <v>1</v>
      </c>
      <c r="AM73" s="4">
        <v>6</v>
      </c>
      <c r="AN73" s="4">
        <v>0</v>
      </c>
      <c r="AO73" s="4">
        <v>0</v>
      </c>
      <c r="AP73" s="3" t="s">
        <v>58</v>
      </c>
      <c r="AQ73" s="3" t="s">
        <v>103</v>
      </c>
      <c r="AR73" s="6" t="str">
        <f>HYPERLINK("http://catalog.hathitrust.org/Record/000238696","HathiTrust Record")</f>
        <v>HathiTrust Record</v>
      </c>
      <c r="AS73" s="6" t="str">
        <f>HYPERLINK("https://creighton-primo.hosted.exlibrisgroup.com/primo-explore/search?tab=default_tab&amp;search_scope=EVERYTHING&amp;vid=01CRU&amp;lang=en_US&amp;offset=0&amp;query=any,contains,991000745419702656","Catalog Record")</f>
        <v>Catalog Record</v>
      </c>
      <c r="AT73" s="6" t="str">
        <f>HYPERLINK("http://www.worldcat.org/oclc/8628808","WorldCat Record")</f>
        <v>WorldCat Record</v>
      </c>
    </row>
    <row r="74" spans="1:56" ht="30" customHeight="1" x14ac:dyDescent="0.25">
      <c r="A74" s="8" t="s">
        <v>58</v>
      </c>
      <c r="B74" s="2" t="s">
        <v>915</v>
      </c>
      <c r="C74" s="2" t="s">
        <v>916</v>
      </c>
      <c r="D74" s="2" t="s">
        <v>917</v>
      </c>
      <c r="F74" s="3" t="s">
        <v>58</v>
      </c>
      <c r="G74" s="3" t="s">
        <v>59</v>
      </c>
      <c r="H74" s="3" t="s">
        <v>58</v>
      </c>
      <c r="I74" s="3" t="s">
        <v>58</v>
      </c>
      <c r="J74" s="3" t="s">
        <v>60</v>
      </c>
      <c r="K74" s="2" t="s">
        <v>918</v>
      </c>
      <c r="L74" s="2" t="s">
        <v>919</v>
      </c>
      <c r="M74" s="3" t="s">
        <v>98</v>
      </c>
      <c r="N74" s="2" t="s">
        <v>920</v>
      </c>
      <c r="O74" s="3" t="s">
        <v>64</v>
      </c>
      <c r="P74" s="3" t="s">
        <v>911</v>
      </c>
      <c r="R74" s="3" t="s">
        <v>912</v>
      </c>
      <c r="S74" s="4">
        <v>5</v>
      </c>
      <c r="T74" s="4">
        <v>5</v>
      </c>
      <c r="U74" s="5" t="s">
        <v>921</v>
      </c>
      <c r="V74" s="5" t="s">
        <v>921</v>
      </c>
      <c r="W74" s="5" t="s">
        <v>914</v>
      </c>
      <c r="X74" s="5" t="s">
        <v>914</v>
      </c>
      <c r="Y74" s="4">
        <v>243</v>
      </c>
      <c r="Z74" s="4">
        <v>160</v>
      </c>
      <c r="AA74" s="4">
        <v>501</v>
      </c>
      <c r="AB74" s="4">
        <v>1</v>
      </c>
      <c r="AC74" s="4">
        <v>5</v>
      </c>
      <c r="AD74" s="4">
        <v>4</v>
      </c>
      <c r="AE74" s="4">
        <v>12</v>
      </c>
      <c r="AF74" s="4">
        <v>3</v>
      </c>
      <c r="AG74" s="4">
        <v>4</v>
      </c>
      <c r="AH74" s="4">
        <v>1</v>
      </c>
      <c r="AI74" s="4">
        <v>2</v>
      </c>
      <c r="AJ74" s="4">
        <v>2</v>
      </c>
      <c r="AK74" s="4">
        <v>4</v>
      </c>
      <c r="AL74" s="4">
        <v>0</v>
      </c>
      <c r="AM74" s="4">
        <v>3</v>
      </c>
      <c r="AN74" s="4">
        <v>0</v>
      </c>
      <c r="AO74" s="4">
        <v>1</v>
      </c>
      <c r="AP74" s="3" t="s">
        <v>58</v>
      </c>
      <c r="AQ74" s="3" t="s">
        <v>58</v>
      </c>
      <c r="AS74" s="6" t="str">
        <f>HYPERLINK("https://creighton-primo.hosted.exlibrisgroup.com/primo-explore/search?tab=default_tab&amp;search_scope=EVERYTHING&amp;vid=01CRU&amp;lang=en_US&amp;offset=0&amp;query=any,contains,991000745449702656","Catalog Record")</f>
        <v>Catalog Record</v>
      </c>
      <c r="AT74" s="6" t="str">
        <f>HYPERLINK("http://www.worldcat.org/oclc/7550795","WorldCat Record")</f>
        <v>WorldCat Record</v>
      </c>
    </row>
    <row r="75" spans="1:56" ht="30" customHeight="1" x14ac:dyDescent="0.25">
      <c r="A75" s="8" t="s">
        <v>58</v>
      </c>
      <c r="B75" s="2" t="s">
        <v>922</v>
      </c>
      <c r="C75" s="2" t="s">
        <v>923</v>
      </c>
      <c r="D75" s="2" t="s">
        <v>924</v>
      </c>
      <c r="F75" s="3" t="s">
        <v>58</v>
      </c>
      <c r="G75" s="3" t="s">
        <v>59</v>
      </c>
      <c r="H75" s="3" t="s">
        <v>58</v>
      </c>
      <c r="I75" s="3" t="s">
        <v>58</v>
      </c>
      <c r="J75" s="3" t="s">
        <v>60</v>
      </c>
      <c r="K75" s="2" t="s">
        <v>925</v>
      </c>
      <c r="L75" s="2" t="s">
        <v>926</v>
      </c>
      <c r="M75" s="3" t="s">
        <v>560</v>
      </c>
      <c r="O75" s="3" t="s">
        <v>64</v>
      </c>
      <c r="P75" s="3" t="s">
        <v>911</v>
      </c>
      <c r="R75" s="3" t="s">
        <v>912</v>
      </c>
      <c r="S75" s="4">
        <v>6</v>
      </c>
      <c r="T75" s="4">
        <v>6</v>
      </c>
      <c r="U75" s="5" t="s">
        <v>927</v>
      </c>
      <c r="V75" s="5" t="s">
        <v>927</v>
      </c>
      <c r="W75" s="5" t="s">
        <v>928</v>
      </c>
      <c r="X75" s="5" t="s">
        <v>928</v>
      </c>
      <c r="Y75" s="4">
        <v>151</v>
      </c>
      <c r="Z75" s="4">
        <v>107</v>
      </c>
      <c r="AA75" s="4">
        <v>109</v>
      </c>
      <c r="AB75" s="4">
        <v>1</v>
      </c>
      <c r="AC75" s="4">
        <v>1</v>
      </c>
      <c r="AD75" s="4">
        <v>1</v>
      </c>
      <c r="AE75" s="4">
        <v>1</v>
      </c>
      <c r="AF75" s="4">
        <v>1</v>
      </c>
      <c r="AG75" s="4">
        <v>1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3" t="s">
        <v>58</v>
      </c>
      <c r="AQ75" s="3" t="s">
        <v>103</v>
      </c>
      <c r="AR75" s="6" t="str">
        <f>HYPERLINK("http://catalog.hathitrust.org/Record/000164749","HathiTrust Record")</f>
        <v>HathiTrust Record</v>
      </c>
      <c r="AS75" s="6" t="str">
        <f>HYPERLINK("https://creighton-primo.hosted.exlibrisgroup.com/primo-explore/search?tab=default_tab&amp;search_scope=EVERYTHING&amp;vid=01CRU&amp;lang=en_US&amp;offset=0&amp;query=any,contains,991001288419702656","Catalog Record")</f>
        <v>Catalog Record</v>
      </c>
      <c r="AT75" s="6" t="str">
        <f>HYPERLINK("http://www.worldcat.org/oclc/10558911","WorldCat Record")</f>
        <v>WorldCat Record</v>
      </c>
    </row>
    <row r="76" spans="1:56" ht="30" customHeight="1" x14ac:dyDescent="0.25">
      <c r="A76" s="8" t="s">
        <v>58</v>
      </c>
      <c r="B76" s="2" t="s">
        <v>929</v>
      </c>
      <c r="C76" s="2" t="s">
        <v>930</v>
      </c>
      <c r="D76" s="2" t="s">
        <v>931</v>
      </c>
      <c r="F76" s="3" t="s">
        <v>58</v>
      </c>
      <c r="G76" s="3" t="s">
        <v>59</v>
      </c>
      <c r="H76" s="3" t="s">
        <v>58</v>
      </c>
      <c r="I76" s="3" t="s">
        <v>58</v>
      </c>
      <c r="J76" s="3" t="s">
        <v>60</v>
      </c>
      <c r="K76" s="2" t="s">
        <v>932</v>
      </c>
      <c r="L76" s="2" t="s">
        <v>933</v>
      </c>
      <c r="M76" s="3" t="s">
        <v>98</v>
      </c>
      <c r="N76" s="2" t="s">
        <v>934</v>
      </c>
      <c r="O76" s="3" t="s">
        <v>64</v>
      </c>
      <c r="P76" s="3" t="s">
        <v>911</v>
      </c>
      <c r="R76" s="3" t="s">
        <v>912</v>
      </c>
      <c r="S76" s="4">
        <v>21</v>
      </c>
      <c r="T76" s="4">
        <v>21</v>
      </c>
      <c r="U76" s="5" t="s">
        <v>935</v>
      </c>
      <c r="V76" s="5" t="s">
        <v>935</v>
      </c>
      <c r="W76" s="5" t="s">
        <v>914</v>
      </c>
      <c r="X76" s="5" t="s">
        <v>914</v>
      </c>
      <c r="Y76" s="4">
        <v>104</v>
      </c>
      <c r="Z76" s="4">
        <v>77</v>
      </c>
      <c r="AA76" s="4">
        <v>237</v>
      </c>
      <c r="AB76" s="4">
        <v>2</v>
      </c>
      <c r="AC76" s="4">
        <v>3</v>
      </c>
      <c r="AD76" s="4">
        <v>2</v>
      </c>
      <c r="AE76" s="4">
        <v>5</v>
      </c>
      <c r="AF76" s="4">
        <v>0</v>
      </c>
      <c r="AG76" s="4">
        <v>0</v>
      </c>
      <c r="AH76" s="4">
        <v>0</v>
      </c>
      <c r="AI76" s="4">
        <v>0</v>
      </c>
      <c r="AJ76" s="4">
        <v>1</v>
      </c>
      <c r="AK76" s="4">
        <v>3</v>
      </c>
      <c r="AL76" s="4">
        <v>1</v>
      </c>
      <c r="AM76" s="4">
        <v>2</v>
      </c>
      <c r="AN76" s="4">
        <v>0</v>
      </c>
      <c r="AO76" s="4">
        <v>0</v>
      </c>
      <c r="AP76" s="3" t="s">
        <v>58</v>
      </c>
      <c r="AQ76" s="3" t="s">
        <v>58</v>
      </c>
      <c r="AS76" s="6" t="str">
        <f>HYPERLINK("https://creighton-primo.hosted.exlibrisgroup.com/primo-explore/search?tab=default_tab&amp;search_scope=EVERYTHING&amp;vid=01CRU&amp;lang=en_US&amp;offset=0&amp;query=any,contains,991000745579702656","Catalog Record")</f>
        <v>Catalog Record</v>
      </c>
      <c r="AT76" s="6" t="str">
        <f>HYPERLINK("http://www.worldcat.org/oclc/7836149","WorldCat Record")</f>
        <v>WorldCat Record</v>
      </c>
    </row>
    <row r="77" spans="1:56" ht="30" customHeight="1" x14ac:dyDescent="0.25">
      <c r="A77" s="8" t="s">
        <v>58</v>
      </c>
      <c r="B77" s="2" t="s">
        <v>936</v>
      </c>
      <c r="C77" s="2" t="s">
        <v>937</v>
      </c>
      <c r="D77" s="2" t="s">
        <v>938</v>
      </c>
      <c r="F77" s="3" t="s">
        <v>58</v>
      </c>
      <c r="G77" s="3" t="s">
        <v>59</v>
      </c>
      <c r="H77" s="3" t="s">
        <v>58</v>
      </c>
      <c r="I77" s="3" t="s">
        <v>103</v>
      </c>
      <c r="J77" s="3" t="s">
        <v>60</v>
      </c>
      <c r="K77" s="2" t="s">
        <v>939</v>
      </c>
      <c r="L77" s="2" t="s">
        <v>940</v>
      </c>
      <c r="M77" s="3" t="s">
        <v>941</v>
      </c>
      <c r="N77" s="2" t="s">
        <v>942</v>
      </c>
      <c r="O77" s="3" t="s">
        <v>64</v>
      </c>
      <c r="P77" s="3" t="s">
        <v>65</v>
      </c>
      <c r="R77" s="3" t="s">
        <v>912</v>
      </c>
      <c r="S77" s="4">
        <v>4</v>
      </c>
      <c r="T77" s="4">
        <v>4</v>
      </c>
      <c r="U77" s="5" t="s">
        <v>943</v>
      </c>
      <c r="V77" s="5" t="s">
        <v>943</v>
      </c>
      <c r="W77" s="5" t="s">
        <v>944</v>
      </c>
      <c r="X77" s="5" t="s">
        <v>944</v>
      </c>
      <c r="Y77" s="4">
        <v>343</v>
      </c>
      <c r="Z77" s="4">
        <v>276</v>
      </c>
      <c r="AA77" s="4">
        <v>647</v>
      </c>
      <c r="AB77" s="4">
        <v>1</v>
      </c>
      <c r="AC77" s="4">
        <v>1</v>
      </c>
      <c r="AD77" s="4">
        <v>3</v>
      </c>
      <c r="AE77" s="4">
        <v>12</v>
      </c>
      <c r="AF77" s="4">
        <v>1</v>
      </c>
      <c r="AG77" s="4">
        <v>6</v>
      </c>
      <c r="AH77" s="4">
        <v>2</v>
      </c>
      <c r="AI77" s="4">
        <v>3</v>
      </c>
      <c r="AJ77" s="4">
        <v>2</v>
      </c>
      <c r="AK77" s="4">
        <v>7</v>
      </c>
      <c r="AL77" s="4">
        <v>0</v>
      </c>
      <c r="AM77" s="4">
        <v>0</v>
      </c>
      <c r="AN77" s="4">
        <v>0</v>
      </c>
      <c r="AO77" s="4">
        <v>0</v>
      </c>
      <c r="AP77" s="3" t="s">
        <v>58</v>
      </c>
      <c r="AQ77" s="3" t="s">
        <v>58</v>
      </c>
      <c r="AS77" s="6" t="str">
        <f>HYPERLINK("https://creighton-primo.hosted.exlibrisgroup.com/primo-explore/search?tab=default_tab&amp;search_scope=EVERYTHING&amp;vid=01CRU&amp;lang=en_US&amp;offset=0&amp;query=any,contains,991000465679702656","Catalog Record")</f>
        <v>Catalog Record</v>
      </c>
      <c r="AT77" s="6" t="str">
        <f>HYPERLINK("http://www.worldcat.org/oclc/57352686","WorldCat Record")</f>
        <v>WorldCat Record</v>
      </c>
    </row>
    <row r="78" spans="1:56" ht="30" customHeight="1" x14ac:dyDescent="0.25">
      <c r="A78" s="8" t="s">
        <v>58</v>
      </c>
      <c r="B78" s="2" t="s">
        <v>945</v>
      </c>
      <c r="C78" s="2" t="s">
        <v>946</v>
      </c>
      <c r="D78" s="2" t="s">
        <v>947</v>
      </c>
      <c r="F78" s="3" t="s">
        <v>58</v>
      </c>
      <c r="G78" s="3" t="s">
        <v>59</v>
      </c>
      <c r="H78" s="3" t="s">
        <v>58</v>
      </c>
      <c r="I78" s="3" t="s">
        <v>103</v>
      </c>
      <c r="J78" s="3" t="s">
        <v>60</v>
      </c>
      <c r="K78" s="2" t="s">
        <v>939</v>
      </c>
      <c r="L78" s="2" t="s">
        <v>948</v>
      </c>
      <c r="M78" s="3" t="s">
        <v>949</v>
      </c>
      <c r="N78" s="2" t="s">
        <v>950</v>
      </c>
      <c r="O78" s="3" t="s">
        <v>64</v>
      </c>
      <c r="P78" s="3" t="s">
        <v>65</v>
      </c>
      <c r="R78" s="3" t="s">
        <v>912</v>
      </c>
      <c r="S78" s="4">
        <v>8</v>
      </c>
      <c r="T78" s="4">
        <v>8</v>
      </c>
      <c r="U78" s="5" t="s">
        <v>951</v>
      </c>
      <c r="V78" s="5" t="s">
        <v>951</v>
      </c>
      <c r="W78" s="5" t="s">
        <v>952</v>
      </c>
      <c r="X78" s="5" t="s">
        <v>952</v>
      </c>
      <c r="Y78" s="4">
        <v>548</v>
      </c>
      <c r="Z78" s="4">
        <v>453</v>
      </c>
      <c r="AA78" s="4">
        <v>647</v>
      </c>
      <c r="AB78" s="4">
        <v>1</v>
      </c>
      <c r="AC78" s="4">
        <v>1</v>
      </c>
      <c r="AD78" s="4">
        <v>10</v>
      </c>
      <c r="AE78" s="4">
        <v>12</v>
      </c>
      <c r="AF78" s="4">
        <v>5</v>
      </c>
      <c r="AG78" s="4">
        <v>6</v>
      </c>
      <c r="AH78" s="4">
        <v>2</v>
      </c>
      <c r="AI78" s="4">
        <v>3</v>
      </c>
      <c r="AJ78" s="4">
        <v>6</v>
      </c>
      <c r="AK78" s="4">
        <v>7</v>
      </c>
      <c r="AL78" s="4">
        <v>0</v>
      </c>
      <c r="AM78" s="4">
        <v>0</v>
      </c>
      <c r="AN78" s="4">
        <v>0</v>
      </c>
      <c r="AO78" s="4">
        <v>0</v>
      </c>
      <c r="AP78" s="3" t="s">
        <v>58</v>
      </c>
      <c r="AQ78" s="3" t="s">
        <v>103</v>
      </c>
      <c r="AR78" s="6" t="str">
        <f>HYPERLINK("http://catalog.hathitrust.org/Record/004088251","HathiTrust Record")</f>
        <v>HathiTrust Record</v>
      </c>
      <c r="AS78" s="6" t="str">
        <f>HYPERLINK("https://creighton-primo.hosted.exlibrisgroup.com/primo-explore/search?tab=default_tab&amp;search_scope=EVERYTHING&amp;vid=01CRU&amp;lang=en_US&amp;offset=0&amp;query=any,contains,991001442829702656","Catalog Record")</f>
        <v>Catalog Record</v>
      </c>
      <c r="AT78" s="6" t="str">
        <f>HYPERLINK("http://www.worldcat.org/oclc/41646972","WorldCat Record")</f>
        <v>WorldCat Record</v>
      </c>
    </row>
    <row r="79" spans="1:56" ht="30" customHeight="1" x14ac:dyDescent="0.25">
      <c r="A79" s="8" t="s">
        <v>58</v>
      </c>
      <c r="B79" s="2" t="s">
        <v>953</v>
      </c>
      <c r="C79" s="2" t="s">
        <v>954</v>
      </c>
      <c r="D79" s="2" t="s">
        <v>955</v>
      </c>
      <c r="F79" s="3" t="s">
        <v>58</v>
      </c>
      <c r="G79" s="3" t="s">
        <v>59</v>
      </c>
      <c r="H79" s="3" t="s">
        <v>58</v>
      </c>
      <c r="I79" s="3" t="s">
        <v>58</v>
      </c>
      <c r="J79" s="3" t="s">
        <v>60</v>
      </c>
      <c r="K79" s="2" t="s">
        <v>956</v>
      </c>
      <c r="L79" s="2" t="s">
        <v>957</v>
      </c>
      <c r="M79" s="3" t="s">
        <v>98</v>
      </c>
      <c r="O79" s="3" t="s">
        <v>64</v>
      </c>
      <c r="P79" s="3" t="s">
        <v>911</v>
      </c>
      <c r="R79" s="3" t="s">
        <v>912</v>
      </c>
      <c r="S79" s="4">
        <v>14</v>
      </c>
      <c r="T79" s="4">
        <v>14</v>
      </c>
      <c r="U79" s="5" t="s">
        <v>958</v>
      </c>
      <c r="V79" s="5" t="s">
        <v>958</v>
      </c>
      <c r="W79" s="5" t="s">
        <v>914</v>
      </c>
      <c r="X79" s="5" t="s">
        <v>914</v>
      </c>
      <c r="Y79" s="4">
        <v>213</v>
      </c>
      <c r="Z79" s="4">
        <v>171</v>
      </c>
      <c r="AA79" s="4">
        <v>174</v>
      </c>
      <c r="AB79" s="4">
        <v>1</v>
      </c>
      <c r="AC79" s="4">
        <v>2</v>
      </c>
      <c r="AD79" s="4">
        <v>4</v>
      </c>
      <c r="AE79" s="4">
        <v>5</v>
      </c>
      <c r="AF79" s="4">
        <v>2</v>
      </c>
      <c r="AG79" s="4">
        <v>2</v>
      </c>
      <c r="AH79" s="4">
        <v>1</v>
      </c>
      <c r="AI79" s="4">
        <v>1</v>
      </c>
      <c r="AJ79" s="4">
        <v>2</v>
      </c>
      <c r="AK79" s="4">
        <v>2</v>
      </c>
      <c r="AL79" s="4">
        <v>0</v>
      </c>
      <c r="AM79" s="4">
        <v>1</v>
      </c>
      <c r="AN79" s="4">
        <v>0</v>
      </c>
      <c r="AO79" s="4">
        <v>0</v>
      </c>
      <c r="AP79" s="3" t="s">
        <v>58</v>
      </c>
      <c r="AQ79" s="3" t="s">
        <v>103</v>
      </c>
      <c r="AR79" s="6" t="str">
        <f>HYPERLINK("http://catalog.hathitrust.org/Record/000221515","HathiTrust Record")</f>
        <v>HathiTrust Record</v>
      </c>
      <c r="AS79" s="6" t="str">
        <f>HYPERLINK("https://creighton-primo.hosted.exlibrisgroup.com/primo-explore/search?tab=default_tab&amp;search_scope=EVERYTHING&amp;vid=01CRU&amp;lang=en_US&amp;offset=0&amp;query=any,contains,991000745629702656","Catalog Record")</f>
        <v>Catalog Record</v>
      </c>
      <c r="AT79" s="6" t="str">
        <f>HYPERLINK("http://www.worldcat.org/oclc/6627288","WorldCat Record")</f>
        <v>WorldCat Record</v>
      </c>
    </row>
    <row r="80" spans="1:56" ht="30" customHeight="1" x14ac:dyDescent="0.25">
      <c r="A80" s="8" t="s">
        <v>58</v>
      </c>
      <c r="B80" s="2" t="s">
        <v>959</v>
      </c>
      <c r="C80" s="2" t="s">
        <v>960</v>
      </c>
      <c r="D80" s="2" t="s">
        <v>961</v>
      </c>
      <c r="F80" s="3" t="s">
        <v>58</v>
      </c>
      <c r="G80" s="3" t="s">
        <v>59</v>
      </c>
      <c r="H80" s="3" t="s">
        <v>58</v>
      </c>
      <c r="I80" s="3" t="s">
        <v>58</v>
      </c>
      <c r="J80" s="3" t="s">
        <v>60</v>
      </c>
      <c r="K80" s="2" t="s">
        <v>956</v>
      </c>
      <c r="L80" s="2" t="s">
        <v>962</v>
      </c>
      <c r="M80" s="3" t="s">
        <v>359</v>
      </c>
      <c r="N80" s="2" t="s">
        <v>934</v>
      </c>
      <c r="O80" s="3" t="s">
        <v>64</v>
      </c>
      <c r="P80" s="3" t="s">
        <v>911</v>
      </c>
      <c r="R80" s="3" t="s">
        <v>912</v>
      </c>
      <c r="S80" s="4">
        <v>25</v>
      </c>
      <c r="T80" s="4">
        <v>25</v>
      </c>
      <c r="U80" s="5" t="s">
        <v>963</v>
      </c>
      <c r="V80" s="5" t="s">
        <v>963</v>
      </c>
      <c r="W80" s="5" t="s">
        <v>964</v>
      </c>
      <c r="X80" s="5" t="s">
        <v>964</v>
      </c>
      <c r="Y80" s="4">
        <v>375</v>
      </c>
      <c r="Z80" s="4">
        <v>288</v>
      </c>
      <c r="AA80" s="4">
        <v>628</v>
      </c>
      <c r="AB80" s="4">
        <v>4</v>
      </c>
      <c r="AC80" s="4">
        <v>9</v>
      </c>
      <c r="AD80" s="4">
        <v>11</v>
      </c>
      <c r="AE80" s="4">
        <v>28</v>
      </c>
      <c r="AF80" s="4">
        <v>5</v>
      </c>
      <c r="AG80" s="4">
        <v>11</v>
      </c>
      <c r="AH80" s="4">
        <v>1</v>
      </c>
      <c r="AI80" s="4">
        <v>4</v>
      </c>
      <c r="AJ80" s="4">
        <v>4</v>
      </c>
      <c r="AK80" s="4">
        <v>8</v>
      </c>
      <c r="AL80" s="4">
        <v>2</v>
      </c>
      <c r="AM80" s="4">
        <v>7</v>
      </c>
      <c r="AN80" s="4">
        <v>1</v>
      </c>
      <c r="AO80" s="4">
        <v>2</v>
      </c>
      <c r="AP80" s="3" t="s">
        <v>58</v>
      </c>
      <c r="AQ80" s="3" t="s">
        <v>103</v>
      </c>
      <c r="AR80" s="6" t="str">
        <f>HYPERLINK("http://catalog.hathitrust.org/Record/000416596","HathiTrust Record")</f>
        <v>HathiTrust Record</v>
      </c>
      <c r="AS80" s="6" t="str">
        <f>HYPERLINK("https://creighton-primo.hosted.exlibrisgroup.com/primo-explore/search?tab=default_tab&amp;search_scope=EVERYTHING&amp;vid=01CRU&amp;lang=en_US&amp;offset=0&amp;query=any,contains,991000847219702656","Catalog Record")</f>
        <v>Catalog Record</v>
      </c>
      <c r="AT80" s="6" t="str">
        <f>HYPERLINK("http://www.worldcat.org/oclc/10161527","WorldCat Record")</f>
        <v>WorldCat Record</v>
      </c>
    </row>
    <row r="81" spans="1:46" ht="30" customHeight="1" x14ac:dyDescent="0.25">
      <c r="A81" s="8" t="s">
        <v>58</v>
      </c>
      <c r="B81" s="2" t="s">
        <v>965</v>
      </c>
      <c r="C81" s="2" t="s">
        <v>966</v>
      </c>
      <c r="D81" s="2" t="s">
        <v>967</v>
      </c>
      <c r="F81" s="3" t="s">
        <v>58</v>
      </c>
      <c r="G81" s="3" t="s">
        <v>59</v>
      </c>
      <c r="H81" s="3" t="s">
        <v>58</v>
      </c>
      <c r="I81" s="3" t="s">
        <v>58</v>
      </c>
      <c r="J81" s="3" t="s">
        <v>60</v>
      </c>
      <c r="K81" s="2" t="s">
        <v>968</v>
      </c>
      <c r="L81" s="2" t="s">
        <v>619</v>
      </c>
      <c r="M81" s="3" t="s">
        <v>298</v>
      </c>
      <c r="N81" s="2" t="s">
        <v>404</v>
      </c>
      <c r="O81" s="3" t="s">
        <v>64</v>
      </c>
      <c r="P81" s="3" t="s">
        <v>65</v>
      </c>
      <c r="R81" s="3" t="s">
        <v>912</v>
      </c>
      <c r="S81" s="4">
        <v>13</v>
      </c>
      <c r="T81" s="4">
        <v>13</v>
      </c>
      <c r="U81" s="5" t="s">
        <v>969</v>
      </c>
      <c r="V81" s="5" t="s">
        <v>969</v>
      </c>
      <c r="W81" s="5" t="s">
        <v>914</v>
      </c>
      <c r="X81" s="5" t="s">
        <v>914</v>
      </c>
      <c r="Y81" s="4">
        <v>228</v>
      </c>
      <c r="Z81" s="4">
        <v>171</v>
      </c>
      <c r="AA81" s="4">
        <v>357</v>
      </c>
      <c r="AB81" s="4">
        <v>2</v>
      </c>
      <c r="AC81" s="4">
        <v>3</v>
      </c>
      <c r="AD81" s="4">
        <v>3</v>
      </c>
      <c r="AE81" s="4">
        <v>8</v>
      </c>
      <c r="AF81" s="4">
        <v>0</v>
      </c>
      <c r="AG81" s="4">
        <v>3</v>
      </c>
      <c r="AH81" s="4">
        <v>1</v>
      </c>
      <c r="AI81" s="4">
        <v>2</v>
      </c>
      <c r="AJ81" s="4">
        <v>1</v>
      </c>
      <c r="AK81" s="4">
        <v>2</v>
      </c>
      <c r="AL81" s="4">
        <v>1</v>
      </c>
      <c r="AM81" s="4">
        <v>2</v>
      </c>
      <c r="AN81" s="4">
        <v>0</v>
      </c>
      <c r="AO81" s="4">
        <v>0</v>
      </c>
      <c r="AP81" s="3" t="s">
        <v>58</v>
      </c>
      <c r="AQ81" s="3" t="s">
        <v>103</v>
      </c>
      <c r="AR81" s="6" t="str">
        <f>HYPERLINK("http://catalog.hathitrust.org/Record/000301657","HathiTrust Record")</f>
        <v>HathiTrust Record</v>
      </c>
      <c r="AS81" s="6" t="str">
        <f>HYPERLINK("https://creighton-primo.hosted.exlibrisgroup.com/primo-explore/search?tab=default_tab&amp;search_scope=EVERYTHING&amp;vid=01CRU&amp;lang=en_US&amp;offset=0&amp;query=any,contains,991000745669702656","Catalog Record")</f>
        <v>Catalog Record</v>
      </c>
      <c r="AT81" s="6" t="str">
        <f>HYPERLINK("http://www.worldcat.org/oclc/4986421","WorldCat Record")</f>
        <v>WorldCat Record</v>
      </c>
    </row>
    <row r="82" spans="1:46" ht="30" customHeight="1" x14ac:dyDescent="0.25">
      <c r="A82" s="8" t="s">
        <v>58</v>
      </c>
      <c r="B82" s="2" t="s">
        <v>970</v>
      </c>
      <c r="C82" s="2" t="s">
        <v>971</v>
      </c>
      <c r="D82" s="2" t="s">
        <v>972</v>
      </c>
      <c r="F82" s="3" t="s">
        <v>58</v>
      </c>
      <c r="G82" s="3" t="s">
        <v>59</v>
      </c>
      <c r="H82" s="3" t="s">
        <v>58</v>
      </c>
      <c r="I82" s="3" t="s">
        <v>58</v>
      </c>
      <c r="J82" s="3" t="s">
        <v>60</v>
      </c>
      <c r="K82" s="2" t="s">
        <v>973</v>
      </c>
      <c r="L82" s="2" t="s">
        <v>974</v>
      </c>
      <c r="M82" s="3" t="s">
        <v>975</v>
      </c>
      <c r="O82" s="3" t="s">
        <v>64</v>
      </c>
      <c r="P82" s="3" t="s">
        <v>976</v>
      </c>
      <c r="R82" s="3" t="s">
        <v>912</v>
      </c>
      <c r="S82" s="4">
        <v>5</v>
      </c>
      <c r="T82" s="4">
        <v>5</v>
      </c>
      <c r="U82" s="5" t="s">
        <v>977</v>
      </c>
      <c r="V82" s="5" t="s">
        <v>977</v>
      </c>
      <c r="W82" s="5" t="s">
        <v>978</v>
      </c>
      <c r="X82" s="5" t="s">
        <v>978</v>
      </c>
      <c r="Y82" s="4">
        <v>177</v>
      </c>
      <c r="Z82" s="4">
        <v>145</v>
      </c>
      <c r="AA82" s="4">
        <v>147</v>
      </c>
      <c r="AB82" s="4">
        <v>2</v>
      </c>
      <c r="AC82" s="4">
        <v>2</v>
      </c>
      <c r="AD82" s="4">
        <v>2</v>
      </c>
      <c r="AE82" s="4">
        <v>2</v>
      </c>
      <c r="AF82" s="4">
        <v>0</v>
      </c>
      <c r="AG82" s="4">
        <v>0</v>
      </c>
      <c r="AH82" s="4">
        <v>0</v>
      </c>
      <c r="AI82" s="4">
        <v>0</v>
      </c>
      <c r="AJ82" s="4">
        <v>1</v>
      </c>
      <c r="AK82" s="4">
        <v>1</v>
      </c>
      <c r="AL82" s="4">
        <v>1</v>
      </c>
      <c r="AM82" s="4">
        <v>1</v>
      </c>
      <c r="AN82" s="4">
        <v>0</v>
      </c>
      <c r="AO82" s="4">
        <v>0</v>
      </c>
      <c r="AP82" s="3" t="s">
        <v>58</v>
      </c>
      <c r="AQ82" s="3" t="s">
        <v>103</v>
      </c>
      <c r="AR82" s="6" t="str">
        <f>HYPERLINK("http://catalog.hathitrust.org/Record/001553085","HathiTrust Record")</f>
        <v>HathiTrust Record</v>
      </c>
      <c r="AS82" s="6" t="str">
        <f>HYPERLINK("https://creighton-primo.hosted.exlibrisgroup.com/primo-explore/search?tab=default_tab&amp;search_scope=EVERYTHING&amp;vid=01CRU&amp;lang=en_US&amp;offset=0&amp;query=any,contains,991000845979702656","Catalog Record")</f>
        <v>Catalog Record</v>
      </c>
      <c r="AT82" s="6" t="str">
        <f>HYPERLINK("http://www.worldcat.org/oclc/132584","WorldCat Record")</f>
        <v>WorldCat Record</v>
      </c>
    </row>
    <row r="83" spans="1:46" ht="30" customHeight="1" x14ac:dyDescent="0.25">
      <c r="A83" s="8" t="s">
        <v>58</v>
      </c>
      <c r="B83" s="2" t="s">
        <v>979</v>
      </c>
      <c r="C83" s="2" t="s">
        <v>980</v>
      </c>
      <c r="D83" s="2" t="s">
        <v>981</v>
      </c>
      <c r="F83" s="3" t="s">
        <v>58</v>
      </c>
      <c r="G83" s="3" t="s">
        <v>59</v>
      </c>
      <c r="H83" s="3" t="s">
        <v>58</v>
      </c>
      <c r="I83" s="3" t="s">
        <v>58</v>
      </c>
      <c r="J83" s="3" t="s">
        <v>60</v>
      </c>
      <c r="K83" s="2" t="s">
        <v>982</v>
      </c>
      <c r="L83" s="2" t="s">
        <v>983</v>
      </c>
      <c r="M83" s="3" t="s">
        <v>706</v>
      </c>
      <c r="N83" s="2" t="s">
        <v>984</v>
      </c>
      <c r="O83" s="3" t="s">
        <v>64</v>
      </c>
      <c r="P83" s="3" t="s">
        <v>84</v>
      </c>
      <c r="R83" s="3" t="s">
        <v>912</v>
      </c>
      <c r="S83" s="4">
        <v>12</v>
      </c>
      <c r="T83" s="4">
        <v>12</v>
      </c>
      <c r="U83" s="5" t="s">
        <v>985</v>
      </c>
      <c r="V83" s="5" t="s">
        <v>985</v>
      </c>
      <c r="W83" s="5" t="s">
        <v>986</v>
      </c>
      <c r="X83" s="5" t="s">
        <v>986</v>
      </c>
      <c r="Y83" s="4">
        <v>74</v>
      </c>
      <c r="Z83" s="4">
        <v>38</v>
      </c>
      <c r="AA83" s="4">
        <v>904</v>
      </c>
      <c r="AB83" s="4">
        <v>1</v>
      </c>
      <c r="AC83" s="4">
        <v>31</v>
      </c>
      <c r="AD83" s="4">
        <v>0</v>
      </c>
      <c r="AE83" s="4">
        <v>33</v>
      </c>
      <c r="AF83" s="4">
        <v>0</v>
      </c>
      <c r="AG83" s="4">
        <v>10</v>
      </c>
      <c r="AH83" s="4">
        <v>0</v>
      </c>
      <c r="AI83" s="4">
        <v>7</v>
      </c>
      <c r="AJ83" s="4">
        <v>0</v>
      </c>
      <c r="AK83" s="4">
        <v>9</v>
      </c>
      <c r="AL83" s="4">
        <v>0</v>
      </c>
      <c r="AM83" s="4">
        <v>12</v>
      </c>
      <c r="AN83" s="4">
        <v>0</v>
      </c>
      <c r="AO83" s="4">
        <v>1</v>
      </c>
      <c r="AP83" s="3" t="s">
        <v>58</v>
      </c>
      <c r="AQ83" s="3" t="s">
        <v>58</v>
      </c>
      <c r="AS83" s="6" t="str">
        <f>HYPERLINK("https://creighton-primo.hosted.exlibrisgroup.com/primo-explore/search?tab=default_tab&amp;search_scope=EVERYTHING&amp;vid=01CRU&amp;lang=en_US&amp;offset=0&amp;query=any,contains,991001317059702656","Catalog Record")</f>
        <v>Catalog Record</v>
      </c>
      <c r="AT83" s="6" t="str">
        <f>HYPERLINK("http://www.worldcat.org/oclc/17440608","WorldCat Record")</f>
        <v>WorldCat Record</v>
      </c>
    </row>
    <row r="84" spans="1:46" ht="30" customHeight="1" x14ac:dyDescent="0.25">
      <c r="A84" s="8" t="s">
        <v>58</v>
      </c>
      <c r="B84" s="2" t="s">
        <v>987</v>
      </c>
      <c r="C84" s="2" t="s">
        <v>988</v>
      </c>
      <c r="D84" s="2" t="s">
        <v>989</v>
      </c>
      <c r="F84" s="3" t="s">
        <v>58</v>
      </c>
      <c r="G84" s="3" t="s">
        <v>59</v>
      </c>
      <c r="H84" s="3" t="s">
        <v>58</v>
      </c>
      <c r="I84" s="3" t="s">
        <v>58</v>
      </c>
      <c r="J84" s="3" t="s">
        <v>60</v>
      </c>
      <c r="K84" s="2" t="s">
        <v>982</v>
      </c>
      <c r="L84" s="2" t="s">
        <v>990</v>
      </c>
      <c r="M84" s="3" t="s">
        <v>867</v>
      </c>
      <c r="N84" s="2" t="s">
        <v>882</v>
      </c>
      <c r="O84" s="3" t="s">
        <v>64</v>
      </c>
      <c r="P84" s="3" t="s">
        <v>84</v>
      </c>
      <c r="R84" s="3" t="s">
        <v>912</v>
      </c>
      <c r="S84" s="4">
        <v>9</v>
      </c>
      <c r="T84" s="4">
        <v>9</v>
      </c>
      <c r="U84" s="5" t="s">
        <v>991</v>
      </c>
      <c r="V84" s="5" t="s">
        <v>991</v>
      </c>
      <c r="W84" s="5" t="s">
        <v>992</v>
      </c>
      <c r="X84" s="5" t="s">
        <v>992</v>
      </c>
      <c r="Y84" s="4">
        <v>121</v>
      </c>
      <c r="Z84" s="4">
        <v>85</v>
      </c>
      <c r="AA84" s="4">
        <v>302</v>
      </c>
      <c r="AB84" s="4">
        <v>2</v>
      </c>
      <c r="AC84" s="4">
        <v>3</v>
      </c>
      <c r="AD84" s="4">
        <v>1</v>
      </c>
      <c r="AE84" s="4">
        <v>7</v>
      </c>
      <c r="AF84" s="4">
        <v>0</v>
      </c>
      <c r="AG84" s="4">
        <v>3</v>
      </c>
      <c r="AH84" s="4">
        <v>0</v>
      </c>
      <c r="AI84" s="4">
        <v>0</v>
      </c>
      <c r="AJ84" s="4">
        <v>0</v>
      </c>
      <c r="AK84" s="4">
        <v>4</v>
      </c>
      <c r="AL84" s="4">
        <v>1</v>
      </c>
      <c r="AM84" s="4">
        <v>2</v>
      </c>
      <c r="AN84" s="4">
        <v>0</v>
      </c>
      <c r="AO84" s="4">
        <v>0</v>
      </c>
      <c r="AP84" s="3" t="s">
        <v>58</v>
      </c>
      <c r="AQ84" s="3" t="s">
        <v>103</v>
      </c>
      <c r="AR84" s="6" t="str">
        <f>HYPERLINK("http://catalog.hathitrust.org/Record/000749294","HathiTrust Record")</f>
        <v>HathiTrust Record</v>
      </c>
      <c r="AS84" s="6" t="str">
        <f>HYPERLINK("https://creighton-primo.hosted.exlibrisgroup.com/primo-explore/search?tab=default_tab&amp;search_scope=EVERYTHING&amp;vid=01CRU&amp;lang=en_US&amp;offset=0&amp;query=any,contains,991000772179702656","Catalog Record")</f>
        <v>Catalog Record</v>
      </c>
      <c r="AT84" s="6" t="str">
        <f>HYPERLINK("http://www.worldcat.org/oclc/3331979","WorldCat Record")</f>
        <v>WorldCat Record</v>
      </c>
    </row>
    <row r="85" spans="1:46" ht="30" customHeight="1" x14ac:dyDescent="0.25">
      <c r="A85" s="8" t="s">
        <v>58</v>
      </c>
      <c r="B85" s="2" t="s">
        <v>993</v>
      </c>
      <c r="C85" s="2" t="s">
        <v>994</v>
      </c>
      <c r="D85" s="2" t="s">
        <v>995</v>
      </c>
      <c r="F85" s="3" t="s">
        <v>58</v>
      </c>
      <c r="G85" s="3" t="s">
        <v>59</v>
      </c>
      <c r="H85" s="3" t="s">
        <v>58</v>
      </c>
      <c r="I85" s="3" t="s">
        <v>58</v>
      </c>
      <c r="J85" s="3" t="s">
        <v>60</v>
      </c>
      <c r="K85" s="2" t="s">
        <v>996</v>
      </c>
      <c r="L85" s="2" t="s">
        <v>997</v>
      </c>
      <c r="M85" s="3" t="s">
        <v>766</v>
      </c>
      <c r="N85" s="2" t="s">
        <v>331</v>
      </c>
      <c r="O85" s="3" t="s">
        <v>64</v>
      </c>
      <c r="P85" s="3" t="s">
        <v>911</v>
      </c>
      <c r="Q85" s="2" t="s">
        <v>998</v>
      </c>
      <c r="R85" s="3" t="s">
        <v>912</v>
      </c>
      <c r="S85" s="4">
        <v>4</v>
      </c>
      <c r="T85" s="4">
        <v>4</v>
      </c>
      <c r="U85" s="5" t="s">
        <v>999</v>
      </c>
      <c r="V85" s="5" t="s">
        <v>999</v>
      </c>
      <c r="W85" s="5" t="s">
        <v>1000</v>
      </c>
      <c r="X85" s="5" t="s">
        <v>1000</v>
      </c>
      <c r="Y85" s="4">
        <v>71</v>
      </c>
      <c r="Z85" s="4">
        <v>52</v>
      </c>
      <c r="AA85" s="4">
        <v>106</v>
      </c>
      <c r="AB85" s="4">
        <v>1</v>
      </c>
      <c r="AC85" s="4">
        <v>1</v>
      </c>
      <c r="AD85" s="4">
        <v>1</v>
      </c>
      <c r="AE85" s="4">
        <v>1</v>
      </c>
      <c r="AF85" s="4">
        <v>0</v>
      </c>
      <c r="AG85" s="4">
        <v>0</v>
      </c>
      <c r="AH85" s="4">
        <v>1</v>
      </c>
      <c r="AI85" s="4">
        <v>1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3" t="s">
        <v>58</v>
      </c>
      <c r="AQ85" s="3" t="s">
        <v>58</v>
      </c>
      <c r="AS85" s="6" t="str">
        <f>HYPERLINK("https://creighton-primo.hosted.exlibrisgroup.com/primo-explore/search?tab=default_tab&amp;search_scope=EVERYTHING&amp;vid=01CRU&amp;lang=en_US&amp;offset=0&amp;query=any,contains,991001302809702656","Catalog Record")</f>
        <v>Catalog Record</v>
      </c>
      <c r="AT85" s="6" t="str">
        <f>HYPERLINK("http://www.worldcat.org/oclc/25201320","WorldCat Record")</f>
        <v>WorldCat Record</v>
      </c>
    </row>
    <row r="86" spans="1:46" ht="30" customHeight="1" x14ac:dyDescent="0.25">
      <c r="A86" s="8" t="s">
        <v>58</v>
      </c>
      <c r="B86" s="2" t="s">
        <v>1001</v>
      </c>
      <c r="C86" s="2" t="s">
        <v>1002</v>
      </c>
      <c r="D86" s="2" t="s">
        <v>1003</v>
      </c>
      <c r="F86" s="3" t="s">
        <v>58</v>
      </c>
      <c r="G86" s="3" t="s">
        <v>59</v>
      </c>
      <c r="H86" s="3" t="s">
        <v>58</v>
      </c>
      <c r="I86" s="3" t="s">
        <v>58</v>
      </c>
      <c r="J86" s="3" t="s">
        <v>60</v>
      </c>
      <c r="K86" s="2" t="s">
        <v>1004</v>
      </c>
      <c r="L86" s="2" t="s">
        <v>1005</v>
      </c>
      <c r="M86" s="3" t="s">
        <v>546</v>
      </c>
      <c r="N86" s="2" t="s">
        <v>934</v>
      </c>
      <c r="O86" s="3" t="s">
        <v>64</v>
      </c>
      <c r="P86" s="3" t="s">
        <v>65</v>
      </c>
      <c r="R86" s="3" t="s">
        <v>912</v>
      </c>
      <c r="S86" s="4">
        <v>6</v>
      </c>
      <c r="T86" s="4">
        <v>6</v>
      </c>
      <c r="U86" s="5" t="s">
        <v>1006</v>
      </c>
      <c r="V86" s="5" t="s">
        <v>1006</v>
      </c>
      <c r="W86" s="5" t="s">
        <v>1006</v>
      </c>
      <c r="X86" s="5" t="s">
        <v>1006</v>
      </c>
      <c r="Y86" s="4">
        <v>263</v>
      </c>
      <c r="Z86" s="4">
        <v>195</v>
      </c>
      <c r="AA86" s="4">
        <v>342</v>
      </c>
      <c r="AB86" s="4">
        <v>2</v>
      </c>
      <c r="AC86" s="4">
        <v>4</v>
      </c>
      <c r="AD86" s="4">
        <v>8</v>
      </c>
      <c r="AE86" s="4">
        <v>14</v>
      </c>
      <c r="AF86" s="4">
        <v>1</v>
      </c>
      <c r="AG86" s="4">
        <v>4</v>
      </c>
      <c r="AH86" s="4">
        <v>1</v>
      </c>
      <c r="AI86" s="4">
        <v>1</v>
      </c>
      <c r="AJ86" s="4">
        <v>5</v>
      </c>
      <c r="AK86" s="4">
        <v>6</v>
      </c>
      <c r="AL86" s="4">
        <v>1</v>
      </c>
      <c r="AM86" s="4">
        <v>3</v>
      </c>
      <c r="AN86" s="4">
        <v>0</v>
      </c>
      <c r="AO86" s="4">
        <v>0</v>
      </c>
      <c r="AP86" s="3" t="s">
        <v>58</v>
      </c>
      <c r="AQ86" s="3" t="s">
        <v>58</v>
      </c>
      <c r="AS86" s="6" t="str">
        <f>HYPERLINK("https://creighton-primo.hosted.exlibrisgroup.com/primo-explore/search?tab=default_tab&amp;search_scope=EVERYTHING&amp;vid=01CRU&amp;lang=en_US&amp;offset=0&amp;query=any,contains,991000845939702656","Catalog Record")</f>
        <v>Catalog Record</v>
      </c>
      <c r="AT86" s="6" t="str">
        <f>HYPERLINK("http://www.worldcat.org/oclc/1217399","WorldCat Record")</f>
        <v>WorldCat Record</v>
      </c>
    </row>
    <row r="87" spans="1:46" ht="30" customHeight="1" x14ac:dyDescent="0.25">
      <c r="A87" s="8" t="s">
        <v>58</v>
      </c>
      <c r="B87" s="2" t="s">
        <v>1007</v>
      </c>
      <c r="C87" s="2" t="s">
        <v>1008</v>
      </c>
      <c r="D87" s="2" t="s">
        <v>1009</v>
      </c>
      <c r="F87" s="3" t="s">
        <v>58</v>
      </c>
      <c r="G87" s="3" t="s">
        <v>59</v>
      </c>
      <c r="H87" s="3" t="s">
        <v>58</v>
      </c>
      <c r="I87" s="3" t="s">
        <v>58</v>
      </c>
      <c r="J87" s="3" t="s">
        <v>60</v>
      </c>
      <c r="K87" s="2" t="s">
        <v>1004</v>
      </c>
      <c r="L87" s="2" t="s">
        <v>1010</v>
      </c>
      <c r="M87" s="3" t="s">
        <v>313</v>
      </c>
      <c r="N87" s="2" t="s">
        <v>1011</v>
      </c>
      <c r="O87" s="3" t="s">
        <v>64</v>
      </c>
      <c r="P87" s="3" t="s">
        <v>65</v>
      </c>
      <c r="R87" s="3" t="s">
        <v>912</v>
      </c>
      <c r="S87" s="4">
        <v>2</v>
      </c>
      <c r="T87" s="4">
        <v>2</v>
      </c>
      <c r="U87" s="5" t="s">
        <v>1012</v>
      </c>
      <c r="V87" s="5" t="s">
        <v>1012</v>
      </c>
      <c r="W87" s="5" t="s">
        <v>914</v>
      </c>
      <c r="X87" s="5" t="s">
        <v>914</v>
      </c>
      <c r="Y87" s="4">
        <v>147</v>
      </c>
      <c r="Z87" s="4">
        <v>110</v>
      </c>
      <c r="AA87" s="4">
        <v>110</v>
      </c>
      <c r="AB87" s="4">
        <v>1</v>
      </c>
      <c r="AC87" s="4">
        <v>1</v>
      </c>
      <c r="AD87" s="4">
        <v>2</v>
      </c>
      <c r="AE87" s="4">
        <v>2</v>
      </c>
      <c r="AF87" s="4">
        <v>1</v>
      </c>
      <c r="AG87" s="4">
        <v>1</v>
      </c>
      <c r="AH87" s="4">
        <v>1</v>
      </c>
      <c r="AI87" s="4">
        <v>1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3" t="s">
        <v>58</v>
      </c>
      <c r="AQ87" s="3" t="s">
        <v>58</v>
      </c>
      <c r="AS87" s="6" t="str">
        <f>HYPERLINK("https://creighton-primo.hosted.exlibrisgroup.com/primo-explore/search?tab=default_tab&amp;search_scope=EVERYTHING&amp;vid=01CRU&amp;lang=en_US&amp;offset=0&amp;query=any,contains,991000745709702656","Catalog Record")</f>
        <v>Catalog Record</v>
      </c>
      <c r="AT87" s="6" t="str">
        <f>HYPERLINK("http://www.worldcat.org/oclc/12107342","WorldCat Record")</f>
        <v>WorldCat Record</v>
      </c>
    </row>
    <row r="88" spans="1:46" ht="30" customHeight="1" x14ac:dyDescent="0.25">
      <c r="A88" s="8" t="s">
        <v>58</v>
      </c>
      <c r="B88" s="2" t="s">
        <v>1013</v>
      </c>
      <c r="C88" s="2" t="s">
        <v>1014</v>
      </c>
      <c r="D88" s="2" t="s">
        <v>1015</v>
      </c>
      <c r="F88" s="3" t="s">
        <v>58</v>
      </c>
      <c r="G88" s="3" t="s">
        <v>59</v>
      </c>
      <c r="H88" s="3" t="s">
        <v>58</v>
      </c>
      <c r="I88" s="3" t="s">
        <v>58</v>
      </c>
      <c r="J88" s="3" t="s">
        <v>60</v>
      </c>
      <c r="K88" s="2" t="s">
        <v>1016</v>
      </c>
      <c r="L88" s="2" t="s">
        <v>1017</v>
      </c>
      <c r="M88" s="3" t="s">
        <v>881</v>
      </c>
      <c r="N88" s="2" t="s">
        <v>1018</v>
      </c>
      <c r="O88" s="3" t="s">
        <v>64</v>
      </c>
      <c r="P88" s="3" t="s">
        <v>911</v>
      </c>
      <c r="R88" s="3" t="s">
        <v>912</v>
      </c>
      <c r="S88" s="4">
        <v>62</v>
      </c>
      <c r="T88" s="4">
        <v>62</v>
      </c>
      <c r="U88" s="5" t="s">
        <v>1019</v>
      </c>
      <c r="V88" s="5" t="s">
        <v>1019</v>
      </c>
      <c r="W88" s="5" t="s">
        <v>1020</v>
      </c>
      <c r="X88" s="5" t="s">
        <v>1020</v>
      </c>
      <c r="Y88" s="4">
        <v>316</v>
      </c>
      <c r="Z88" s="4">
        <v>204</v>
      </c>
      <c r="AA88" s="4">
        <v>206</v>
      </c>
      <c r="AB88" s="4">
        <v>2</v>
      </c>
      <c r="AC88" s="4">
        <v>2</v>
      </c>
      <c r="AD88" s="4">
        <v>6</v>
      </c>
      <c r="AE88" s="4">
        <v>6</v>
      </c>
      <c r="AF88" s="4">
        <v>1</v>
      </c>
      <c r="AG88" s="4">
        <v>1</v>
      </c>
      <c r="AH88" s="4">
        <v>1</v>
      </c>
      <c r="AI88" s="4">
        <v>1</v>
      </c>
      <c r="AJ88" s="4">
        <v>3</v>
      </c>
      <c r="AK88" s="4">
        <v>3</v>
      </c>
      <c r="AL88" s="4">
        <v>1</v>
      </c>
      <c r="AM88" s="4">
        <v>1</v>
      </c>
      <c r="AN88" s="4">
        <v>0</v>
      </c>
      <c r="AO88" s="4">
        <v>0</v>
      </c>
      <c r="AP88" s="3" t="s">
        <v>58</v>
      </c>
      <c r="AQ88" s="3" t="s">
        <v>103</v>
      </c>
      <c r="AR88" s="6" t="str">
        <f>HYPERLINK("http://catalog.hathitrust.org/Record/007471144","HathiTrust Record")</f>
        <v>HathiTrust Record</v>
      </c>
      <c r="AS88" s="6" t="str">
        <f>HYPERLINK("https://creighton-primo.hosted.exlibrisgroup.com/primo-explore/search?tab=default_tab&amp;search_scope=EVERYTHING&amp;vid=01CRU&amp;lang=en_US&amp;offset=0&amp;query=any,contains,991001313079702656","Catalog Record")</f>
        <v>Catalog Record</v>
      </c>
      <c r="AT88" s="6" t="str">
        <f>HYPERLINK("http://www.worldcat.org/oclc/17917699","WorldCat Record")</f>
        <v>WorldCat Record</v>
      </c>
    </row>
    <row r="89" spans="1:46" ht="30" customHeight="1" x14ac:dyDescent="0.25">
      <c r="A89" s="8" t="s">
        <v>58</v>
      </c>
      <c r="B89" s="2" t="s">
        <v>1021</v>
      </c>
      <c r="C89" s="2" t="s">
        <v>1022</v>
      </c>
      <c r="D89" s="2" t="s">
        <v>1023</v>
      </c>
      <c r="F89" s="3" t="s">
        <v>58</v>
      </c>
      <c r="G89" s="3" t="s">
        <v>59</v>
      </c>
      <c r="H89" s="3" t="s">
        <v>58</v>
      </c>
      <c r="I89" s="3" t="s">
        <v>103</v>
      </c>
      <c r="J89" s="3" t="s">
        <v>60</v>
      </c>
      <c r="K89" s="2" t="s">
        <v>217</v>
      </c>
      <c r="L89" s="2" t="s">
        <v>962</v>
      </c>
      <c r="M89" s="3" t="s">
        <v>359</v>
      </c>
      <c r="N89" s="2" t="s">
        <v>1024</v>
      </c>
      <c r="O89" s="3" t="s">
        <v>64</v>
      </c>
      <c r="P89" s="3" t="s">
        <v>911</v>
      </c>
      <c r="R89" s="3" t="s">
        <v>912</v>
      </c>
      <c r="S89" s="4">
        <v>91</v>
      </c>
      <c r="T89" s="4">
        <v>91</v>
      </c>
      <c r="U89" s="5" t="s">
        <v>1025</v>
      </c>
      <c r="V89" s="5" t="s">
        <v>1025</v>
      </c>
      <c r="W89" s="5" t="s">
        <v>914</v>
      </c>
      <c r="X89" s="5" t="s">
        <v>914</v>
      </c>
      <c r="Y89" s="4">
        <v>1232</v>
      </c>
      <c r="Z89" s="4">
        <v>1136</v>
      </c>
      <c r="AA89" s="4">
        <v>2610</v>
      </c>
      <c r="AB89" s="4">
        <v>14</v>
      </c>
      <c r="AC89" s="4">
        <v>23</v>
      </c>
      <c r="AD89" s="4">
        <v>24</v>
      </c>
      <c r="AE89" s="4">
        <v>59</v>
      </c>
      <c r="AF89" s="4">
        <v>7</v>
      </c>
      <c r="AG89" s="4">
        <v>21</v>
      </c>
      <c r="AH89" s="4">
        <v>5</v>
      </c>
      <c r="AI89" s="4">
        <v>6</v>
      </c>
      <c r="AJ89" s="4">
        <v>7</v>
      </c>
      <c r="AK89" s="4">
        <v>22</v>
      </c>
      <c r="AL89" s="4">
        <v>8</v>
      </c>
      <c r="AM89" s="4">
        <v>12</v>
      </c>
      <c r="AN89" s="4">
        <v>1</v>
      </c>
      <c r="AO89" s="4">
        <v>8</v>
      </c>
      <c r="AP89" s="3" t="s">
        <v>58</v>
      </c>
      <c r="AQ89" s="3" t="s">
        <v>58</v>
      </c>
      <c r="AS89" s="6" t="str">
        <f>HYPERLINK("https://creighton-primo.hosted.exlibrisgroup.com/primo-explore/search?tab=default_tab&amp;search_scope=EVERYTHING&amp;vid=01CRU&amp;lang=en_US&amp;offset=0&amp;query=any,contains,991000745759702656","Catalog Record")</f>
        <v>Catalog Record</v>
      </c>
      <c r="AT89" s="6" t="str">
        <f>HYPERLINK("http://www.worldcat.org/oclc/10605922","WorldCat Record")</f>
        <v>WorldCat Record</v>
      </c>
    </row>
    <row r="90" spans="1:46" ht="30" customHeight="1" x14ac:dyDescent="0.25">
      <c r="A90" s="8" t="s">
        <v>58</v>
      </c>
      <c r="B90" s="2" t="s">
        <v>1026</v>
      </c>
      <c r="C90" s="2" t="s">
        <v>1027</v>
      </c>
      <c r="D90" s="2" t="s">
        <v>1028</v>
      </c>
      <c r="F90" s="3" t="s">
        <v>58</v>
      </c>
      <c r="G90" s="3" t="s">
        <v>59</v>
      </c>
      <c r="H90" s="3" t="s">
        <v>58</v>
      </c>
      <c r="I90" s="3" t="s">
        <v>103</v>
      </c>
      <c r="J90" s="3" t="s">
        <v>60</v>
      </c>
      <c r="K90" s="2" t="s">
        <v>1029</v>
      </c>
      <c r="L90" s="2" t="s">
        <v>1030</v>
      </c>
      <c r="M90" s="3" t="s">
        <v>1031</v>
      </c>
      <c r="N90" s="2" t="s">
        <v>331</v>
      </c>
      <c r="O90" s="3" t="s">
        <v>64</v>
      </c>
      <c r="P90" s="3" t="s">
        <v>911</v>
      </c>
      <c r="R90" s="3" t="s">
        <v>912</v>
      </c>
      <c r="S90" s="4">
        <v>25</v>
      </c>
      <c r="T90" s="4">
        <v>25</v>
      </c>
      <c r="U90" s="5" t="s">
        <v>1032</v>
      </c>
      <c r="V90" s="5" t="s">
        <v>1032</v>
      </c>
      <c r="W90" s="5" t="s">
        <v>1033</v>
      </c>
      <c r="X90" s="5" t="s">
        <v>1033</v>
      </c>
      <c r="Y90" s="4">
        <v>187</v>
      </c>
      <c r="Z90" s="4">
        <v>127</v>
      </c>
      <c r="AA90" s="4">
        <v>259</v>
      </c>
      <c r="AB90" s="4">
        <v>1</v>
      </c>
      <c r="AC90" s="4">
        <v>2</v>
      </c>
      <c r="AD90" s="4">
        <v>4</v>
      </c>
      <c r="AE90" s="4">
        <v>8</v>
      </c>
      <c r="AF90" s="4">
        <v>2</v>
      </c>
      <c r="AG90" s="4">
        <v>3</v>
      </c>
      <c r="AH90" s="4">
        <v>1</v>
      </c>
      <c r="AI90" s="4">
        <v>3</v>
      </c>
      <c r="AJ90" s="4">
        <v>3</v>
      </c>
      <c r="AK90" s="4">
        <v>3</v>
      </c>
      <c r="AL90" s="4">
        <v>0</v>
      </c>
      <c r="AM90" s="4">
        <v>1</v>
      </c>
      <c r="AN90" s="4">
        <v>0</v>
      </c>
      <c r="AO90" s="4">
        <v>0</v>
      </c>
      <c r="AP90" s="3" t="s">
        <v>58</v>
      </c>
      <c r="AQ90" s="3" t="s">
        <v>103</v>
      </c>
      <c r="AR90" s="6" t="str">
        <f>HYPERLINK("http://catalog.hathitrust.org/Record/001948497","HathiTrust Record")</f>
        <v>HathiTrust Record</v>
      </c>
      <c r="AS90" s="6" t="str">
        <f>HYPERLINK("https://creighton-primo.hosted.exlibrisgroup.com/primo-explore/search?tab=default_tab&amp;search_scope=EVERYTHING&amp;vid=01CRU&amp;lang=en_US&amp;offset=0&amp;query=any,contains,991001448379702656","Catalog Record")</f>
        <v>Catalog Record</v>
      </c>
      <c r="AT90" s="6" t="str">
        <f>HYPERLINK("http://www.worldcat.org/oclc/20722177","WorldCat Record")</f>
        <v>WorldCat Record</v>
      </c>
    </row>
    <row r="91" spans="1:46" ht="30" customHeight="1" x14ac:dyDescent="0.25">
      <c r="A91" s="8" t="s">
        <v>58</v>
      </c>
      <c r="B91" s="2" t="s">
        <v>1034</v>
      </c>
      <c r="C91" s="2" t="s">
        <v>1035</v>
      </c>
      <c r="D91" s="2" t="s">
        <v>1036</v>
      </c>
      <c r="F91" s="3" t="s">
        <v>58</v>
      </c>
      <c r="G91" s="3" t="s">
        <v>59</v>
      </c>
      <c r="H91" s="3" t="s">
        <v>58</v>
      </c>
      <c r="I91" s="3" t="s">
        <v>103</v>
      </c>
      <c r="J91" s="3" t="s">
        <v>60</v>
      </c>
      <c r="K91" s="2" t="s">
        <v>1029</v>
      </c>
      <c r="L91" s="2" t="s">
        <v>1037</v>
      </c>
      <c r="M91" s="3" t="s">
        <v>721</v>
      </c>
      <c r="N91" s="2" t="s">
        <v>1038</v>
      </c>
      <c r="O91" s="3" t="s">
        <v>64</v>
      </c>
      <c r="P91" s="3" t="s">
        <v>84</v>
      </c>
      <c r="R91" s="3" t="s">
        <v>912</v>
      </c>
      <c r="S91" s="4">
        <v>78</v>
      </c>
      <c r="T91" s="4">
        <v>78</v>
      </c>
      <c r="U91" s="5" t="s">
        <v>958</v>
      </c>
      <c r="V91" s="5" t="s">
        <v>958</v>
      </c>
      <c r="W91" s="5" t="s">
        <v>1039</v>
      </c>
      <c r="X91" s="5" t="s">
        <v>1039</v>
      </c>
      <c r="Y91" s="4">
        <v>207</v>
      </c>
      <c r="Z91" s="4">
        <v>147</v>
      </c>
      <c r="AA91" s="4">
        <v>259</v>
      </c>
      <c r="AB91" s="4">
        <v>2</v>
      </c>
      <c r="AC91" s="4">
        <v>2</v>
      </c>
      <c r="AD91" s="4">
        <v>4</v>
      </c>
      <c r="AE91" s="4">
        <v>8</v>
      </c>
      <c r="AF91" s="4">
        <v>0</v>
      </c>
      <c r="AG91" s="4">
        <v>3</v>
      </c>
      <c r="AH91" s="4">
        <v>2</v>
      </c>
      <c r="AI91" s="4">
        <v>3</v>
      </c>
      <c r="AJ91" s="4">
        <v>1</v>
      </c>
      <c r="AK91" s="4">
        <v>3</v>
      </c>
      <c r="AL91" s="4">
        <v>1</v>
      </c>
      <c r="AM91" s="4">
        <v>1</v>
      </c>
      <c r="AN91" s="4">
        <v>0</v>
      </c>
      <c r="AO91" s="4">
        <v>0</v>
      </c>
      <c r="AP91" s="3" t="s">
        <v>58</v>
      </c>
      <c r="AQ91" s="3" t="s">
        <v>58</v>
      </c>
      <c r="AS91" s="6" t="str">
        <f>HYPERLINK("https://creighton-primo.hosted.exlibrisgroup.com/primo-explore/search?tab=default_tab&amp;search_scope=EVERYTHING&amp;vid=01CRU&amp;lang=en_US&amp;offset=0&amp;query=any,contains,991001270759702656","Catalog Record")</f>
        <v>Catalog Record</v>
      </c>
      <c r="AT91" s="6" t="str">
        <f>HYPERLINK("http://www.worldcat.org/oclc/34675634","WorldCat Record")</f>
        <v>WorldCat Record</v>
      </c>
    </row>
    <row r="92" spans="1:46" ht="30" customHeight="1" x14ac:dyDescent="0.25">
      <c r="A92" s="8" t="s">
        <v>58</v>
      </c>
      <c r="B92" s="2" t="s">
        <v>1040</v>
      </c>
      <c r="C92" s="2" t="s">
        <v>1041</v>
      </c>
      <c r="D92" s="2" t="s">
        <v>1042</v>
      </c>
      <c r="F92" s="3" t="s">
        <v>58</v>
      </c>
      <c r="G92" s="3" t="s">
        <v>59</v>
      </c>
      <c r="H92" s="3" t="s">
        <v>58</v>
      </c>
      <c r="I92" s="3" t="s">
        <v>58</v>
      </c>
      <c r="J92" s="3" t="s">
        <v>60</v>
      </c>
      <c r="K92" s="2" t="s">
        <v>1043</v>
      </c>
      <c r="L92" s="2" t="s">
        <v>1044</v>
      </c>
      <c r="M92" s="3" t="s">
        <v>975</v>
      </c>
      <c r="N92" s="2" t="s">
        <v>1045</v>
      </c>
      <c r="O92" s="3" t="s">
        <v>64</v>
      </c>
      <c r="P92" s="3" t="s">
        <v>84</v>
      </c>
      <c r="R92" s="3" t="s">
        <v>912</v>
      </c>
      <c r="S92" s="4">
        <v>9</v>
      </c>
      <c r="T92" s="4">
        <v>9</v>
      </c>
      <c r="U92" s="5" t="s">
        <v>1046</v>
      </c>
      <c r="V92" s="5" t="s">
        <v>1046</v>
      </c>
      <c r="W92" s="5" t="s">
        <v>978</v>
      </c>
      <c r="X92" s="5" t="s">
        <v>978</v>
      </c>
      <c r="Y92" s="4">
        <v>136</v>
      </c>
      <c r="Z92" s="4">
        <v>97</v>
      </c>
      <c r="AA92" s="4">
        <v>162</v>
      </c>
      <c r="AB92" s="4">
        <v>1</v>
      </c>
      <c r="AC92" s="4">
        <v>2</v>
      </c>
      <c r="AD92" s="4">
        <v>2</v>
      </c>
      <c r="AE92" s="4">
        <v>5</v>
      </c>
      <c r="AF92" s="4">
        <v>2</v>
      </c>
      <c r="AG92" s="4">
        <v>2</v>
      </c>
      <c r="AH92" s="4">
        <v>0</v>
      </c>
      <c r="AI92" s="4">
        <v>0</v>
      </c>
      <c r="AJ92" s="4">
        <v>0</v>
      </c>
      <c r="AK92" s="4">
        <v>2</v>
      </c>
      <c r="AL92" s="4">
        <v>0</v>
      </c>
      <c r="AM92" s="4">
        <v>1</v>
      </c>
      <c r="AN92" s="4">
        <v>0</v>
      </c>
      <c r="AO92" s="4">
        <v>0</v>
      </c>
      <c r="AP92" s="3" t="s">
        <v>58</v>
      </c>
      <c r="AQ92" s="3" t="s">
        <v>103</v>
      </c>
      <c r="AR92" s="6" t="str">
        <f>HYPERLINK("http://catalog.hathitrust.org/Record/001552881","HathiTrust Record")</f>
        <v>HathiTrust Record</v>
      </c>
      <c r="AS92" s="6" t="str">
        <f>HYPERLINK("https://creighton-primo.hosted.exlibrisgroup.com/primo-explore/search?tab=default_tab&amp;search_scope=EVERYTHING&amp;vid=01CRU&amp;lang=en_US&amp;offset=0&amp;query=any,contains,991000846039702656","Catalog Record")</f>
        <v>Catalog Record</v>
      </c>
      <c r="AT92" s="6" t="str">
        <f>HYPERLINK("http://www.worldcat.org/oclc/226571","WorldCat Record")</f>
        <v>WorldCat Record</v>
      </c>
    </row>
    <row r="93" spans="1:46" ht="30" customHeight="1" x14ac:dyDescent="0.25">
      <c r="A93" s="8" t="s">
        <v>58</v>
      </c>
      <c r="B93" s="2" t="s">
        <v>1047</v>
      </c>
      <c r="C93" s="2" t="s">
        <v>1048</v>
      </c>
      <c r="D93" s="2" t="s">
        <v>1049</v>
      </c>
      <c r="F93" s="3" t="s">
        <v>58</v>
      </c>
      <c r="G93" s="3" t="s">
        <v>59</v>
      </c>
      <c r="H93" s="3" t="s">
        <v>58</v>
      </c>
      <c r="I93" s="3" t="s">
        <v>58</v>
      </c>
      <c r="J93" s="3" t="s">
        <v>60</v>
      </c>
      <c r="K93" s="2" t="s">
        <v>1050</v>
      </c>
      <c r="L93" s="2" t="s">
        <v>1051</v>
      </c>
      <c r="M93" s="3" t="s">
        <v>658</v>
      </c>
      <c r="O93" s="3" t="s">
        <v>64</v>
      </c>
      <c r="P93" s="3" t="s">
        <v>1052</v>
      </c>
      <c r="R93" s="3" t="s">
        <v>912</v>
      </c>
      <c r="S93" s="4">
        <v>22</v>
      </c>
      <c r="T93" s="4">
        <v>22</v>
      </c>
      <c r="U93" s="5" t="s">
        <v>1053</v>
      </c>
      <c r="V93" s="5" t="s">
        <v>1053</v>
      </c>
      <c r="W93" s="5" t="s">
        <v>1054</v>
      </c>
      <c r="X93" s="5" t="s">
        <v>1054</v>
      </c>
      <c r="Y93" s="4">
        <v>123</v>
      </c>
      <c r="Z93" s="4">
        <v>111</v>
      </c>
      <c r="AA93" s="4">
        <v>568</v>
      </c>
      <c r="AB93" s="4">
        <v>3</v>
      </c>
      <c r="AC93" s="4">
        <v>4</v>
      </c>
      <c r="AD93" s="4">
        <v>3</v>
      </c>
      <c r="AE93" s="4">
        <v>15</v>
      </c>
      <c r="AF93" s="4">
        <v>0</v>
      </c>
      <c r="AG93" s="4">
        <v>5</v>
      </c>
      <c r="AH93" s="4">
        <v>1</v>
      </c>
      <c r="AI93" s="4">
        <v>6</v>
      </c>
      <c r="AJ93" s="4">
        <v>0</v>
      </c>
      <c r="AK93" s="4">
        <v>8</v>
      </c>
      <c r="AL93" s="4">
        <v>2</v>
      </c>
      <c r="AM93" s="4">
        <v>2</v>
      </c>
      <c r="AN93" s="4">
        <v>0</v>
      </c>
      <c r="AO93" s="4">
        <v>0</v>
      </c>
      <c r="AP93" s="3" t="s">
        <v>58</v>
      </c>
      <c r="AQ93" s="3" t="s">
        <v>58</v>
      </c>
      <c r="AS93" s="6" t="str">
        <f>HYPERLINK("https://creighton-primo.hosted.exlibrisgroup.com/primo-explore/search?tab=default_tab&amp;search_scope=EVERYTHING&amp;vid=01CRU&amp;lang=en_US&amp;offset=0&amp;query=any,contains,991000846249702656","Catalog Record")</f>
        <v>Catalog Record</v>
      </c>
      <c r="AT93" s="6" t="str">
        <f>HYPERLINK("http://www.worldcat.org/oclc/3914251","WorldCat Record")</f>
        <v>WorldCat Record</v>
      </c>
    </row>
    <row r="94" spans="1:46" ht="30" customHeight="1" x14ac:dyDescent="0.25">
      <c r="A94" s="8" t="s">
        <v>58</v>
      </c>
      <c r="B94" s="2" t="s">
        <v>1055</v>
      </c>
      <c r="C94" s="2" t="s">
        <v>1056</v>
      </c>
      <c r="D94" s="2" t="s">
        <v>1057</v>
      </c>
      <c r="F94" s="3" t="s">
        <v>58</v>
      </c>
      <c r="G94" s="3" t="s">
        <v>59</v>
      </c>
      <c r="H94" s="3" t="s">
        <v>58</v>
      </c>
      <c r="I94" s="3" t="s">
        <v>58</v>
      </c>
      <c r="J94" s="3" t="s">
        <v>60</v>
      </c>
      <c r="K94" s="2" t="s">
        <v>1058</v>
      </c>
      <c r="L94" s="2" t="s">
        <v>1059</v>
      </c>
      <c r="M94" s="3" t="s">
        <v>490</v>
      </c>
      <c r="N94" s="2" t="s">
        <v>1038</v>
      </c>
      <c r="O94" s="3" t="s">
        <v>64</v>
      </c>
      <c r="P94" s="3" t="s">
        <v>84</v>
      </c>
      <c r="R94" s="3" t="s">
        <v>912</v>
      </c>
      <c r="S94" s="4">
        <v>25</v>
      </c>
      <c r="T94" s="4">
        <v>25</v>
      </c>
      <c r="U94" s="5" t="s">
        <v>1060</v>
      </c>
      <c r="V94" s="5" t="s">
        <v>1060</v>
      </c>
      <c r="W94" s="5" t="s">
        <v>1061</v>
      </c>
      <c r="X94" s="5" t="s">
        <v>1061</v>
      </c>
      <c r="Y94" s="4">
        <v>151</v>
      </c>
      <c r="Z94" s="4">
        <v>62</v>
      </c>
      <c r="AA94" s="4">
        <v>117</v>
      </c>
      <c r="AB94" s="4">
        <v>3</v>
      </c>
      <c r="AC94" s="4">
        <v>3</v>
      </c>
      <c r="AD94" s="4">
        <v>4</v>
      </c>
      <c r="AE94" s="4">
        <v>4</v>
      </c>
      <c r="AF94" s="4">
        <v>0</v>
      </c>
      <c r="AG94" s="4">
        <v>0</v>
      </c>
      <c r="AH94" s="4">
        <v>1</v>
      </c>
      <c r="AI94" s="4">
        <v>1</v>
      </c>
      <c r="AJ94" s="4">
        <v>1</v>
      </c>
      <c r="AK94" s="4">
        <v>1</v>
      </c>
      <c r="AL94" s="4">
        <v>2</v>
      </c>
      <c r="AM94" s="4">
        <v>2</v>
      </c>
      <c r="AN94" s="4">
        <v>0</v>
      </c>
      <c r="AO94" s="4">
        <v>0</v>
      </c>
      <c r="AP94" s="3" t="s">
        <v>58</v>
      </c>
      <c r="AQ94" s="3" t="s">
        <v>58</v>
      </c>
      <c r="AS94" s="6" t="str">
        <f>HYPERLINK("https://creighton-primo.hosted.exlibrisgroup.com/primo-explore/search?tab=default_tab&amp;search_scope=EVERYTHING&amp;vid=01CRU&amp;lang=en_US&amp;offset=0&amp;query=any,contains,991001199029702656","Catalog Record")</f>
        <v>Catalog Record</v>
      </c>
      <c r="AT94" s="6" t="str">
        <f>HYPERLINK("http://www.worldcat.org/oclc/36225911","WorldCat Record")</f>
        <v>WorldCat Record</v>
      </c>
    </row>
    <row r="95" spans="1:46" ht="30" customHeight="1" x14ac:dyDescent="0.25">
      <c r="A95" s="8" t="s">
        <v>58</v>
      </c>
      <c r="B95" s="2" t="s">
        <v>1062</v>
      </c>
      <c r="C95" s="2" t="s">
        <v>1063</v>
      </c>
      <c r="D95" s="2" t="s">
        <v>1064</v>
      </c>
      <c r="F95" s="3" t="s">
        <v>58</v>
      </c>
      <c r="G95" s="3" t="s">
        <v>59</v>
      </c>
      <c r="H95" s="3" t="s">
        <v>103</v>
      </c>
      <c r="I95" s="3" t="s">
        <v>58</v>
      </c>
      <c r="J95" s="3" t="s">
        <v>60</v>
      </c>
      <c r="K95" s="2" t="s">
        <v>1065</v>
      </c>
      <c r="L95" s="2" t="s">
        <v>1066</v>
      </c>
      <c r="M95" s="3" t="s">
        <v>1067</v>
      </c>
      <c r="O95" s="3" t="s">
        <v>1068</v>
      </c>
      <c r="P95" s="3" t="s">
        <v>1069</v>
      </c>
      <c r="R95" s="3" t="s">
        <v>912</v>
      </c>
      <c r="S95" s="4">
        <v>5</v>
      </c>
      <c r="T95" s="4">
        <v>14</v>
      </c>
      <c r="U95" s="5" t="s">
        <v>1070</v>
      </c>
      <c r="V95" s="5" t="s">
        <v>1071</v>
      </c>
      <c r="W95" s="5" t="s">
        <v>1072</v>
      </c>
      <c r="X95" s="5" t="s">
        <v>1072</v>
      </c>
      <c r="Y95" s="4">
        <v>41</v>
      </c>
      <c r="Z95" s="4">
        <v>25</v>
      </c>
      <c r="AA95" s="4">
        <v>68</v>
      </c>
      <c r="AB95" s="4">
        <v>1</v>
      </c>
      <c r="AC95" s="4">
        <v>1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3" t="s">
        <v>58</v>
      </c>
      <c r="AQ95" s="3" t="s">
        <v>58</v>
      </c>
      <c r="AS95" s="6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T95" s="6" t="str">
        <f>HYPERLINK("http://www.worldcat.org/oclc/1118083","WorldCat Record")</f>
        <v>WorldCat Record</v>
      </c>
    </row>
    <row r="96" spans="1:46" ht="30" customHeight="1" x14ac:dyDescent="0.25">
      <c r="A96" s="8" t="s">
        <v>58</v>
      </c>
      <c r="B96" s="2" t="s">
        <v>1073</v>
      </c>
      <c r="C96" s="2" t="s">
        <v>1074</v>
      </c>
      <c r="D96" s="2" t="s">
        <v>1064</v>
      </c>
      <c r="F96" s="3" t="s">
        <v>58</v>
      </c>
      <c r="G96" s="3" t="s">
        <v>59</v>
      </c>
      <c r="H96" s="3" t="s">
        <v>103</v>
      </c>
      <c r="I96" s="3" t="s">
        <v>58</v>
      </c>
      <c r="J96" s="3" t="s">
        <v>60</v>
      </c>
      <c r="K96" s="2" t="s">
        <v>1065</v>
      </c>
      <c r="L96" s="2" t="s">
        <v>1066</v>
      </c>
      <c r="M96" s="3" t="s">
        <v>1067</v>
      </c>
      <c r="O96" s="3" t="s">
        <v>1068</v>
      </c>
      <c r="P96" s="3" t="s">
        <v>1069</v>
      </c>
      <c r="R96" s="3" t="s">
        <v>912</v>
      </c>
      <c r="S96" s="4">
        <v>4</v>
      </c>
      <c r="T96" s="4">
        <v>14</v>
      </c>
      <c r="U96" s="5" t="s">
        <v>1071</v>
      </c>
      <c r="V96" s="5" t="s">
        <v>1071</v>
      </c>
      <c r="W96" s="5" t="s">
        <v>1072</v>
      </c>
      <c r="X96" s="5" t="s">
        <v>1072</v>
      </c>
      <c r="Y96" s="4">
        <v>41</v>
      </c>
      <c r="Z96" s="4">
        <v>25</v>
      </c>
      <c r="AA96" s="4">
        <v>68</v>
      </c>
      <c r="AB96" s="4">
        <v>1</v>
      </c>
      <c r="AC96" s="4">
        <v>1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3" t="s">
        <v>58</v>
      </c>
      <c r="AQ96" s="3" t="s">
        <v>58</v>
      </c>
      <c r="AS96" s="6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T96" s="6" t="str">
        <f>HYPERLINK("http://www.worldcat.org/oclc/1118083","WorldCat Record")</f>
        <v>WorldCat Record</v>
      </c>
    </row>
    <row r="97" spans="1:46" ht="30" customHeight="1" x14ac:dyDescent="0.25">
      <c r="A97" s="8" t="s">
        <v>58</v>
      </c>
      <c r="B97" s="2" t="s">
        <v>1075</v>
      </c>
      <c r="C97" s="2" t="s">
        <v>1076</v>
      </c>
      <c r="D97" s="2" t="s">
        <v>1064</v>
      </c>
      <c r="F97" s="3" t="s">
        <v>58</v>
      </c>
      <c r="G97" s="3" t="s">
        <v>59</v>
      </c>
      <c r="H97" s="3" t="s">
        <v>103</v>
      </c>
      <c r="I97" s="3" t="s">
        <v>58</v>
      </c>
      <c r="J97" s="3" t="s">
        <v>60</v>
      </c>
      <c r="K97" s="2" t="s">
        <v>1065</v>
      </c>
      <c r="L97" s="2" t="s">
        <v>1066</v>
      </c>
      <c r="M97" s="3" t="s">
        <v>1067</v>
      </c>
      <c r="O97" s="3" t="s">
        <v>1068</v>
      </c>
      <c r="P97" s="3" t="s">
        <v>1069</v>
      </c>
      <c r="R97" s="3" t="s">
        <v>912</v>
      </c>
      <c r="S97" s="4">
        <v>5</v>
      </c>
      <c r="T97" s="4">
        <v>14</v>
      </c>
      <c r="U97" s="5" t="s">
        <v>1077</v>
      </c>
      <c r="V97" s="5" t="s">
        <v>1071</v>
      </c>
      <c r="W97" s="5" t="s">
        <v>1072</v>
      </c>
      <c r="X97" s="5" t="s">
        <v>1072</v>
      </c>
      <c r="Y97" s="4">
        <v>41</v>
      </c>
      <c r="Z97" s="4">
        <v>25</v>
      </c>
      <c r="AA97" s="4">
        <v>68</v>
      </c>
      <c r="AB97" s="4">
        <v>1</v>
      </c>
      <c r="AC97" s="4">
        <v>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3" t="s">
        <v>58</v>
      </c>
      <c r="AQ97" s="3" t="s">
        <v>58</v>
      </c>
      <c r="AS97" s="6" t="str">
        <f>HYPERLINK("https://creighton-primo.hosted.exlibrisgroup.com/primo-explore/search?tab=default_tab&amp;search_scope=EVERYTHING&amp;vid=01CRU&amp;lang=en_US&amp;offset=0&amp;query=any,contains,991001280009702656","Catalog Record")</f>
        <v>Catalog Record</v>
      </c>
      <c r="AT97" s="6" t="str">
        <f>HYPERLINK("http://www.worldcat.org/oclc/1118083","WorldCat Record")</f>
        <v>WorldCat Record</v>
      </c>
    </row>
    <row r="98" spans="1:46" ht="30" customHeight="1" x14ac:dyDescent="0.25">
      <c r="A98" s="8" t="s">
        <v>58</v>
      </c>
      <c r="B98" s="2" t="s">
        <v>1078</v>
      </c>
      <c r="C98" s="2" t="s">
        <v>1079</v>
      </c>
      <c r="D98" s="2" t="s">
        <v>1080</v>
      </c>
      <c r="E98" s="3" t="s">
        <v>1081</v>
      </c>
      <c r="F98" s="3" t="s">
        <v>58</v>
      </c>
      <c r="G98" s="3" t="s">
        <v>59</v>
      </c>
      <c r="H98" s="3" t="s">
        <v>58</v>
      </c>
      <c r="I98" s="3" t="s">
        <v>58</v>
      </c>
      <c r="J98" s="3" t="s">
        <v>60</v>
      </c>
      <c r="K98" s="2" t="s">
        <v>1082</v>
      </c>
      <c r="L98" s="2" t="s">
        <v>1083</v>
      </c>
      <c r="M98" s="3" t="s">
        <v>359</v>
      </c>
      <c r="O98" s="3" t="s">
        <v>1068</v>
      </c>
      <c r="P98" s="3" t="s">
        <v>1084</v>
      </c>
      <c r="R98" s="3" t="s">
        <v>912</v>
      </c>
      <c r="S98" s="4">
        <v>8</v>
      </c>
      <c r="T98" s="4">
        <v>8</v>
      </c>
      <c r="U98" s="5" t="s">
        <v>1085</v>
      </c>
      <c r="V98" s="5" t="s">
        <v>1085</v>
      </c>
      <c r="W98" s="5" t="s">
        <v>1086</v>
      </c>
      <c r="X98" s="5" t="s">
        <v>1086</v>
      </c>
      <c r="Y98" s="4">
        <v>4</v>
      </c>
      <c r="Z98" s="4">
        <v>2</v>
      </c>
      <c r="AA98" s="4">
        <v>2</v>
      </c>
      <c r="AB98" s="4">
        <v>1</v>
      </c>
      <c r="AC98" s="4">
        <v>1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3" t="s">
        <v>58</v>
      </c>
      <c r="AQ98" s="3" t="s">
        <v>58</v>
      </c>
      <c r="AS98" s="6" t="str">
        <f>HYPERLINK("https://creighton-primo.hosted.exlibrisgroup.com/primo-explore/search?tab=default_tab&amp;search_scope=EVERYTHING&amp;vid=01CRU&amp;lang=en_US&amp;offset=0&amp;query=any,contains,991001538539702656","Catalog Record")</f>
        <v>Catalog Record</v>
      </c>
      <c r="AT98" s="6" t="str">
        <f>HYPERLINK("http://www.worldcat.org/oclc/8731879","WorldCat Record")</f>
        <v>WorldCat Record</v>
      </c>
    </row>
    <row r="99" spans="1:46" ht="30" customHeight="1" x14ac:dyDescent="0.25">
      <c r="A99" s="8" t="s">
        <v>58</v>
      </c>
      <c r="B99" s="2" t="s">
        <v>1087</v>
      </c>
      <c r="C99" s="2" t="s">
        <v>1088</v>
      </c>
      <c r="D99" s="2" t="s">
        <v>1089</v>
      </c>
      <c r="F99" s="3" t="s">
        <v>58</v>
      </c>
      <c r="G99" s="3" t="s">
        <v>59</v>
      </c>
      <c r="H99" s="3" t="s">
        <v>58</v>
      </c>
      <c r="I99" s="3" t="s">
        <v>103</v>
      </c>
      <c r="J99" s="3" t="s">
        <v>60</v>
      </c>
      <c r="K99" s="2" t="s">
        <v>1090</v>
      </c>
      <c r="L99" s="2" t="s">
        <v>1091</v>
      </c>
      <c r="M99" s="3" t="s">
        <v>98</v>
      </c>
      <c r="O99" s="3" t="s">
        <v>64</v>
      </c>
      <c r="P99" s="3" t="s">
        <v>911</v>
      </c>
      <c r="R99" s="3" t="s">
        <v>912</v>
      </c>
      <c r="S99" s="4">
        <v>26</v>
      </c>
      <c r="T99" s="4">
        <v>26</v>
      </c>
      <c r="U99" s="5" t="s">
        <v>1060</v>
      </c>
      <c r="V99" s="5" t="s">
        <v>1060</v>
      </c>
      <c r="W99" s="5" t="s">
        <v>1054</v>
      </c>
      <c r="X99" s="5" t="s">
        <v>1054</v>
      </c>
      <c r="Y99" s="4">
        <v>131</v>
      </c>
      <c r="Z99" s="4">
        <v>80</v>
      </c>
      <c r="AA99" s="4">
        <v>238</v>
      </c>
      <c r="AB99" s="4">
        <v>2</v>
      </c>
      <c r="AC99" s="4">
        <v>4</v>
      </c>
      <c r="AD99" s="4">
        <v>4</v>
      </c>
      <c r="AE99" s="4">
        <v>7</v>
      </c>
      <c r="AF99" s="4">
        <v>1</v>
      </c>
      <c r="AG99" s="4">
        <v>2</v>
      </c>
      <c r="AH99" s="4">
        <v>1</v>
      </c>
      <c r="AI99" s="4">
        <v>2</v>
      </c>
      <c r="AJ99" s="4">
        <v>3</v>
      </c>
      <c r="AK99" s="4">
        <v>4</v>
      </c>
      <c r="AL99" s="4">
        <v>1</v>
      </c>
      <c r="AM99" s="4">
        <v>2</v>
      </c>
      <c r="AN99" s="4">
        <v>0</v>
      </c>
      <c r="AO99" s="4">
        <v>0</v>
      </c>
      <c r="AP99" s="3" t="s">
        <v>58</v>
      </c>
      <c r="AQ99" s="3" t="s">
        <v>103</v>
      </c>
      <c r="AR99" s="6" t="str">
        <f>HYPERLINK("http://catalog.hathitrust.org/Record/000303705","HathiTrust Record")</f>
        <v>HathiTrust Record</v>
      </c>
      <c r="AS99" s="6" t="str">
        <f>HYPERLINK("https://creighton-primo.hosted.exlibrisgroup.com/primo-explore/search?tab=default_tab&amp;search_scope=EVERYTHING&amp;vid=01CRU&amp;lang=en_US&amp;offset=0&amp;query=any,contains,991000846079702656","Catalog Record")</f>
        <v>Catalog Record</v>
      </c>
      <c r="AT99" s="6" t="str">
        <f>HYPERLINK("http://www.worldcat.org/oclc/7573710","WorldCat Record")</f>
        <v>WorldCat Record</v>
      </c>
    </row>
    <row r="100" spans="1:46" ht="30" customHeight="1" x14ac:dyDescent="0.25">
      <c r="A100" s="8" t="s">
        <v>58</v>
      </c>
      <c r="B100" s="2" t="s">
        <v>1092</v>
      </c>
      <c r="C100" s="2" t="s">
        <v>1093</v>
      </c>
      <c r="D100" s="2" t="s">
        <v>1094</v>
      </c>
      <c r="F100" s="3" t="s">
        <v>58</v>
      </c>
      <c r="G100" s="3" t="s">
        <v>59</v>
      </c>
      <c r="H100" s="3" t="s">
        <v>58</v>
      </c>
      <c r="I100" s="3" t="s">
        <v>58</v>
      </c>
      <c r="J100" s="3" t="s">
        <v>60</v>
      </c>
      <c r="K100" s="2" t="s">
        <v>1095</v>
      </c>
      <c r="L100" s="2" t="s">
        <v>1096</v>
      </c>
      <c r="M100" s="3" t="s">
        <v>546</v>
      </c>
      <c r="O100" s="3" t="s">
        <v>64</v>
      </c>
      <c r="P100" s="3" t="s">
        <v>133</v>
      </c>
      <c r="R100" s="3" t="s">
        <v>912</v>
      </c>
      <c r="S100" s="4">
        <v>8</v>
      </c>
      <c r="T100" s="4">
        <v>8</v>
      </c>
      <c r="U100" s="5" t="s">
        <v>1097</v>
      </c>
      <c r="V100" s="5" t="s">
        <v>1097</v>
      </c>
      <c r="W100" s="5" t="s">
        <v>1054</v>
      </c>
      <c r="X100" s="5" t="s">
        <v>1054</v>
      </c>
      <c r="Y100" s="4">
        <v>144</v>
      </c>
      <c r="Z100" s="4">
        <v>101</v>
      </c>
      <c r="AA100" s="4">
        <v>218</v>
      </c>
      <c r="AB100" s="4">
        <v>1</v>
      </c>
      <c r="AC100" s="4">
        <v>3</v>
      </c>
      <c r="AD100" s="4">
        <v>1</v>
      </c>
      <c r="AE100" s="4">
        <v>5</v>
      </c>
      <c r="AF100" s="4">
        <v>1</v>
      </c>
      <c r="AG100" s="4">
        <v>3</v>
      </c>
      <c r="AH100" s="4">
        <v>0</v>
      </c>
      <c r="AI100" s="4">
        <v>1</v>
      </c>
      <c r="AJ100" s="4">
        <v>0</v>
      </c>
      <c r="AK100" s="4">
        <v>1</v>
      </c>
      <c r="AL100" s="4">
        <v>0</v>
      </c>
      <c r="AM100" s="4">
        <v>1</v>
      </c>
      <c r="AN100" s="4">
        <v>0</v>
      </c>
      <c r="AO100" s="4">
        <v>0</v>
      </c>
      <c r="AP100" s="3" t="s">
        <v>58</v>
      </c>
      <c r="AQ100" s="3" t="s">
        <v>103</v>
      </c>
      <c r="AR100" s="6" t="str">
        <f>HYPERLINK("http://catalog.hathitrust.org/Record/009864973","HathiTrust Record")</f>
        <v>HathiTrust Record</v>
      </c>
      <c r="AS100" s="6" t="str">
        <f>HYPERLINK("https://creighton-primo.hosted.exlibrisgroup.com/primo-explore/search?tab=default_tab&amp;search_scope=EVERYTHING&amp;vid=01CRU&amp;lang=en_US&amp;offset=0&amp;query=any,contains,991000846209702656","Catalog Record")</f>
        <v>Catalog Record</v>
      </c>
      <c r="AT100" s="6" t="str">
        <f>HYPERLINK("http://www.worldcat.org/oclc/1130186","WorldCat Record")</f>
        <v>WorldCat Record</v>
      </c>
    </row>
    <row r="101" spans="1:46" ht="30" customHeight="1" x14ac:dyDescent="0.25">
      <c r="A101" s="8" t="s">
        <v>58</v>
      </c>
      <c r="B101" s="2" t="s">
        <v>1098</v>
      </c>
      <c r="C101" s="2" t="s">
        <v>1099</v>
      </c>
      <c r="D101" s="2" t="s">
        <v>1100</v>
      </c>
      <c r="F101" s="3" t="s">
        <v>58</v>
      </c>
      <c r="G101" s="3" t="s">
        <v>59</v>
      </c>
      <c r="H101" s="3" t="s">
        <v>58</v>
      </c>
      <c r="I101" s="3" t="s">
        <v>58</v>
      </c>
      <c r="J101" s="3" t="s">
        <v>60</v>
      </c>
      <c r="K101" s="2" t="s">
        <v>1101</v>
      </c>
      <c r="L101" s="2" t="s">
        <v>1102</v>
      </c>
      <c r="M101" s="3" t="s">
        <v>949</v>
      </c>
      <c r="N101" s="2" t="s">
        <v>882</v>
      </c>
      <c r="O101" s="3" t="s">
        <v>64</v>
      </c>
      <c r="P101" s="3" t="s">
        <v>432</v>
      </c>
      <c r="R101" s="3" t="s">
        <v>912</v>
      </c>
      <c r="S101" s="4">
        <v>26</v>
      </c>
      <c r="T101" s="4">
        <v>26</v>
      </c>
      <c r="U101" s="5" t="s">
        <v>1103</v>
      </c>
      <c r="V101" s="5" t="s">
        <v>1103</v>
      </c>
      <c r="W101" s="5" t="s">
        <v>1104</v>
      </c>
      <c r="X101" s="5" t="s">
        <v>1104</v>
      </c>
      <c r="Y101" s="4">
        <v>270</v>
      </c>
      <c r="Z101" s="4">
        <v>173</v>
      </c>
      <c r="AA101" s="4">
        <v>963</v>
      </c>
      <c r="AB101" s="4">
        <v>3</v>
      </c>
      <c r="AC101" s="4">
        <v>7</v>
      </c>
      <c r="AD101" s="4">
        <v>2</v>
      </c>
      <c r="AE101" s="4">
        <v>18</v>
      </c>
      <c r="AF101" s="4">
        <v>0</v>
      </c>
      <c r="AG101" s="4">
        <v>4</v>
      </c>
      <c r="AH101" s="4">
        <v>1</v>
      </c>
      <c r="AI101" s="4">
        <v>3</v>
      </c>
      <c r="AJ101" s="4">
        <v>1</v>
      </c>
      <c r="AK101" s="4">
        <v>11</v>
      </c>
      <c r="AL101" s="4">
        <v>1</v>
      </c>
      <c r="AM101" s="4">
        <v>4</v>
      </c>
      <c r="AN101" s="4">
        <v>0</v>
      </c>
      <c r="AO101" s="4">
        <v>0</v>
      </c>
      <c r="AP101" s="3" t="s">
        <v>58</v>
      </c>
      <c r="AQ101" s="3" t="s">
        <v>58</v>
      </c>
      <c r="AS101" s="6" t="str">
        <f>HYPERLINK("https://creighton-primo.hosted.exlibrisgroup.com/primo-explore/search?tab=default_tab&amp;search_scope=EVERYTHING&amp;vid=01CRU&amp;lang=en_US&amp;offset=0&amp;query=any,contains,991001412429702656","Catalog Record")</f>
        <v>Catalog Record</v>
      </c>
      <c r="AT101" s="6" t="str">
        <f>HYPERLINK("http://www.worldcat.org/oclc/41266267","WorldCat Record")</f>
        <v>WorldCat Record</v>
      </c>
    </row>
    <row r="102" spans="1:46" ht="30" customHeight="1" x14ac:dyDescent="0.25">
      <c r="A102" s="8" t="s">
        <v>58</v>
      </c>
      <c r="B102" s="2" t="s">
        <v>1105</v>
      </c>
      <c r="C102" s="2" t="s">
        <v>1106</v>
      </c>
      <c r="D102" s="2" t="s">
        <v>1107</v>
      </c>
      <c r="F102" s="3" t="s">
        <v>58</v>
      </c>
      <c r="G102" s="3" t="s">
        <v>59</v>
      </c>
      <c r="H102" s="3" t="s">
        <v>58</v>
      </c>
      <c r="I102" s="3" t="s">
        <v>58</v>
      </c>
      <c r="J102" s="3" t="s">
        <v>60</v>
      </c>
      <c r="K102" s="2" t="s">
        <v>1101</v>
      </c>
      <c r="L102" s="2" t="s">
        <v>1108</v>
      </c>
      <c r="M102" s="3" t="s">
        <v>146</v>
      </c>
      <c r="N102" s="2" t="s">
        <v>934</v>
      </c>
      <c r="O102" s="3" t="s">
        <v>64</v>
      </c>
      <c r="P102" s="3" t="s">
        <v>432</v>
      </c>
      <c r="R102" s="3" t="s">
        <v>912</v>
      </c>
      <c r="S102" s="4">
        <v>59</v>
      </c>
      <c r="T102" s="4">
        <v>59</v>
      </c>
      <c r="U102" s="5" t="s">
        <v>690</v>
      </c>
      <c r="V102" s="5" t="s">
        <v>690</v>
      </c>
      <c r="W102" s="5" t="s">
        <v>1109</v>
      </c>
      <c r="X102" s="5" t="s">
        <v>1109</v>
      </c>
      <c r="Y102" s="4">
        <v>246</v>
      </c>
      <c r="Z102" s="4">
        <v>150</v>
      </c>
      <c r="AA102" s="4">
        <v>1329</v>
      </c>
      <c r="AB102" s="4">
        <v>3</v>
      </c>
      <c r="AC102" s="4">
        <v>7</v>
      </c>
      <c r="AD102" s="4">
        <v>8</v>
      </c>
      <c r="AE102" s="4">
        <v>30</v>
      </c>
      <c r="AF102" s="4">
        <v>2</v>
      </c>
      <c r="AG102" s="4">
        <v>10</v>
      </c>
      <c r="AH102" s="4">
        <v>1</v>
      </c>
      <c r="AI102" s="4">
        <v>7</v>
      </c>
      <c r="AJ102" s="4">
        <v>4</v>
      </c>
      <c r="AK102" s="4">
        <v>14</v>
      </c>
      <c r="AL102" s="4">
        <v>2</v>
      </c>
      <c r="AM102" s="4">
        <v>4</v>
      </c>
      <c r="AN102" s="4">
        <v>0</v>
      </c>
      <c r="AO102" s="4">
        <v>0</v>
      </c>
      <c r="AP102" s="3" t="s">
        <v>58</v>
      </c>
      <c r="AQ102" s="3" t="s">
        <v>58</v>
      </c>
      <c r="AS102" s="6" t="str">
        <f>HYPERLINK("https://creighton-primo.hosted.exlibrisgroup.com/primo-explore/search?tab=default_tab&amp;search_scope=EVERYTHING&amp;vid=01CRU&amp;lang=en_US&amp;offset=0&amp;query=any,contains,991001427629702656","Catalog Record")</f>
        <v>Catalog Record</v>
      </c>
      <c r="AT102" s="6" t="str">
        <f>HYPERLINK("http://www.worldcat.org/oclc/37322160","WorldCat Record")</f>
        <v>WorldCat Record</v>
      </c>
    </row>
    <row r="103" spans="1:46" ht="30" customHeight="1" x14ac:dyDescent="0.25">
      <c r="A103" s="8" t="s">
        <v>58</v>
      </c>
      <c r="B103" s="2" t="s">
        <v>1110</v>
      </c>
      <c r="C103" s="2" t="s">
        <v>1111</v>
      </c>
      <c r="D103" s="2" t="s">
        <v>1112</v>
      </c>
      <c r="F103" s="3" t="s">
        <v>58</v>
      </c>
      <c r="G103" s="3" t="s">
        <v>59</v>
      </c>
      <c r="H103" s="3" t="s">
        <v>58</v>
      </c>
      <c r="I103" s="3" t="s">
        <v>58</v>
      </c>
      <c r="J103" s="3" t="s">
        <v>60</v>
      </c>
      <c r="L103" s="2" t="s">
        <v>1113</v>
      </c>
      <c r="M103" s="3" t="s">
        <v>1114</v>
      </c>
      <c r="O103" s="3" t="s">
        <v>64</v>
      </c>
      <c r="P103" s="3" t="s">
        <v>1115</v>
      </c>
      <c r="R103" s="3" t="s">
        <v>912</v>
      </c>
      <c r="S103" s="4">
        <v>6</v>
      </c>
      <c r="T103" s="4">
        <v>6</v>
      </c>
      <c r="U103" s="5" t="s">
        <v>1116</v>
      </c>
      <c r="V103" s="5" t="s">
        <v>1116</v>
      </c>
      <c r="W103" s="5" t="s">
        <v>1117</v>
      </c>
      <c r="X103" s="5" t="s">
        <v>1117</v>
      </c>
      <c r="Y103" s="4">
        <v>48</v>
      </c>
      <c r="Z103" s="4">
        <v>32</v>
      </c>
      <c r="AA103" s="4">
        <v>35</v>
      </c>
      <c r="AB103" s="4">
        <v>1</v>
      </c>
      <c r="AC103" s="4">
        <v>1</v>
      </c>
      <c r="AD103" s="4">
        <v>1</v>
      </c>
      <c r="AE103" s="4">
        <v>1</v>
      </c>
      <c r="AF103" s="4">
        <v>0</v>
      </c>
      <c r="AG103" s="4">
        <v>0</v>
      </c>
      <c r="AH103" s="4">
        <v>1</v>
      </c>
      <c r="AI103" s="4">
        <v>1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3" t="s">
        <v>58</v>
      </c>
      <c r="AQ103" s="3" t="s">
        <v>58</v>
      </c>
      <c r="AS103" s="6" t="str">
        <f>HYPERLINK("https://creighton-primo.hosted.exlibrisgroup.com/primo-explore/search?tab=default_tab&amp;search_scope=EVERYTHING&amp;vid=01CRU&amp;lang=en_US&amp;offset=0&amp;query=any,contains,991000355749702656","Catalog Record")</f>
        <v>Catalog Record</v>
      </c>
      <c r="AT103" s="6" t="str">
        <f>HYPERLINK("http://www.worldcat.org/oclc/50403848","WorldCat Record")</f>
        <v>WorldCat Record</v>
      </c>
    </row>
    <row r="104" spans="1:46" ht="30" customHeight="1" x14ac:dyDescent="0.25">
      <c r="A104" s="8" t="s">
        <v>58</v>
      </c>
      <c r="B104" s="2" t="s">
        <v>1118</v>
      </c>
      <c r="C104" s="2" t="s">
        <v>1119</v>
      </c>
      <c r="D104" s="2" t="s">
        <v>1120</v>
      </c>
      <c r="F104" s="3" t="s">
        <v>58</v>
      </c>
      <c r="G104" s="3" t="s">
        <v>59</v>
      </c>
      <c r="H104" s="3" t="s">
        <v>58</v>
      </c>
      <c r="I104" s="3" t="s">
        <v>103</v>
      </c>
      <c r="J104" s="3" t="s">
        <v>60</v>
      </c>
      <c r="K104" s="2" t="s">
        <v>1121</v>
      </c>
      <c r="L104" s="2" t="s">
        <v>1122</v>
      </c>
      <c r="M104" s="3" t="s">
        <v>490</v>
      </c>
      <c r="N104" s="2" t="s">
        <v>331</v>
      </c>
      <c r="O104" s="3" t="s">
        <v>64</v>
      </c>
      <c r="P104" s="3" t="s">
        <v>1115</v>
      </c>
      <c r="R104" s="3" t="s">
        <v>912</v>
      </c>
      <c r="S104" s="4">
        <v>122</v>
      </c>
      <c r="T104" s="4">
        <v>122</v>
      </c>
      <c r="U104" s="5" t="s">
        <v>1123</v>
      </c>
      <c r="V104" s="5" t="s">
        <v>1123</v>
      </c>
      <c r="W104" s="5" t="s">
        <v>1039</v>
      </c>
      <c r="X104" s="5" t="s">
        <v>1039</v>
      </c>
      <c r="Y104" s="4">
        <v>90</v>
      </c>
      <c r="Z104" s="4">
        <v>59</v>
      </c>
      <c r="AA104" s="4">
        <v>363</v>
      </c>
      <c r="AB104" s="4">
        <v>1</v>
      </c>
      <c r="AC104" s="4">
        <v>3</v>
      </c>
      <c r="AD104" s="4">
        <v>1</v>
      </c>
      <c r="AE104" s="4">
        <v>10</v>
      </c>
      <c r="AF104" s="4">
        <v>1</v>
      </c>
      <c r="AG104" s="4">
        <v>5</v>
      </c>
      <c r="AH104" s="4">
        <v>0</v>
      </c>
      <c r="AI104" s="4">
        <v>1</v>
      </c>
      <c r="AJ104" s="4">
        <v>0</v>
      </c>
      <c r="AK104" s="4">
        <v>5</v>
      </c>
      <c r="AL104" s="4">
        <v>0</v>
      </c>
      <c r="AM104" s="4">
        <v>1</v>
      </c>
      <c r="AN104" s="4">
        <v>0</v>
      </c>
      <c r="AO104" s="4">
        <v>0</v>
      </c>
      <c r="AP104" s="3" t="s">
        <v>58</v>
      </c>
      <c r="AQ104" s="3" t="s">
        <v>58</v>
      </c>
      <c r="AS104" s="6" t="str">
        <f>HYPERLINK("https://creighton-primo.hosted.exlibrisgroup.com/primo-explore/search?tab=default_tab&amp;search_scope=EVERYTHING&amp;vid=01CRU&amp;lang=en_US&amp;offset=0&amp;query=any,contains,991001269759702656","Catalog Record")</f>
        <v>Catalog Record</v>
      </c>
      <c r="AT104" s="6" t="str">
        <f>HYPERLINK("http://www.worldcat.org/oclc/35033588","WorldCat Record")</f>
        <v>WorldCat Record</v>
      </c>
    </row>
    <row r="105" spans="1:46" ht="30" customHeight="1" x14ac:dyDescent="0.25">
      <c r="A105" s="8" t="s">
        <v>58</v>
      </c>
      <c r="B105" s="2" t="s">
        <v>1124</v>
      </c>
      <c r="C105" s="2" t="s">
        <v>1125</v>
      </c>
      <c r="D105" s="2" t="s">
        <v>1126</v>
      </c>
      <c r="F105" s="3" t="s">
        <v>58</v>
      </c>
      <c r="G105" s="3" t="s">
        <v>59</v>
      </c>
      <c r="H105" s="3" t="s">
        <v>58</v>
      </c>
      <c r="I105" s="3" t="s">
        <v>58</v>
      </c>
      <c r="J105" s="3" t="s">
        <v>60</v>
      </c>
      <c r="K105" s="2" t="s">
        <v>1121</v>
      </c>
      <c r="L105" s="2" t="s">
        <v>1127</v>
      </c>
      <c r="M105" s="3" t="s">
        <v>1128</v>
      </c>
      <c r="N105" s="2" t="s">
        <v>1038</v>
      </c>
      <c r="O105" s="3" t="s">
        <v>64</v>
      </c>
      <c r="P105" s="3" t="s">
        <v>1115</v>
      </c>
      <c r="R105" s="3" t="s">
        <v>912</v>
      </c>
      <c r="S105" s="4">
        <v>87</v>
      </c>
      <c r="T105" s="4">
        <v>87</v>
      </c>
      <c r="U105" s="5" t="s">
        <v>1129</v>
      </c>
      <c r="V105" s="5" t="s">
        <v>1129</v>
      </c>
      <c r="W105" s="5" t="s">
        <v>1130</v>
      </c>
      <c r="X105" s="5" t="s">
        <v>1130</v>
      </c>
      <c r="Y105" s="4">
        <v>115</v>
      </c>
      <c r="Z105" s="4">
        <v>72</v>
      </c>
      <c r="AA105" s="4">
        <v>74</v>
      </c>
      <c r="AB105" s="4">
        <v>1</v>
      </c>
      <c r="AC105" s="4">
        <v>1</v>
      </c>
      <c r="AD105" s="4">
        <v>1</v>
      </c>
      <c r="AE105" s="4">
        <v>1</v>
      </c>
      <c r="AF105" s="4">
        <v>0</v>
      </c>
      <c r="AG105" s="4">
        <v>0</v>
      </c>
      <c r="AH105" s="4">
        <v>0</v>
      </c>
      <c r="AI105" s="4">
        <v>0</v>
      </c>
      <c r="AJ105" s="4">
        <v>1</v>
      </c>
      <c r="AK105" s="4">
        <v>1</v>
      </c>
      <c r="AL105" s="4">
        <v>0</v>
      </c>
      <c r="AM105" s="4">
        <v>0</v>
      </c>
      <c r="AN105" s="4">
        <v>0</v>
      </c>
      <c r="AO105" s="4">
        <v>0</v>
      </c>
      <c r="AP105" s="3" t="s">
        <v>58</v>
      </c>
      <c r="AQ105" s="3" t="s">
        <v>103</v>
      </c>
      <c r="AR105" s="6" t="str">
        <f>HYPERLINK("http://catalog.hathitrust.org/Record/009925683","HathiTrust Record")</f>
        <v>HathiTrust Record</v>
      </c>
      <c r="AS105" s="6" t="str">
        <f>HYPERLINK("https://creighton-primo.hosted.exlibrisgroup.com/primo-explore/search?tab=default_tab&amp;search_scope=EVERYTHING&amp;vid=01CRU&amp;lang=en_US&amp;offset=0&amp;query=any,contains,991000583159702656","Catalog Record")</f>
        <v>Catalog Record</v>
      </c>
      <c r="AT105" s="6" t="str">
        <f>HYPERLINK("http://www.worldcat.org/oclc/41540206","WorldCat Record")</f>
        <v>WorldCat Record</v>
      </c>
    </row>
    <row r="106" spans="1:46" ht="30" customHeight="1" x14ac:dyDescent="0.25">
      <c r="A106" s="8" t="s">
        <v>58</v>
      </c>
      <c r="B106" s="2" t="s">
        <v>1131</v>
      </c>
      <c r="C106" s="2" t="s">
        <v>1132</v>
      </c>
      <c r="D106" s="2" t="s">
        <v>1133</v>
      </c>
      <c r="F106" s="3" t="s">
        <v>58</v>
      </c>
      <c r="G106" s="3" t="s">
        <v>59</v>
      </c>
      <c r="H106" s="3" t="s">
        <v>103</v>
      </c>
      <c r="I106" s="3" t="s">
        <v>103</v>
      </c>
      <c r="J106" s="3" t="s">
        <v>59</v>
      </c>
      <c r="K106" s="2" t="s">
        <v>1134</v>
      </c>
      <c r="L106" s="2" t="s">
        <v>1135</v>
      </c>
      <c r="M106" s="3" t="s">
        <v>766</v>
      </c>
      <c r="N106" s="2" t="s">
        <v>1136</v>
      </c>
      <c r="O106" s="3" t="s">
        <v>64</v>
      </c>
      <c r="P106" s="3" t="s">
        <v>315</v>
      </c>
      <c r="R106" s="3" t="s">
        <v>912</v>
      </c>
      <c r="S106" s="4">
        <v>205</v>
      </c>
      <c r="T106" s="4">
        <v>326</v>
      </c>
      <c r="U106" s="5" t="s">
        <v>1137</v>
      </c>
      <c r="V106" s="5" t="s">
        <v>1138</v>
      </c>
      <c r="W106" s="5" t="s">
        <v>1139</v>
      </c>
      <c r="X106" s="5" t="s">
        <v>1140</v>
      </c>
      <c r="Y106" s="4">
        <v>364</v>
      </c>
      <c r="Z106" s="4">
        <v>229</v>
      </c>
      <c r="AA106" s="4">
        <v>1226</v>
      </c>
      <c r="AB106" s="4">
        <v>1</v>
      </c>
      <c r="AC106" s="4">
        <v>11</v>
      </c>
      <c r="AD106" s="4">
        <v>3</v>
      </c>
      <c r="AE106" s="4">
        <v>43</v>
      </c>
      <c r="AF106" s="4">
        <v>1</v>
      </c>
      <c r="AG106" s="4">
        <v>19</v>
      </c>
      <c r="AH106" s="4">
        <v>0</v>
      </c>
      <c r="AI106" s="4">
        <v>6</v>
      </c>
      <c r="AJ106" s="4">
        <v>2</v>
      </c>
      <c r="AK106" s="4">
        <v>17</v>
      </c>
      <c r="AL106" s="4">
        <v>0</v>
      </c>
      <c r="AM106" s="4">
        <v>9</v>
      </c>
      <c r="AN106" s="4">
        <v>0</v>
      </c>
      <c r="AO106" s="4">
        <v>0</v>
      </c>
      <c r="AP106" s="3" t="s">
        <v>58</v>
      </c>
      <c r="AQ106" s="3" t="s">
        <v>103</v>
      </c>
      <c r="AR106" s="6" t="str">
        <f>HYPERLINK("http://catalog.hathitrust.org/Record/002551542","HathiTrust Record")</f>
        <v>HathiTrust Record</v>
      </c>
      <c r="AS106" s="6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T106" s="6" t="str">
        <f>HYPERLINK("http://www.worldcat.org/oclc/24284338","WorldCat Record")</f>
        <v>WorldCat Record</v>
      </c>
    </row>
    <row r="107" spans="1:46" ht="30" customHeight="1" x14ac:dyDescent="0.25">
      <c r="A107" s="8" t="s">
        <v>58</v>
      </c>
      <c r="B107" s="2" t="s">
        <v>1131</v>
      </c>
      <c r="C107" s="2" t="s">
        <v>1132</v>
      </c>
      <c r="D107" s="2" t="s">
        <v>1133</v>
      </c>
      <c r="F107" s="3" t="s">
        <v>58</v>
      </c>
      <c r="G107" s="3" t="s">
        <v>1141</v>
      </c>
      <c r="H107" s="3" t="s">
        <v>103</v>
      </c>
      <c r="I107" s="3" t="s">
        <v>103</v>
      </c>
      <c r="J107" s="3" t="s">
        <v>59</v>
      </c>
      <c r="K107" s="2" t="s">
        <v>1134</v>
      </c>
      <c r="L107" s="2" t="s">
        <v>1135</v>
      </c>
      <c r="M107" s="3" t="s">
        <v>766</v>
      </c>
      <c r="N107" s="2" t="s">
        <v>1136</v>
      </c>
      <c r="O107" s="3" t="s">
        <v>64</v>
      </c>
      <c r="P107" s="3" t="s">
        <v>315</v>
      </c>
      <c r="R107" s="3" t="s">
        <v>912</v>
      </c>
      <c r="S107" s="4">
        <v>121</v>
      </c>
      <c r="T107" s="4">
        <v>326</v>
      </c>
      <c r="U107" s="5" t="s">
        <v>1138</v>
      </c>
      <c r="V107" s="5" t="s">
        <v>1138</v>
      </c>
      <c r="W107" s="5" t="s">
        <v>1140</v>
      </c>
      <c r="X107" s="5" t="s">
        <v>1140</v>
      </c>
      <c r="Y107" s="4">
        <v>364</v>
      </c>
      <c r="Z107" s="4">
        <v>229</v>
      </c>
      <c r="AA107" s="4">
        <v>1226</v>
      </c>
      <c r="AB107" s="4">
        <v>1</v>
      </c>
      <c r="AC107" s="4">
        <v>11</v>
      </c>
      <c r="AD107" s="4">
        <v>3</v>
      </c>
      <c r="AE107" s="4">
        <v>43</v>
      </c>
      <c r="AF107" s="4">
        <v>1</v>
      </c>
      <c r="AG107" s="4">
        <v>19</v>
      </c>
      <c r="AH107" s="4">
        <v>0</v>
      </c>
      <c r="AI107" s="4">
        <v>6</v>
      </c>
      <c r="AJ107" s="4">
        <v>2</v>
      </c>
      <c r="AK107" s="4">
        <v>17</v>
      </c>
      <c r="AL107" s="4">
        <v>0</v>
      </c>
      <c r="AM107" s="4">
        <v>9</v>
      </c>
      <c r="AN107" s="4">
        <v>0</v>
      </c>
      <c r="AO107" s="4">
        <v>0</v>
      </c>
      <c r="AP107" s="3" t="s">
        <v>58</v>
      </c>
      <c r="AQ107" s="3" t="s">
        <v>103</v>
      </c>
      <c r="AR107" s="6" t="str">
        <f>HYPERLINK("http://catalog.hathitrust.org/Record/002551542","HathiTrust Record")</f>
        <v>HathiTrust Record</v>
      </c>
      <c r="AS107" s="6" t="str">
        <f>HYPERLINK("https://creighton-primo.hosted.exlibrisgroup.com/primo-explore/search?tab=default_tab&amp;search_scope=EVERYTHING&amp;vid=01CRU&amp;lang=en_US&amp;offset=0&amp;query=any,contains,991001306869702656","Catalog Record")</f>
        <v>Catalog Record</v>
      </c>
      <c r="AT107" s="6" t="str">
        <f>HYPERLINK("http://www.worldcat.org/oclc/24284338","WorldCat Record")</f>
        <v>WorldCat Record</v>
      </c>
    </row>
    <row r="108" spans="1:46" ht="30" customHeight="1" x14ac:dyDescent="0.25">
      <c r="A108" s="8" t="s">
        <v>58</v>
      </c>
      <c r="B108" s="2" t="s">
        <v>1142</v>
      </c>
      <c r="C108" s="2" t="s">
        <v>1143</v>
      </c>
      <c r="D108" s="2" t="s">
        <v>1144</v>
      </c>
      <c r="F108" s="3" t="s">
        <v>58</v>
      </c>
      <c r="G108" s="3" t="s">
        <v>59</v>
      </c>
      <c r="H108" s="3" t="s">
        <v>58</v>
      </c>
      <c r="I108" s="3" t="s">
        <v>58</v>
      </c>
      <c r="J108" s="3" t="s">
        <v>60</v>
      </c>
      <c r="K108" s="2" t="s">
        <v>1145</v>
      </c>
      <c r="L108" s="2" t="s">
        <v>1146</v>
      </c>
      <c r="M108" s="3" t="s">
        <v>1147</v>
      </c>
      <c r="N108" s="2" t="s">
        <v>461</v>
      </c>
      <c r="O108" s="3" t="s">
        <v>64</v>
      </c>
      <c r="P108" s="3" t="s">
        <v>65</v>
      </c>
      <c r="R108" s="3" t="s">
        <v>912</v>
      </c>
      <c r="S108" s="4">
        <v>3</v>
      </c>
      <c r="T108" s="4">
        <v>3</v>
      </c>
      <c r="U108" s="5" t="s">
        <v>1148</v>
      </c>
      <c r="V108" s="5" t="s">
        <v>1148</v>
      </c>
      <c r="W108" s="5" t="s">
        <v>1054</v>
      </c>
      <c r="X108" s="5" t="s">
        <v>1054</v>
      </c>
      <c r="Y108" s="4">
        <v>106</v>
      </c>
      <c r="Z108" s="4">
        <v>98</v>
      </c>
      <c r="AA108" s="4">
        <v>217</v>
      </c>
      <c r="AB108" s="4">
        <v>2</v>
      </c>
      <c r="AC108" s="4">
        <v>2</v>
      </c>
      <c r="AD108" s="4">
        <v>1</v>
      </c>
      <c r="AE108" s="4">
        <v>5</v>
      </c>
      <c r="AF108" s="4">
        <v>0</v>
      </c>
      <c r="AG108" s="4">
        <v>2</v>
      </c>
      <c r="AH108" s="4">
        <v>0</v>
      </c>
      <c r="AI108" s="4">
        <v>2</v>
      </c>
      <c r="AJ108" s="4">
        <v>0</v>
      </c>
      <c r="AK108" s="4">
        <v>0</v>
      </c>
      <c r="AL108" s="4">
        <v>1</v>
      </c>
      <c r="AM108" s="4">
        <v>1</v>
      </c>
      <c r="AN108" s="4">
        <v>0</v>
      </c>
      <c r="AO108" s="4">
        <v>0</v>
      </c>
      <c r="AP108" s="3" t="s">
        <v>58</v>
      </c>
      <c r="AQ108" s="3" t="s">
        <v>58</v>
      </c>
      <c r="AR108" s="6" t="str">
        <f>HYPERLINK("http://catalog.hathitrust.org/Record/001576560","HathiTrust Record")</f>
        <v>HathiTrust Record</v>
      </c>
      <c r="AS108" s="6" t="str">
        <f>HYPERLINK("https://creighton-primo.hosted.exlibrisgroup.com/primo-explore/search?tab=default_tab&amp;search_scope=EVERYTHING&amp;vid=01CRU&amp;lang=en_US&amp;offset=0&amp;query=any,contains,991000846339702656","Catalog Record")</f>
        <v>Catalog Record</v>
      </c>
      <c r="AT108" s="6" t="str">
        <f>HYPERLINK("http://www.worldcat.org/oclc/4320447","WorldCat Record")</f>
        <v>WorldCat Record</v>
      </c>
    </row>
    <row r="109" spans="1:46" ht="30" customHeight="1" x14ac:dyDescent="0.25">
      <c r="A109" s="8" t="s">
        <v>58</v>
      </c>
      <c r="B109" s="2" t="s">
        <v>1149</v>
      </c>
      <c r="C109" s="2" t="s">
        <v>1150</v>
      </c>
      <c r="D109" s="2" t="s">
        <v>1151</v>
      </c>
      <c r="F109" s="3" t="s">
        <v>58</v>
      </c>
      <c r="G109" s="3" t="s">
        <v>59</v>
      </c>
      <c r="H109" s="3" t="s">
        <v>58</v>
      </c>
      <c r="I109" s="3" t="s">
        <v>58</v>
      </c>
      <c r="J109" s="3" t="s">
        <v>60</v>
      </c>
      <c r="K109" s="2" t="s">
        <v>1152</v>
      </c>
      <c r="L109" s="2" t="s">
        <v>1153</v>
      </c>
      <c r="M109" s="3" t="s">
        <v>431</v>
      </c>
      <c r="O109" s="3" t="s">
        <v>64</v>
      </c>
      <c r="P109" s="3" t="s">
        <v>315</v>
      </c>
      <c r="R109" s="3" t="s">
        <v>912</v>
      </c>
      <c r="S109" s="4">
        <v>3</v>
      </c>
      <c r="T109" s="4">
        <v>3</v>
      </c>
      <c r="U109" s="5" t="s">
        <v>1154</v>
      </c>
      <c r="V109" s="5" t="s">
        <v>1154</v>
      </c>
      <c r="W109" s="5" t="s">
        <v>1054</v>
      </c>
      <c r="X109" s="5" t="s">
        <v>1054</v>
      </c>
      <c r="Y109" s="4">
        <v>61</v>
      </c>
      <c r="Z109" s="4">
        <v>51</v>
      </c>
      <c r="AA109" s="4">
        <v>51</v>
      </c>
      <c r="AB109" s="4">
        <v>2</v>
      </c>
      <c r="AC109" s="4">
        <v>2</v>
      </c>
      <c r="AD109" s="4">
        <v>1</v>
      </c>
      <c r="AE109" s="4">
        <v>1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1</v>
      </c>
      <c r="AM109" s="4">
        <v>1</v>
      </c>
      <c r="AN109" s="4">
        <v>0</v>
      </c>
      <c r="AO109" s="4">
        <v>0</v>
      </c>
      <c r="AP109" s="3" t="s">
        <v>58</v>
      </c>
      <c r="AQ109" s="3" t="s">
        <v>58</v>
      </c>
      <c r="AS109" s="6" t="str">
        <f>HYPERLINK("https://creighton-primo.hosted.exlibrisgroup.com/primo-explore/search?tab=default_tab&amp;search_scope=EVERYTHING&amp;vid=01CRU&amp;lang=en_US&amp;offset=0&amp;query=any,contains,991000846379702656","Catalog Record")</f>
        <v>Catalog Record</v>
      </c>
      <c r="AT109" s="6" t="str">
        <f>HYPERLINK("http://www.worldcat.org/oclc/5196757","WorldCat Record")</f>
        <v>WorldCat Record</v>
      </c>
    </row>
    <row r="110" spans="1:46" ht="30" customHeight="1" x14ac:dyDescent="0.25">
      <c r="A110" s="8" t="s">
        <v>58</v>
      </c>
      <c r="B110" s="2" t="s">
        <v>1155</v>
      </c>
      <c r="C110" s="2" t="s">
        <v>1156</v>
      </c>
      <c r="D110" s="2" t="s">
        <v>1157</v>
      </c>
      <c r="F110" s="3" t="s">
        <v>58</v>
      </c>
      <c r="G110" s="3" t="s">
        <v>59</v>
      </c>
      <c r="H110" s="3" t="s">
        <v>58</v>
      </c>
      <c r="I110" s="3" t="s">
        <v>58</v>
      </c>
      <c r="J110" s="3" t="s">
        <v>60</v>
      </c>
      <c r="K110" s="2" t="s">
        <v>1158</v>
      </c>
      <c r="L110" s="2" t="s">
        <v>1159</v>
      </c>
      <c r="M110" s="3" t="s">
        <v>176</v>
      </c>
      <c r="N110" s="2" t="s">
        <v>1160</v>
      </c>
      <c r="O110" s="3" t="s">
        <v>64</v>
      </c>
      <c r="P110" s="3" t="s">
        <v>133</v>
      </c>
      <c r="R110" s="3" t="s">
        <v>912</v>
      </c>
      <c r="S110" s="4">
        <v>34</v>
      </c>
      <c r="T110" s="4">
        <v>34</v>
      </c>
      <c r="U110" s="5" t="s">
        <v>1161</v>
      </c>
      <c r="V110" s="5" t="s">
        <v>1161</v>
      </c>
      <c r="W110" s="5" t="s">
        <v>1054</v>
      </c>
      <c r="X110" s="5" t="s">
        <v>1054</v>
      </c>
      <c r="Y110" s="4">
        <v>216</v>
      </c>
      <c r="Z110" s="4">
        <v>200</v>
      </c>
      <c r="AA110" s="4">
        <v>203</v>
      </c>
      <c r="AB110" s="4">
        <v>1</v>
      </c>
      <c r="AC110" s="4">
        <v>1</v>
      </c>
      <c r="AD110" s="4">
        <v>1</v>
      </c>
      <c r="AE110" s="4">
        <v>1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1</v>
      </c>
      <c r="AO110" s="4">
        <v>1</v>
      </c>
      <c r="AP110" s="3" t="s">
        <v>58</v>
      </c>
      <c r="AQ110" s="3" t="s">
        <v>58</v>
      </c>
      <c r="AS110" s="6" t="str">
        <f>HYPERLINK("https://creighton-primo.hosted.exlibrisgroup.com/primo-explore/search?tab=default_tab&amp;search_scope=EVERYTHING&amp;vid=01CRU&amp;lang=en_US&amp;offset=0&amp;query=any,contains,991000846279702656","Catalog Record")</f>
        <v>Catalog Record</v>
      </c>
      <c r="AT110" s="6" t="str">
        <f>HYPERLINK("http://www.worldcat.org/oclc/1250","WorldCat Record")</f>
        <v>WorldCat Record</v>
      </c>
    </row>
    <row r="111" spans="1:46" ht="30" customHeight="1" x14ac:dyDescent="0.25">
      <c r="A111" s="8" t="s">
        <v>58</v>
      </c>
      <c r="B111" s="2" t="s">
        <v>1162</v>
      </c>
      <c r="C111" s="2" t="s">
        <v>1163</v>
      </c>
      <c r="D111" s="2" t="s">
        <v>1164</v>
      </c>
      <c r="F111" s="3" t="s">
        <v>58</v>
      </c>
      <c r="G111" s="3" t="s">
        <v>59</v>
      </c>
      <c r="H111" s="3" t="s">
        <v>58</v>
      </c>
      <c r="I111" s="3" t="s">
        <v>58</v>
      </c>
      <c r="J111" s="3" t="s">
        <v>60</v>
      </c>
      <c r="K111" s="2" t="s">
        <v>1165</v>
      </c>
      <c r="L111" s="2" t="s">
        <v>1166</v>
      </c>
      <c r="M111" s="3" t="s">
        <v>867</v>
      </c>
      <c r="O111" s="3" t="s">
        <v>64</v>
      </c>
      <c r="P111" s="3" t="s">
        <v>1167</v>
      </c>
      <c r="R111" s="3" t="s">
        <v>912</v>
      </c>
      <c r="S111" s="4">
        <v>24</v>
      </c>
      <c r="T111" s="4">
        <v>24</v>
      </c>
      <c r="U111" s="5" t="s">
        <v>1168</v>
      </c>
      <c r="V111" s="5" t="s">
        <v>1168</v>
      </c>
      <c r="W111" s="5" t="s">
        <v>1054</v>
      </c>
      <c r="X111" s="5" t="s">
        <v>1054</v>
      </c>
      <c r="Y111" s="4">
        <v>96</v>
      </c>
      <c r="Z111" s="4">
        <v>76</v>
      </c>
      <c r="AA111" s="4">
        <v>76</v>
      </c>
      <c r="AB111" s="4">
        <v>2</v>
      </c>
      <c r="AC111" s="4">
        <v>2</v>
      </c>
      <c r="AD111" s="4">
        <v>3</v>
      </c>
      <c r="AE111" s="4">
        <v>3</v>
      </c>
      <c r="AF111" s="4">
        <v>0</v>
      </c>
      <c r="AG111" s="4">
        <v>0</v>
      </c>
      <c r="AH111" s="4">
        <v>1</v>
      </c>
      <c r="AI111" s="4">
        <v>1</v>
      </c>
      <c r="AJ111" s="4">
        <v>1</v>
      </c>
      <c r="AK111" s="4">
        <v>1</v>
      </c>
      <c r="AL111" s="4">
        <v>1</v>
      </c>
      <c r="AM111" s="4">
        <v>1</v>
      </c>
      <c r="AN111" s="4">
        <v>0</v>
      </c>
      <c r="AO111" s="4">
        <v>0</v>
      </c>
      <c r="AP111" s="3" t="s">
        <v>58</v>
      </c>
      <c r="AQ111" s="3" t="s">
        <v>58</v>
      </c>
      <c r="AS111" s="6" t="str">
        <f>HYPERLINK("https://creighton-primo.hosted.exlibrisgroup.com/primo-explore/search?tab=default_tab&amp;search_scope=EVERYTHING&amp;vid=01CRU&amp;lang=en_US&amp;offset=0&amp;query=any,contains,991000846419702656","Catalog Record")</f>
        <v>Catalog Record</v>
      </c>
      <c r="AT111" s="6" t="str">
        <f>HYPERLINK("http://www.worldcat.org/oclc/2401424","WorldCat Record")</f>
        <v>WorldCat Record</v>
      </c>
    </row>
    <row r="112" spans="1:46" ht="30" customHeight="1" x14ac:dyDescent="0.25">
      <c r="A112" s="8" t="s">
        <v>58</v>
      </c>
      <c r="B112" s="2" t="s">
        <v>1169</v>
      </c>
      <c r="C112" s="2" t="s">
        <v>1170</v>
      </c>
      <c r="D112" s="2" t="s">
        <v>1171</v>
      </c>
      <c r="F112" s="3" t="s">
        <v>58</v>
      </c>
      <c r="G112" s="3" t="s">
        <v>59</v>
      </c>
      <c r="H112" s="3" t="s">
        <v>58</v>
      </c>
      <c r="I112" s="3" t="s">
        <v>58</v>
      </c>
      <c r="J112" s="3" t="s">
        <v>60</v>
      </c>
      <c r="K112" s="2" t="s">
        <v>1172</v>
      </c>
      <c r="L112" s="2" t="s">
        <v>1173</v>
      </c>
      <c r="M112" s="3" t="s">
        <v>431</v>
      </c>
      <c r="O112" s="3" t="s">
        <v>64</v>
      </c>
      <c r="P112" s="3" t="s">
        <v>133</v>
      </c>
      <c r="R112" s="3" t="s">
        <v>912</v>
      </c>
      <c r="S112" s="4">
        <v>14</v>
      </c>
      <c r="T112" s="4">
        <v>14</v>
      </c>
      <c r="U112" s="5" t="s">
        <v>1174</v>
      </c>
      <c r="V112" s="5" t="s">
        <v>1174</v>
      </c>
      <c r="W112" s="5" t="s">
        <v>914</v>
      </c>
      <c r="X112" s="5" t="s">
        <v>914</v>
      </c>
      <c r="Y112" s="4">
        <v>121</v>
      </c>
      <c r="Z112" s="4">
        <v>74</v>
      </c>
      <c r="AA112" s="4">
        <v>130</v>
      </c>
      <c r="AB112" s="4">
        <v>1</v>
      </c>
      <c r="AC112" s="4">
        <v>1</v>
      </c>
      <c r="AD112" s="4">
        <v>1</v>
      </c>
      <c r="AE112" s="4">
        <v>2</v>
      </c>
      <c r="AF112" s="4">
        <v>0</v>
      </c>
      <c r="AG112" s="4">
        <v>0</v>
      </c>
      <c r="AH112" s="4">
        <v>1</v>
      </c>
      <c r="AI112" s="4">
        <v>2</v>
      </c>
      <c r="AJ112" s="4">
        <v>0</v>
      </c>
      <c r="AK112" s="4">
        <v>1</v>
      </c>
      <c r="AL112" s="4">
        <v>0</v>
      </c>
      <c r="AM112" s="4">
        <v>0</v>
      </c>
      <c r="AN112" s="4">
        <v>0</v>
      </c>
      <c r="AO112" s="4">
        <v>0</v>
      </c>
      <c r="AP112" s="3" t="s">
        <v>58</v>
      </c>
      <c r="AQ112" s="3" t="s">
        <v>58</v>
      </c>
      <c r="AS112" s="6" t="str">
        <f>HYPERLINK("https://creighton-primo.hosted.exlibrisgroup.com/primo-explore/search?tab=default_tab&amp;search_scope=EVERYTHING&amp;vid=01CRU&amp;lang=en_US&amp;offset=0&amp;query=any,contains,991000745919702656","Catalog Record")</f>
        <v>Catalog Record</v>
      </c>
      <c r="AT112" s="6" t="str">
        <f>HYPERLINK("http://www.worldcat.org/oclc/4957201","WorldCat Record")</f>
        <v>WorldCat Record</v>
      </c>
    </row>
    <row r="113" spans="1:46" ht="30" customHeight="1" x14ac:dyDescent="0.25">
      <c r="A113" s="8" t="s">
        <v>58</v>
      </c>
      <c r="B113" s="2" t="s">
        <v>1175</v>
      </c>
      <c r="C113" s="2" t="s">
        <v>1176</v>
      </c>
      <c r="D113" s="2" t="s">
        <v>1177</v>
      </c>
      <c r="F113" s="3" t="s">
        <v>58</v>
      </c>
      <c r="G113" s="3" t="s">
        <v>59</v>
      </c>
      <c r="H113" s="3" t="s">
        <v>58</v>
      </c>
      <c r="I113" s="3" t="s">
        <v>103</v>
      </c>
      <c r="J113" s="3" t="s">
        <v>60</v>
      </c>
      <c r="K113" s="2" t="s">
        <v>1178</v>
      </c>
      <c r="L113" s="2" t="s">
        <v>1179</v>
      </c>
      <c r="M113" s="3" t="s">
        <v>1180</v>
      </c>
      <c r="N113" s="2" t="s">
        <v>331</v>
      </c>
      <c r="O113" s="3" t="s">
        <v>64</v>
      </c>
      <c r="P113" s="3" t="s">
        <v>346</v>
      </c>
      <c r="R113" s="3" t="s">
        <v>912</v>
      </c>
      <c r="S113" s="4">
        <v>23</v>
      </c>
      <c r="T113" s="4">
        <v>23</v>
      </c>
      <c r="U113" s="5" t="s">
        <v>1181</v>
      </c>
      <c r="V113" s="5" t="s">
        <v>1181</v>
      </c>
      <c r="W113" s="5" t="s">
        <v>914</v>
      </c>
      <c r="X113" s="5" t="s">
        <v>914</v>
      </c>
      <c r="Y113" s="4">
        <v>157</v>
      </c>
      <c r="Z113" s="4">
        <v>104</v>
      </c>
      <c r="AA113" s="4">
        <v>408</v>
      </c>
      <c r="AB113" s="4">
        <v>2</v>
      </c>
      <c r="AC113" s="4">
        <v>3</v>
      </c>
      <c r="AD113" s="4">
        <v>1</v>
      </c>
      <c r="AE113" s="4">
        <v>11</v>
      </c>
      <c r="AF113" s="4">
        <v>0</v>
      </c>
      <c r="AG113" s="4">
        <v>3</v>
      </c>
      <c r="AH113" s="4">
        <v>0</v>
      </c>
      <c r="AI113" s="4">
        <v>4</v>
      </c>
      <c r="AJ113" s="4">
        <v>0</v>
      </c>
      <c r="AK113" s="4">
        <v>6</v>
      </c>
      <c r="AL113" s="4">
        <v>1</v>
      </c>
      <c r="AM113" s="4">
        <v>2</v>
      </c>
      <c r="AN113" s="4">
        <v>0</v>
      </c>
      <c r="AO113" s="4">
        <v>0</v>
      </c>
      <c r="AP113" s="3" t="s">
        <v>58</v>
      </c>
      <c r="AQ113" s="3" t="s">
        <v>103</v>
      </c>
      <c r="AR113" s="6" t="str">
        <f>HYPERLINK("http://catalog.hathitrust.org/Record/004415898","HathiTrust Record")</f>
        <v>HathiTrust Record</v>
      </c>
      <c r="AS113" s="6" t="str">
        <f>HYPERLINK("https://creighton-primo.hosted.exlibrisgroup.com/primo-explore/search?tab=default_tab&amp;search_scope=EVERYTHING&amp;vid=01CRU&amp;lang=en_US&amp;offset=0&amp;query=any,contains,991000745969702656","Catalog Record")</f>
        <v>Catalog Record</v>
      </c>
      <c r="AT113" s="6" t="str">
        <f>HYPERLINK("http://www.worldcat.org/oclc/7837047","WorldCat Record")</f>
        <v>WorldCat Record</v>
      </c>
    </row>
    <row r="114" spans="1:46" ht="30" customHeight="1" x14ac:dyDescent="0.25">
      <c r="A114" s="8" t="s">
        <v>58</v>
      </c>
      <c r="B114" s="2" t="s">
        <v>1182</v>
      </c>
      <c r="C114" s="2" t="s">
        <v>1183</v>
      </c>
      <c r="D114" s="2" t="s">
        <v>1184</v>
      </c>
      <c r="F114" s="3" t="s">
        <v>58</v>
      </c>
      <c r="G114" s="3" t="s">
        <v>59</v>
      </c>
      <c r="H114" s="3" t="s">
        <v>58</v>
      </c>
      <c r="I114" s="3" t="s">
        <v>58</v>
      </c>
      <c r="J114" s="3" t="s">
        <v>60</v>
      </c>
      <c r="K114" s="2" t="s">
        <v>1185</v>
      </c>
      <c r="L114" s="2" t="s">
        <v>1186</v>
      </c>
      <c r="M114" s="3" t="s">
        <v>1187</v>
      </c>
      <c r="N114" s="2" t="s">
        <v>1038</v>
      </c>
      <c r="O114" s="3" t="s">
        <v>64</v>
      </c>
      <c r="P114" s="3" t="s">
        <v>911</v>
      </c>
      <c r="Q114" s="2" t="s">
        <v>1188</v>
      </c>
      <c r="R114" s="3" t="s">
        <v>912</v>
      </c>
      <c r="S114" s="4">
        <v>85</v>
      </c>
      <c r="T114" s="4">
        <v>85</v>
      </c>
      <c r="U114" s="5" t="s">
        <v>958</v>
      </c>
      <c r="V114" s="5" t="s">
        <v>958</v>
      </c>
      <c r="W114" s="5" t="s">
        <v>1189</v>
      </c>
      <c r="X114" s="5" t="s">
        <v>1189</v>
      </c>
      <c r="Y114" s="4">
        <v>223</v>
      </c>
      <c r="Z114" s="4">
        <v>147</v>
      </c>
      <c r="AA114" s="4">
        <v>402</v>
      </c>
      <c r="AB114" s="4">
        <v>1</v>
      </c>
      <c r="AC114" s="4">
        <v>3</v>
      </c>
      <c r="AD114" s="4">
        <v>2</v>
      </c>
      <c r="AE114" s="4">
        <v>7</v>
      </c>
      <c r="AF114" s="4">
        <v>0</v>
      </c>
      <c r="AG114" s="4">
        <v>1</v>
      </c>
      <c r="AH114" s="4">
        <v>1</v>
      </c>
      <c r="AI114" s="4">
        <v>2</v>
      </c>
      <c r="AJ114" s="4">
        <v>2</v>
      </c>
      <c r="AK114" s="4">
        <v>4</v>
      </c>
      <c r="AL114" s="4">
        <v>0</v>
      </c>
      <c r="AM114" s="4">
        <v>1</v>
      </c>
      <c r="AN114" s="4">
        <v>0</v>
      </c>
      <c r="AO114" s="4">
        <v>0</v>
      </c>
      <c r="AP114" s="3" t="s">
        <v>58</v>
      </c>
      <c r="AQ114" s="3" t="s">
        <v>58</v>
      </c>
      <c r="AS114" s="6" t="str">
        <f>HYPERLINK("https://creighton-primo.hosted.exlibrisgroup.com/primo-explore/search?tab=default_tab&amp;search_scope=EVERYTHING&amp;vid=01CRU&amp;lang=en_US&amp;offset=0&amp;query=any,contains,991001376949702656","Catalog Record")</f>
        <v>Catalog Record</v>
      </c>
      <c r="AT114" s="6" t="str">
        <f>HYPERLINK("http://www.worldcat.org/oclc/13902701","WorldCat Record")</f>
        <v>WorldCat Record</v>
      </c>
    </row>
    <row r="115" spans="1:46" ht="30" customHeight="1" x14ac:dyDescent="0.25">
      <c r="A115" s="8" t="s">
        <v>58</v>
      </c>
      <c r="B115" s="2" t="s">
        <v>1190</v>
      </c>
      <c r="C115" s="2" t="s">
        <v>1191</v>
      </c>
      <c r="D115" s="2" t="s">
        <v>1192</v>
      </c>
      <c r="F115" s="3" t="s">
        <v>58</v>
      </c>
      <c r="G115" s="3" t="s">
        <v>59</v>
      </c>
      <c r="H115" s="3" t="s">
        <v>58</v>
      </c>
      <c r="I115" s="3" t="s">
        <v>58</v>
      </c>
      <c r="J115" s="3" t="s">
        <v>60</v>
      </c>
      <c r="K115" s="2" t="s">
        <v>1193</v>
      </c>
      <c r="L115" s="2" t="s">
        <v>1194</v>
      </c>
      <c r="M115" s="3" t="s">
        <v>881</v>
      </c>
      <c r="N115" s="2" t="s">
        <v>1195</v>
      </c>
      <c r="O115" s="3" t="s">
        <v>64</v>
      </c>
      <c r="P115" s="3" t="s">
        <v>911</v>
      </c>
      <c r="R115" s="3" t="s">
        <v>912</v>
      </c>
      <c r="S115" s="4">
        <v>13</v>
      </c>
      <c r="T115" s="4">
        <v>13</v>
      </c>
      <c r="U115" s="5" t="s">
        <v>821</v>
      </c>
      <c r="V115" s="5" t="s">
        <v>821</v>
      </c>
      <c r="W115" s="5" t="s">
        <v>1196</v>
      </c>
      <c r="X115" s="5" t="s">
        <v>1196</v>
      </c>
      <c r="Y115" s="4">
        <v>102</v>
      </c>
      <c r="Z115" s="4">
        <v>72</v>
      </c>
      <c r="AA115" s="4">
        <v>75</v>
      </c>
      <c r="AB115" s="4">
        <v>1</v>
      </c>
      <c r="AC115" s="4">
        <v>1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3" t="s">
        <v>58</v>
      </c>
      <c r="AQ115" s="3" t="s">
        <v>103</v>
      </c>
      <c r="AR115" s="6" t="str">
        <f>HYPERLINK("http://catalog.hathitrust.org/Record/001536913","HathiTrust Record")</f>
        <v>HathiTrust Record</v>
      </c>
      <c r="AS115" s="6" t="str">
        <f>HYPERLINK("https://creighton-primo.hosted.exlibrisgroup.com/primo-explore/search?tab=default_tab&amp;search_scope=EVERYTHING&amp;vid=01CRU&amp;lang=en_US&amp;offset=0&amp;query=any,contains,991001356419702656","Catalog Record")</f>
        <v>Catalog Record</v>
      </c>
      <c r="AT115" s="6" t="str">
        <f>HYPERLINK("http://www.worldcat.org/oclc/18350992","WorldCat Record")</f>
        <v>WorldCat Record</v>
      </c>
    </row>
    <row r="116" spans="1:46" ht="30" customHeight="1" x14ac:dyDescent="0.25">
      <c r="A116" s="8" t="s">
        <v>58</v>
      </c>
      <c r="B116" s="2" t="s">
        <v>1197</v>
      </c>
      <c r="C116" s="2" t="s">
        <v>1198</v>
      </c>
      <c r="D116" s="2" t="s">
        <v>1199</v>
      </c>
      <c r="F116" s="3" t="s">
        <v>58</v>
      </c>
      <c r="G116" s="3" t="s">
        <v>59</v>
      </c>
      <c r="H116" s="3" t="s">
        <v>58</v>
      </c>
      <c r="I116" s="3" t="s">
        <v>58</v>
      </c>
      <c r="J116" s="3" t="s">
        <v>60</v>
      </c>
      <c r="K116" s="2" t="s">
        <v>1200</v>
      </c>
      <c r="L116" s="2" t="s">
        <v>1201</v>
      </c>
      <c r="M116" s="3" t="s">
        <v>83</v>
      </c>
      <c r="N116" s="2" t="s">
        <v>1038</v>
      </c>
      <c r="O116" s="3" t="s">
        <v>64</v>
      </c>
      <c r="P116" s="3" t="s">
        <v>133</v>
      </c>
      <c r="R116" s="3" t="s">
        <v>912</v>
      </c>
      <c r="S116" s="4">
        <v>25</v>
      </c>
      <c r="T116" s="4">
        <v>25</v>
      </c>
      <c r="U116" s="5" t="s">
        <v>1202</v>
      </c>
      <c r="V116" s="5" t="s">
        <v>1202</v>
      </c>
      <c r="W116" s="5" t="s">
        <v>1203</v>
      </c>
      <c r="X116" s="5" t="s">
        <v>1203</v>
      </c>
      <c r="Y116" s="4">
        <v>103</v>
      </c>
      <c r="Z116" s="4">
        <v>62</v>
      </c>
      <c r="AA116" s="4">
        <v>224</v>
      </c>
      <c r="AB116" s="4">
        <v>1</v>
      </c>
      <c r="AC116" s="4">
        <v>1</v>
      </c>
      <c r="AD116" s="4">
        <v>0</v>
      </c>
      <c r="AE116" s="4">
        <v>2</v>
      </c>
      <c r="AF116" s="4">
        <v>0</v>
      </c>
      <c r="AG116" s="4">
        <v>1</v>
      </c>
      <c r="AH116" s="4">
        <v>0</v>
      </c>
      <c r="AI116" s="4">
        <v>2</v>
      </c>
      <c r="AJ116" s="4">
        <v>0</v>
      </c>
      <c r="AK116" s="4">
        <v>1</v>
      </c>
      <c r="AL116" s="4">
        <v>0</v>
      </c>
      <c r="AM116" s="4">
        <v>0</v>
      </c>
      <c r="AN116" s="4">
        <v>0</v>
      </c>
      <c r="AO116" s="4">
        <v>0</v>
      </c>
      <c r="AP116" s="3" t="s">
        <v>58</v>
      </c>
      <c r="AQ116" s="3" t="s">
        <v>58</v>
      </c>
      <c r="AS116" s="6" t="str">
        <f>HYPERLINK("https://creighton-primo.hosted.exlibrisgroup.com/primo-explore/search?tab=default_tab&amp;search_scope=EVERYTHING&amp;vid=01CRU&amp;lang=en_US&amp;offset=0&amp;query=any,contains,991000652369702656","Catalog Record")</f>
        <v>Catalog Record</v>
      </c>
      <c r="AT116" s="6" t="str">
        <f>HYPERLINK("http://www.worldcat.org/oclc/28224626","WorldCat Record")</f>
        <v>WorldCat Record</v>
      </c>
    </row>
    <row r="117" spans="1:46" ht="30" customHeight="1" x14ac:dyDescent="0.25">
      <c r="A117" s="8" t="s">
        <v>58</v>
      </c>
      <c r="B117" s="2" t="s">
        <v>1204</v>
      </c>
      <c r="C117" s="2" t="s">
        <v>1205</v>
      </c>
      <c r="D117" s="2" t="s">
        <v>1206</v>
      </c>
      <c r="F117" s="3" t="s">
        <v>58</v>
      </c>
      <c r="G117" s="3" t="s">
        <v>59</v>
      </c>
      <c r="H117" s="3" t="s">
        <v>58</v>
      </c>
      <c r="I117" s="3" t="s">
        <v>58</v>
      </c>
      <c r="J117" s="3" t="s">
        <v>60</v>
      </c>
      <c r="K117" s="2" t="s">
        <v>1200</v>
      </c>
      <c r="L117" s="2" t="s">
        <v>1207</v>
      </c>
      <c r="M117" s="3" t="s">
        <v>1128</v>
      </c>
      <c r="N117" s="2" t="s">
        <v>1208</v>
      </c>
      <c r="O117" s="3" t="s">
        <v>64</v>
      </c>
      <c r="P117" s="3" t="s">
        <v>133</v>
      </c>
      <c r="R117" s="3" t="s">
        <v>912</v>
      </c>
      <c r="S117" s="4">
        <v>32</v>
      </c>
      <c r="T117" s="4">
        <v>32</v>
      </c>
      <c r="U117" s="5" t="s">
        <v>1209</v>
      </c>
      <c r="V117" s="5" t="s">
        <v>1209</v>
      </c>
      <c r="W117" s="5" t="s">
        <v>1210</v>
      </c>
      <c r="X117" s="5" t="s">
        <v>1210</v>
      </c>
      <c r="Y117" s="4">
        <v>137</v>
      </c>
      <c r="Z117" s="4">
        <v>70</v>
      </c>
      <c r="AA117" s="4">
        <v>561</v>
      </c>
      <c r="AB117" s="4">
        <v>1</v>
      </c>
      <c r="AC117" s="4">
        <v>1</v>
      </c>
      <c r="AD117" s="4">
        <v>1</v>
      </c>
      <c r="AE117" s="4">
        <v>10</v>
      </c>
      <c r="AF117" s="4">
        <v>0</v>
      </c>
      <c r="AG117" s="4">
        <v>5</v>
      </c>
      <c r="AH117" s="4">
        <v>0</v>
      </c>
      <c r="AI117" s="4">
        <v>2</v>
      </c>
      <c r="AJ117" s="4">
        <v>1</v>
      </c>
      <c r="AK117" s="4">
        <v>4</v>
      </c>
      <c r="AL117" s="4">
        <v>0</v>
      </c>
      <c r="AM117" s="4">
        <v>0</v>
      </c>
      <c r="AN117" s="4">
        <v>0</v>
      </c>
      <c r="AO117" s="4">
        <v>0</v>
      </c>
      <c r="AP117" s="3" t="s">
        <v>58</v>
      </c>
      <c r="AQ117" s="3" t="s">
        <v>58</v>
      </c>
      <c r="AS117" s="6" t="str">
        <f>HYPERLINK("https://creighton-primo.hosted.exlibrisgroup.com/primo-explore/search?tab=default_tab&amp;search_scope=EVERYTHING&amp;vid=01CRU&amp;lang=en_US&amp;offset=0&amp;query=any,contains,991001407649702656","Catalog Record")</f>
        <v>Catalog Record</v>
      </c>
      <c r="AT117" s="6" t="str">
        <f>HYPERLINK("http://www.worldcat.org/oclc/824654621","WorldCat Record")</f>
        <v>WorldCat Record</v>
      </c>
    </row>
    <row r="118" spans="1:46" ht="30" customHeight="1" x14ac:dyDescent="0.25">
      <c r="A118" s="8" t="s">
        <v>58</v>
      </c>
      <c r="B118" s="2" t="s">
        <v>1211</v>
      </c>
      <c r="C118" s="2" t="s">
        <v>1212</v>
      </c>
      <c r="D118" s="2" t="s">
        <v>1213</v>
      </c>
      <c r="E118" s="3" t="s">
        <v>1214</v>
      </c>
      <c r="F118" s="3" t="s">
        <v>58</v>
      </c>
      <c r="G118" s="3" t="s">
        <v>59</v>
      </c>
      <c r="H118" s="3" t="s">
        <v>58</v>
      </c>
      <c r="I118" s="3" t="s">
        <v>58</v>
      </c>
      <c r="J118" s="3" t="s">
        <v>60</v>
      </c>
      <c r="K118" s="2" t="s">
        <v>1200</v>
      </c>
      <c r="L118" s="2" t="s">
        <v>1215</v>
      </c>
      <c r="M118" s="3" t="s">
        <v>949</v>
      </c>
      <c r="O118" s="3" t="s">
        <v>64</v>
      </c>
      <c r="P118" s="3" t="s">
        <v>133</v>
      </c>
      <c r="R118" s="3" t="s">
        <v>912</v>
      </c>
      <c r="S118" s="4">
        <v>8</v>
      </c>
      <c r="T118" s="4">
        <v>8</v>
      </c>
      <c r="U118" s="5" t="s">
        <v>1216</v>
      </c>
      <c r="V118" s="5" t="s">
        <v>1216</v>
      </c>
      <c r="W118" s="5" t="s">
        <v>1210</v>
      </c>
      <c r="X118" s="5" t="s">
        <v>1210</v>
      </c>
      <c r="Y118" s="4">
        <v>262</v>
      </c>
      <c r="Z118" s="4">
        <v>155</v>
      </c>
      <c r="AA118" s="4">
        <v>219</v>
      </c>
      <c r="AB118" s="4">
        <v>1</v>
      </c>
      <c r="AC118" s="4">
        <v>2</v>
      </c>
      <c r="AD118" s="4">
        <v>3</v>
      </c>
      <c r="AE118" s="4">
        <v>3</v>
      </c>
      <c r="AF118" s="4">
        <v>1</v>
      </c>
      <c r="AG118" s="4">
        <v>1</v>
      </c>
      <c r="AH118" s="4">
        <v>1</v>
      </c>
      <c r="AI118" s="4">
        <v>1</v>
      </c>
      <c r="AJ118" s="4">
        <v>2</v>
      </c>
      <c r="AK118" s="4">
        <v>2</v>
      </c>
      <c r="AL118" s="4">
        <v>0</v>
      </c>
      <c r="AM118" s="4">
        <v>0</v>
      </c>
      <c r="AN118" s="4">
        <v>0</v>
      </c>
      <c r="AO118" s="4">
        <v>0</v>
      </c>
      <c r="AP118" s="3" t="s">
        <v>58</v>
      </c>
      <c r="AQ118" s="3" t="s">
        <v>58</v>
      </c>
      <c r="AS118" s="6" t="str">
        <f>HYPERLINK("https://creighton-primo.hosted.exlibrisgroup.com/primo-explore/search?tab=default_tab&amp;search_scope=EVERYTHING&amp;vid=01CRU&amp;lang=en_US&amp;offset=0&amp;query=any,contains,991001442319702656","Catalog Record")</f>
        <v>Catalog Record</v>
      </c>
      <c r="AT118" s="6" t="str">
        <f>HYPERLINK("http://www.worldcat.org/oclc/43051402","WorldCat Record")</f>
        <v>WorldCat Record</v>
      </c>
    </row>
    <row r="119" spans="1:46" ht="30" customHeight="1" x14ac:dyDescent="0.25">
      <c r="A119" s="8" t="s">
        <v>58</v>
      </c>
      <c r="B119" s="2" t="s">
        <v>1217</v>
      </c>
      <c r="C119" s="2" t="s">
        <v>1218</v>
      </c>
      <c r="D119" s="2" t="s">
        <v>1219</v>
      </c>
      <c r="F119" s="3" t="s">
        <v>58</v>
      </c>
      <c r="G119" s="3" t="s">
        <v>59</v>
      </c>
      <c r="H119" s="3" t="s">
        <v>58</v>
      </c>
      <c r="I119" s="3" t="s">
        <v>103</v>
      </c>
      <c r="J119" s="3" t="s">
        <v>60</v>
      </c>
      <c r="K119" s="2" t="s">
        <v>1200</v>
      </c>
      <c r="L119" s="2" t="s">
        <v>1220</v>
      </c>
      <c r="M119" s="3" t="s">
        <v>766</v>
      </c>
      <c r="N119" s="2" t="s">
        <v>882</v>
      </c>
      <c r="O119" s="3" t="s">
        <v>64</v>
      </c>
      <c r="P119" s="3" t="s">
        <v>911</v>
      </c>
      <c r="R119" s="3" t="s">
        <v>912</v>
      </c>
      <c r="S119" s="4">
        <v>97</v>
      </c>
      <c r="T119" s="4">
        <v>97</v>
      </c>
      <c r="U119" s="5" t="s">
        <v>1221</v>
      </c>
      <c r="V119" s="5" t="s">
        <v>1221</v>
      </c>
      <c r="W119" s="5" t="s">
        <v>1222</v>
      </c>
      <c r="X119" s="5" t="s">
        <v>1222</v>
      </c>
      <c r="Y119" s="4">
        <v>132</v>
      </c>
      <c r="Z119" s="4">
        <v>96</v>
      </c>
      <c r="AA119" s="4">
        <v>668</v>
      </c>
      <c r="AB119" s="4">
        <v>1</v>
      </c>
      <c r="AC119" s="4">
        <v>9</v>
      </c>
      <c r="AD119" s="4">
        <v>1</v>
      </c>
      <c r="AE119" s="4">
        <v>19</v>
      </c>
      <c r="AF119" s="4">
        <v>0</v>
      </c>
      <c r="AG119" s="4">
        <v>6</v>
      </c>
      <c r="AH119" s="4">
        <v>0</v>
      </c>
      <c r="AI119" s="4">
        <v>2</v>
      </c>
      <c r="AJ119" s="4">
        <v>1</v>
      </c>
      <c r="AK119" s="4">
        <v>8</v>
      </c>
      <c r="AL119" s="4">
        <v>0</v>
      </c>
      <c r="AM119" s="4">
        <v>7</v>
      </c>
      <c r="AN119" s="4">
        <v>0</v>
      </c>
      <c r="AO119" s="4">
        <v>0</v>
      </c>
      <c r="AP119" s="3" t="s">
        <v>58</v>
      </c>
      <c r="AQ119" s="3" t="s">
        <v>103</v>
      </c>
      <c r="AR119" s="6" t="str">
        <f>HYPERLINK("http://catalog.hathitrust.org/Record/004983781","HathiTrust Record")</f>
        <v>HathiTrust Record</v>
      </c>
      <c r="AS119" s="6" t="str">
        <f>HYPERLINK("https://creighton-primo.hosted.exlibrisgroup.com/primo-explore/search?tab=default_tab&amp;search_scope=EVERYTHING&amp;vid=01CRU&amp;lang=en_US&amp;offset=0&amp;query=any,contains,991001305409702656","Catalog Record")</f>
        <v>Catalog Record</v>
      </c>
      <c r="AT119" s="6" t="str">
        <f>HYPERLINK("http://www.worldcat.org/oclc/23868409","WorldCat Record")</f>
        <v>WorldCat Record</v>
      </c>
    </row>
    <row r="120" spans="1:46" ht="30" customHeight="1" x14ac:dyDescent="0.25">
      <c r="A120" s="8" t="s">
        <v>58</v>
      </c>
      <c r="B120" s="2" t="s">
        <v>1223</v>
      </c>
      <c r="C120" s="2" t="s">
        <v>1224</v>
      </c>
      <c r="D120" s="2" t="s">
        <v>1225</v>
      </c>
      <c r="F120" s="3" t="s">
        <v>58</v>
      </c>
      <c r="G120" s="3" t="s">
        <v>59</v>
      </c>
      <c r="H120" s="3" t="s">
        <v>58</v>
      </c>
      <c r="I120" s="3" t="s">
        <v>58</v>
      </c>
      <c r="J120" s="3" t="s">
        <v>60</v>
      </c>
      <c r="K120" s="2" t="s">
        <v>1226</v>
      </c>
      <c r="L120" s="2" t="s">
        <v>1227</v>
      </c>
      <c r="M120" s="3" t="s">
        <v>867</v>
      </c>
      <c r="O120" s="3" t="s">
        <v>64</v>
      </c>
      <c r="P120" s="3" t="s">
        <v>1228</v>
      </c>
      <c r="R120" s="3" t="s">
        <v>912</v>
      </c>
      <c r="S120" s="4">
        <v>3</v>
      </c>
      <c r="T120" s="4">
        <v>3</v>
      </c>
      <c r="U120" s="5" t="s">
        <v>1229</v>
      </c>
      <c r="V120" s="5" t="s">
        <v>1229</v>
      </c>
      <c r="W120" s="5" t="s">
        <v>1230</v>
      </c>
      <c r="X120" s="5" t="s">
        <v>1230</v>
      </c>
      <c r="Y120" s="4">
        <v>4</v>
      </c>
      <c r="Z120" s="4">
        <v>3</v>
      </c>
      <c r="AA120" s="4">
        <v>44</v>
      </c>
      <c r="AB120" s="4">
        <v>1</v>
      </c>
      <c r="AC120" s="4">
        <v>1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3" t="s">
        <v>58</v>
      </c>
      <c r="AQ120" s="3" t="s">
        <v>58</v>
      </c>
      <c r="AS120" s="6" t="str">
        <f>HYPERLINK("https://creighton-primo.hosted.exlibrisgroup.com/primo-explore/search?tab=default_tab&amp;search_scope=EVERYTHING&amp;vid=01CRU&amp;lang=en_US&amp;offset=0&amp;query=any,contains,991000846529702656","Catalog Record")</f>
        <v>Catalog Record</v>
      </c>
      <c r="AT120" s="6" t="str">
        <f>HYPERLINK("http://www.worldcat.org/oclc/14382933","WorldCat Record")</f>
        <v>WorldCat Record</v>
      </c>
    </row>
    <row r="121" spans="1:46" ht="30" customHeight="1" x14ac:dyDescent="0.25">
      <c r="A121" s="8" t="s">
        <v>58</v>
      </c>
      <c r="B121" s="2" t="s">
        <v>1231</v>
      </c>
      <c r="C121" s="2" t="s">
        <v>1232</v>
      </c>
      <c r="D121" s="2" t="s">
        <v>1233</v>
      </c>
      <c r="F121" s="3" t="s">
        <v>58</v>
      </c>
      <c r="G121" s="3" t="s">
        <v>59</v>
      </c>
      <c r="H121" s="3" t="s">
        <v>58</v>
      </c>
      <c r="I121" s="3" t="s">
        <v>103</v>
      </c>
      <c r="J121" s="3" t="s">
        <v>60</v>
      </c>
      <c r="K121" s="2" t="s">
        <v>1234</v>
      </c>
      <c r="L121" s="2" t="s">
        <v>1235</v>
      </c>
      <c r="M121" s="3" t="s">
        <v>1236</v>
      </c>
      <c r="O121" s="3" t="s">
        <v>64</v>
      </c>
      <c r="P121" s="3" t="s">
        <v>133</v>
      </c>
      <c r="Q121" s="2" t="s">
        <v>1237</v>
      </c>
      <c r="R121" s="3" t="s">
        <v>912</v>
      </c>
      <c r="S121" s="4">
        <v>2</v>
      </c>
      <c r="T121" s="4">
        <v>2</v>
      </c>
      <c r="U121" s="5" t="s">
        <v>1238</v>
      </c>
      <c r="V121" s="5" t="s">
        <v>1238</v>
      </c>
      <c r="W121" s="5" t="s">
        <v>1230</v>
      </c>
      <c r="X121" s="5" t="s">
        <v>1230</v>
      </c>
      <c r="Y121" s="4">
        <v>328</v>
      </c>
      <c r="Z121" s="4">
        <v>286</v>
      </c>
      <c r="AA121" s="4">
        <v>477</v>
      </c>
      <c r="AB121" s="4">
        <v>1</v>
      </c>
      <c r="AC121" s="4">
        <v>4</v>
      </c>
      <c r="AD121" s="4">
        <v>14</v>
      </c>
      <c r="AE121" s="4">
        <v>17</v>
      </c>
      <c r="AF121" s="4">
        <v>3</v>
      </c>
      <c r="AG121" s="4">
        <v>3</v>
      </c>
      <c r="AH121" s="4">
        <v>4</v>
      </c>
      <c r="AI121" s="4">
        <v>4</v>
      </c>
      <c r="AJ121" s="4">
        <v>10</v>
      </c>
      <c r="AK121" s="4">
        <v>11</v>
      </c>
      <c r="AL121" s="4">
        <v>0</v>
      </c>
      <c r="AM121" s="4">
        <v>2</v>
      </c>
      <c r="AN121" s="4">
        <v>0</v>
      </c>
      <c r="AO121" s="4">
        <v>0</v>
      </c>
      <c r="AP121" s="3" t="s">
        <v>103</v>
      </c>
      <c r="AQ121" s="3" t="s">
        <v>58</v>
      </c>
      <c r="AR121" s="6" t="str">
        <f>HYPERLINK("http://catalog.hathitrust.org/Record/001691603","HathiTrust Record")</f>
        <v>HathiTrust Record</v>
      </c>
      <c r="AS121" s="6" t="str">
        <f>HYPERLINK("https://creighton-primo.hosted.exlibrisgroup.com/primo-explore/search?tab=default_tab&amp;search_scope=EVERYTHING&amp;vid=01CRU&amp;lang=en_US&amp;offset=0&amp;query=any,contains,991000846609702656","Catalog Record")</f>
        <v>Catalog Record</v>
      </c>
      <c r="AT121" s="6" t="str">
        <f>HYPERLINK("http://www.worldcat.org/oclc/1513508","WorldCat Record")</f>
        <v>WorldCat Record</v>
      </c>
    </row>
    <row r="122" spans="1:46" ht="30" customHeight="1" x14ac:dyDescent="0.25">
      <c r="A122" s="8" t="s">
        <v>58</v>
      </c>
      <c r="B122" s="2" t="s">
        <v>1239</v>
      </c>
      <c r="C122" s="2" t="s">
        <v>1240</v>
      </c>
      <c r="D122" s="2" t="s">
        <v>1241</v>
      </c>
      <c r="F122" s="3" t="s">
        <v>58</v>
      </c>
      <c r="G122" s="3" t="s">
        <v>59</v>
      </c>
      <c r="H122" s="3" t="s">
        <v>58</v>
      </c>
      <c r="I122" s="3" t="s">
        <v>58</v>
      </c>
      <c r="J122" s="3" t="s">
        <v>60</v>
      </c>
      <c r="K122" s="2" t="s">
        <v>1242</v>
      </c>
      <c r="L122" s="2" t="s">
        <v>1243</v>
      </c>
      <c r="M122" s="3" t="s">
        <v>1244</v>
      </c>
      <c r="O122" s="3" t="s">
        <v>64</v>
      </c>
      <c r="P122" s="3" t="s">
        <v>133</v>
      </c>
      <c r="R122" s="3" t="s">
        <v>912</v>
      </c>
      <c r="S122" s="4">
        <v>3</v>
      </c>
      <c r="T122" s="4">
        <v>3</v>
      </c>
      <c r="U122" s="5" t="s">
        <v>1238</v>
      </c>
      <c r="V122" s="5" t="s">
        <v>1238</v>
      </c>
      <c r="W122" s="5" t="s">
        <v>1054</v>
      </c>
      <c r="X122" s="5" t="s">
        <v>1054</v>
      </c>
      <c r="Y122" s="4">
        <v>117</v>
      </c>
      <c r="Z122" s="4">
        <v>97</v>
      </c>
      <c r="AA122" s="4">
        <v>103</v>
      </c>
      <c r="AB122" s="4">
        <v>1</v>
      </c>
      <c r="AC122" s="4">
        <v>1</v>
      </c>
      <c r="AD122" s="4">
        <v>1</v>
      </c>
      <c r="AE122" s="4">
        <v>1</v>
      </c>
      <c r="AF122" s="4">
        <v>0</v>
      </c>
      <c r="AG122" s="4">
        <v>0</v>
      </c>
      <c r="AH122" s="4">
        <v>0</v>
      </c>
      <c r="AI122" s="4">
        <v>0</v>
      </c>
      <c r="AJ122" s="4">
        <v>1</v>
      </c>
      <c r="AK122" s="4">
        <v>1</v>
      </c>
      <c r="AL122" s="4">
        <v>0</v>
      </c>
      <c r="AM122" s="4">
        <v>0</v>
      </c>
      <c r="AN122" s="4">
        <v>0</v>
      </c>
      <c r="AO122" s="4">
        <v>0</v>
      </c>
      <c r="AP122" s="3" t="s">
        <v>103</v>
      </c>
      <c r="AQ122" s="3" t="s">
        <v>58</v>
      </c>
      <c r="AR122" s="6" t="str">
        <f>HYPERLINK("http://catalog.hathitrust.org/Record/001575936","HathiTrust Record")</f>
        <v>HathiTrust Record</v>
      </c>
      <c r="AS122" s="6" t="str">
        <f>HYPERLINK("https://creighton-primo.hosted.exlibrisgroup.com/primo-explore/search?tab=default_tab&amp;search_scope=EVERYTHING&amp;vid=01CRU&amp;lang=en_US&amp;offset=0&amp;query=any,contains,991000846649702656","Catalog Record")</f>
        <v>Catalog Record</v>
      </c>
      <c r="AT122" s="6" t="str">
        <f>HYPERLINK("http://www.worldcat.org/oclc/5723951","WorldCat Record")</f>
        <v>WorldCat Record</v>
      </c>
    </row>
    <row r="123" spans="1:46" ht="30" customHeight="1" x14ac:dyDescent="0.25">
      <c r="A123" s="8" t="s">
        <v>58</v>
      </c>
      <c r="B123" s="2" t="s">
        <v>1245</v>
      </c>
      <c r="C123" s="2" t="s">
        <v>1246</v>
      </c>
      <c r="D123" s="2" t="s">
        <v>1247</v>
      </c>
      <c r="F123" s="3" t="s">
        <v>58</v>
      </c>
      <c r="G123" s="3" t="s">
        <v>59</v>
      </c>
      <c r="H123" s="3" t="s">
        <v>58</v>
      </c>
      <c r="I123" s="3" t="s">
        <v>58</v>
      </c>
      <c r="J123" s="3" t="s">
        <v>60</v>
      </c>
      <c r="K123" s="2" t="s">
        <v>503</v>
      </c>
      <c r="L123" s="2" t="s">
        <v>1248</v>
      </c>
      <c r="M123" s="3" t="s">
        <v>345</v>
      </c>
      <c r="N123" s="2" t="s">
        <v>331</v>
      </c>
      <c r="O123" s="3" t="s">
        <v>64</v>
      </c>
      <c r="P123" s="3" t="s">
        <v>65</v>
      </c>
      <c r="R123" s="3" t="s">
        <v>912</v>
      </c>
      <c r="S123" s="4">
        <v>10</v>
      </c>
      <c r="T123" s="4">
        <v>10</v>
      </c>
      <c r="U123" s="5" t="s">
        <v>1249</v>
      </c>
      <c r="V123" s="5" t="s">
        <v>1249</v>
      </c>
      <c r="W123" s="5" t="s">
        <v>1250</v>
      </c>
      <c r="X123" s="5" t="s">
        <v>1250</v>
      </c>
      <c r="Y123" s="4">
        <v>194</v>
      </c>
      <c r="Z123" s="4">
        <v>163</v>
      </c>
      <c r="AA123" s="4">
        <v>289</v>
      </c>
      <c r="AB123" s="4">
        <v>2</v>
      </c>
      <c r="AC123" s="4">
        <v>3</v>
      </c>
      <c r="AD123" s="4">
        <v>7</v>
      </c>
      <c r="AE123" s="4">
        <v>14</v>
      </c>
      <c r="AF123" s="4">
        <v>3</v>
      </c>
      <c r="AG123" s="4">
        <v>7</v>
      </c>
      <c r="AH123" s="4">
        <v>2</v>
      </c>
      <c r="AI123" s="4">
        <v>2</v>
      </c>
      <c r="AJ123" s="4">
        <v>3</v>
      </c>
      <c r="AK123" s="4">
        <v>6</v>
      </c>
      <c r="AL123" s="4">
        <v>1</v>
      </c>
      <c r="AM123" s="4">
        <v>2</v>
      </c>
      <c r="AN123" s="4">
        <v>0</v>
      </c>
      <c r="AO123" s="4">
        <v>0</v>
      </c>
      <c r="AP123" s="3" t="s">
        <v>58</v>
      </c>
      <c r="AQ123" s="3" t="s">
        <v>103</v>
      </c>
      <c r="AR123" s="6" t="str">
        <f>HYPERLINK("http://catalog.hathitrust.org/Record/002075742","HathiTrust Record")</f>
        <v>HathiTrust Record</v>
      </c>
      <c r="AS123" s="6" t="str">
        <f>HYPERLINK("https://creighton-primo.hosted.exlibrisgroup.com/primo-explore/search?tab=default_tab&amp;search_scope=EVERYTHING&amp;vid=01CRU&amp;lang=en_US&amp;offset=0&amp;query=any,contains,991000846839702656","Catalog Record")</f>
        <v>Catalog Record</v>
      </c>
      <c r="AT123" s="6" t="str">
        <f>HYPERLINK("http://www.worldcat.org/oclc/559751","WorldCat Record")</f>
        <v>WorldCat Record</v>
      </c>
    </row>
    <row r="124" spans="1:46" ht="30" customHeight="1" x14ac:dyDescent="0.25">
      <c r="A124" s="8" t="s">
        <v>58</v>
      </c>
      <c r="B124" s="2" t="s">
        <v>1251</v>
      </c>
      <c r="C124" s="2" t="s">
        <v>1252</v>
      </c>
      <c r="D124" s="2" t="s">
        <v>1253</v>
      </c>
      <c r="F124" s="3" t="s">
        <v>58</v>
      </c>
      <c r="G124" s="3" t="s">
        <v>59</v>
      </c>
      <c r="H124" s="3" t="s">
        <v>58</v>
      </c>
      <c r="I124" s="3" t="s">
        <v>58</v>
      </c>
      <c r="J124" s="3" t="s">
        <v>60</v>
      </c>
      <c r="L124" s="2" t="s">
        <v>1254</v>
      </c>
      <c r="M124" s="3" t="s">
        <v>505</v>
      </c>
      <c r="O124" s="3" t="s">
        <v>1255</v>
      </c>
      <c r="P124" s="3" t="s">
        <v>1256</v>
      </c>
      <c r="R124" s="3" t="s">
        <v>912</v>
      </c>
      <c r="S124" s="4">
        <v>21</v>
      </c>
      <c r="T124" s="4">
        <v>21</v>
      </c>
      <c r="U124" s="5" t="s">
        <v>1257</v>
      </c>
      <c r="V124" s="5" t="s">
        <v>1257</v>
      </c>
      <c r="W124" s="5" t="s">
        <v>1258</v>
      </c>
      <c r="X124" s="5" t="s">
        <v>1258</v>
      </c>
      <c r="Y124" s="4">
        <v>84</v>
      </c>
      <c r="Z124" s="4">
        <v>38</v>
      </c>
      <c r="AA124" s="4">
        <v>38</v>
      </c>
      <c r="AB124" s="4">
        <v>2</v>
      </c>
      <c r="AC124" s="4">
        <v>2</v>
      </c>
      <c r="AD124" s="4">
        <v>1</v>
      </c>
      <c r="AE124" s="4">
        <v>1</v>
      </c>
      <c r="AF124" s="4">
        <v>0</v>
      </c>
      <c r="AG124" s="4">
        <v>0</v>
      </c>
      <c r="AH124" s="4">
        <v>0</v>
      </c>
      <c r="AI124" s="4">
        <v>0</v>
      </c>
      <c r="AJ124" s="4">
        <v>0</v>
      </c>
      <c r="AK124" s="4">
        <v>0</v>
      </c>
      <c r="AL124" s="4">
        <v>1</v>
      </c>
      <c r="AM124" s="4">
        <v>1</v>
      </c>
      <c r="AN124" s="4">
        <v>0</v>
      </c>
      <c r="AO124" s="4">
        <v>0</v>
      </c>
      <c r="AP124" s="3" t="s">
        <v>58</v>
      </c>
      <c r="AQ124" s="3" t="s">
        <v>58</v>
      </c>
      <c r="AS124" s="6" t="str">
        <f>HYPERLINK("https://creighton-primo.hosted.exlibrisgroup.com/primo-explore/search?tab=default_tab&amp;search_scope=EVERYTHING&amp;vid=01CRU&amp;lang=en_US&amp;offset=0&amp;query=any,contains,991000846689702656","Catalog Record")</f>
        <v>Catalog Record</v>
      </c>
      <c r="AT124" s="6" t="str">
        <f>HYPERLINK("http://www.worldcat.org/oclc/668177","WorldCat Record")</f>
        <v>WorldCat Record</v>
      </c>
    </row>
    <row r="125" spans="1:46" ht="30" customHeight="1" x14ac:dyDescent="0.25">
      <c r="A125" s="8" t="s">
        <v>58</v>
      </c>
      <c r="B125" s="2" t="s">
        <v>1259</v>
      </c>
      <c r="C125" s="2" t="s">
        <v>1260</v>
      </c>
      <c r="D125" s="2" t="s">
        <v>1261</v>
      </c>
      <c r="E125" s="3" t="s">
        <v>269</v>
      </c>
      <c r="F125" s="3" t="s">
        <v>103</v>
      </c>
      <c r="G125" s="3" t="s">
        <v>59</v>
      </c>
      <c r="H125" s="3" t="s">
        <v>58</v>
      </c>
      <c r="I125" s="3" t="s">
        <v>103</v>
      </c>
      <c r="J125" s="3" t="s">
        <v>1141</v>
      </c>
      <c r="K125" s="2" t="s">
        <v>1262</v>
      </c>
      <c r="L125" s="2" t="s">
        <v>1263</v>
      </c>
      <c r="M125" s="3" t="s">
        <v>490</v>
      </c>
      <c r="N125" s="2" t="s">
        <v>1264</v>
      </c>
      <c r="O125" s="3" t="s">
        <v>64</v>
      </c>
      <c r="P125" s="3" t="s">
        <v>315</v>
      </c>
      <c r="R125" s="3" t="s">
        <v>912</v>
      </c>
      <c r="S125" s="4">
        <v>19</v>
      </c>
      <c r="T125" s="4">
        <v>50</v>
      </c>
      <c r="U125" s="5" t="s">
        <v>1265</v>
      </c>
      <c r="V125" s="5" t="s">
        <v>1265</v>
      </c>
      <c r="W125" s="5" t="s">
        <v>1266</v>
      </c>
      <c r="X125" s="5" t="s">
        <v>1266</v>
      </c>
      <c r="Y125" s="4">
        <v>240</v>
      </c>
      <c r="Z125" s="4">
        <v>183</v>
      </c>
      <c r="AA125" s="4">
        <v>837</v>
      </c>
      <c r="AB125" s="4">
        <v>1</v>
      </c>
      <c r="AC125" s="4">
        <v>6</v>
      </c>
      <c r="AD125" s="4">
        <v>3</v>
      </c>
      <c r="AE125" s="4">
        <v>22</v>
      </c>
      <c r="AF125" s="4">
        <v>1</v>
      </c>
      <c r="AG125" s="4">
        <v>7</v>
      </c>
      <c r="AH125" s="4">
        <v>0</v>
      </c>
      <c r="AI125" s="4">
        <v>6</v>
      </c>
      <c r="AJ125" s="4">
        <v>2</v>
      </c>
      <c r="AK125" s="4">
        <v>10</v>
      </c>
      <c r="AL125" s="4">
        <v>0</v>
      </c>
      <c r="AM125" s="4">
        <v>3</v>
      </c>
      <c r="AN125" s="4">
        <v>0</v>
      </c>
      <c r="AO125" s="4">
        <v>1</v>
      </c>
      <c r="AP125" s="3" t="s">
        <v>58</v>
      </c>
      <c r="AQ125" s="3" t="s">
        <v>103</v>
      </c>
      <c r="AR125" s="6" t="str">
        <f>HYPERLINK("http://catalog.hathitrust.org/Record/003126234","HathiTrust Record")</f>
        <v>HathiTrust Record</v>
      </c>
      <c r="AS125" s="6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T125" s="6" t="str">
        <f>HYPERLINK("http://www.worldcat.org/oclc/34283121","WorldCat Record")</f>
        <v>WorldCat Record</v>
      </c>
    </row>
    <row r="126" spans="1:46" ht="30" customHeight="1" x14ac:dyDescent="0.25">
      <c r="A126" s="8" t="s">
        <v>58</v>
      </c>
      <c r="B126" s="2" t="s">
        <v>1259</v>
      </c>
      <c r="C126" s="2" t="s">
        <v>1260</v>
      </c>
      <c r="D126" s="2" t="s">
        <v>1261</v>
      </c>
      <c r="E126" s="3" t="s">
        <v>272</v>
      </c>
      <c r="F126" s="3" t="s">
        <v>103</v>
      </c>
      <c r="G126" s="3" t="s">
        <v>59</v>
      </c>
      <c r="H126" s="3" t="s">
        <v>58</v>
      </c>
      <c r="I126" s="3" t="s">
        <v>103</v>
      </c>
      <c r="J126" s="3" t="s">
        <v>1141</v>
      </c>
      <c r="K126" s="2" t="s">
        <v>1262</v>
      </c>
      <c r="L126" s="2" t="s">
        <v>1263</v>
      </c>
      <c r="M126" s="3" t="s">
        <v>490</v>
      </c>
      <c r="N126" s="2" t="s">
        <v>1264</v>
      </c>
      <c r="O126" s="3" t="s">
        <v>64</v>
      </c>
      <c r="P126" s="3" t="s">
        <v>315</v>
      </c>
      <c r="R126" s="3" t="s">
        <v>912</v>
      </c>
      <c r="S126" s="4">
        <v>31</v>
      </c>
      <c r="T126" s="4">
        <v>50</v>
      </c>
      <c r="U126" s="5" t="s">
        <v>1267</v>
      </c>
      <c r="V126" s="5" t="s">
        <v>1265</v>
      </c>
      <c r="W126" s="5" t="s">
        <v>1266</v>
      </c>
      <c r="X126" s="5" t="s">
        <v>1266</v>
      </c>
      <c r="Y126" s="4">
        <v>240</v>
      </c>
      <c r="Z126" s="4">
        <v>183</v>
      </c>
      <c r="AA126" s="4">
        <v>837</v>
      </c>
      <c r="AB126" s="4">
        <v>1</v>
      </c>
      <c r="AC126" s="4">
        <v>6</v>
      </c>
      <c r="AD126" s="4">
        <v>3</v>
      </c>
      <c r="AE126" s="4">
        <v>22</v>
      </c>
      <c r="AF126" s="4">
        <v>1</v>
      </c>
      <c r="AG126" s="4">
        <v>7</v>
      </c>
      <c r="AH126" s="4">
        <v>0</v>
      </c>
      <c r="AI126" s="4">
        <v>6</v>
      </c>
      <c r="AJ126" s="4">
        <v>2</v>
      </c>
      <c r="AK126" s="4">
        <v>10</v>
      </c>
      <c r="AL126" s="4">
        <v>0</v>
      </c>
      <c r="AM126" s="4">
        <v>3</v>
      </c>
      <c r="AN126" s="4">
        <v>0</v>
      </c>
      <c r="AO126" s="4">
        <v>1</v>
      </c>
      <c r="AP126" s="3" t="s">
        <v>58</v>
      </c>
      <c r="AQ126" s="3" t="s">
        <v>103</v>
      </c>
      <c r="AR126" s="6" t="str">
        <f>HYPERLINK("http://catalog.hathitrust.org/Record/003126234","HathiTrust Record")</f>
        <v>HathiTrust Record</v>
      </c>
      <c r="AS126" s="6" t="str">
        <f>HYPERLINK("https://creighton-primo.hosted.exlibrisgroup.com/primo-explore/search?tab=default_tab&amp;search_scope=EVERYTHING&amp;vid=01CRU&amp;lang=en_US&amp;offset=0&amp;query=any,contains,991001568549702656","Catalog Record")</f>
        <v>Catalog Record</v>
      </c>
      <c r="AT126" s="6" t="str">
        <f>HYPERLINK("http://www.worldcat.org/oclc/34283121","WorldCat Record")</f>
        <v>WorldCat Record</v>
      </c>
    </row>
    <row r="127" spans="1:46" ht="30" customHeight="1" x14ac:dyDescent="0.25">
      <c r="A127" s="8" t="s">
        <v>58</v>
      </c>
      <c r="B127" s="2" t="s">
        <v>1268</v>
      </c>
      <c r="C127" s="2" t="s">
        <v>1269</v>
      </c>
      <c r="D127" s="2" t="s">
        <v>1270</v>
      </c>
      <c r="F127" s="3" t="s">
        <v>58</v>
      </c>
      <c r="G127" s="3" t="s">
        <v>59</v>
      </c>
      <c r="H127" s="3" t="s">
        <v>58</v>
      </c>
      <c r="I127" s="3" t="s">
        <v>58</v>
      </c>
      <c r="J127" s="3" t="s">
        <v>60</v>
      </c>
      <c r="K127" s="2" t="s">
        <v>1271</v>
      </c>
      <c r="L127" s="2" t="s">
        <v>1272</v>
      </c>
      <c r="M127" s="3" t="s">
        <v>431</v>
      </c>
      <c r="O127" s="3" t="s">
        <v>64</v>
      </c>
      <c r="P127" s="3" t="s">
        <v>65</v>
      </c>
      <c r="R127" s="3" t="s">
        <v>912</v>
      </c>
      <c r="S127" s="4">
        <v>20</v>
      </c>
      <c r="T127" s="4">
        <v>20</v>
      </c>
      <c r="U127" s="5" t="s">
        <v>1273</v>
      </c>
      <c r="V127" s="5" t="s">
        <v>1273</v>
      </c>
      <c r="W127" s="5" t="s">
        <v>1274</v>
      </c>
      <c r="X127" s="5" t="s">
        <v>1274</v>
      </c>
      <c r="Y127" s="4">
        <v>234</v>
      </c>
      <c r="Z127" s="4">
        <v>173</v>
      </c>
      <c r="AA127" s="4">
        <v>173</v>
      </c>
      <c r="AB127" s="4">
        <v>1</v>
      </c>
      <c r="AC127" s="4">
        <v>1</v>
      </c>
      <c r="AD127" s="4">
        <v>1</v>
      </c>
      <c r="AE127" s="4">
        <v>1</v>
      </c>
      <c r="AF127" s="4">
        <v>0</v>
      </c>
      <c r="AG127" s="4">
        <v>0</v>
      </c>
      <c r="AH127" s="4">
        <v>1</v>
      </c>
      <c r="AI127" s="4">
        <v>1</v>
      </c>
      <c r="AJ127" s="4">
        <v>1</v>
      </c>
      <c r="AK127" s="4">
        <v>1</v>
      </c>
      <c r="AL127" s="4">
        <v>0</v>
      </c>
      <c r="AM127" s="4">
        <v>0</v>
      </c>
      <c r="AN127" s="4">
        <v>0</v>
      </c>
      <c r="AO127" s="4">
        <v>0</v>
      </c>
      <c r="AP127" s="3" t="s">
        <v>58</v>
      </c>
      <c r="AQ127" s="3" t="s">
        <v>58</v>
      </c>
      <c r="AS127" s="6" t="str">
        <f>HYPERLINK("https://creighton-primo.hosted.exlibrisgroup.com/primo-explore/search?tab=default_tab&amp;search_scope=EVERYTHING&amp;vid=01CRU&amp;lang=en_US&amp;offset=0&amp;query=any,contains,991001477809702656","Catalog Record")</f>
        <v>Catalog Record</v>
      </c>
      <c r="AT127" s="6" t="str">
        <f>HYPERLINK("http://www.worldcat.org/oclc/5890040","WorldCat Record")</f>
        <v>WorldCat Record</v>
      </c>
    </row>
    <row r="128" spans="1:46" ht="30" customHeight="1" x14ac:dyDescent="0.25">
      <c r="A128" s="8" t="s">
        <v>58</v>
      </c>
      <c r="B128" s="2" t="s">
        <v>1275</v>
      </c>
      <c r="C128" s="2" t="s">
        <v>1276</v>
      </c>
      <c r="D128" s="2" t="s">
        <v>1277</v>
      </c>
      <c r="F128" s="3" t="s">
        <v>58</v>
      </c>
      <c r="G128" s="3" t="s">
        <v>59</v>
      </c>
      <c r="H128" s="3" t="s">
        <v>58</v>
      </c>
      <c r="I128" s="3" t="s">
        <v>103</v>
      </c>
      <c r="J128" s="3" t="s">
        <v>60</v>
      </c>
      <c r="K128" s="2" t="s">
        <v>1278</v>
      </c>
      <c r="L128" s="2" t="s">
        <v>1279</v>
      </c>
      <c r="M128" s="3" t="s">
        <v>1187</v>
      </c>
      <c r="N128" s="2" t="s">
        <v>1038</v>
      </c>
      <c r="O128" s="3" t="s">
        <v>64</v>
      </c>
      <c r="P128" s="3" t="s">
        <v>911</v>
      </c>
      <c r="R128" s="3" t="s">
        <v>912</v>
      </c>
      <c r="S128" s="4">
        <v>279</v>
      </c>
      <c r="T128" s="4">
        <v>279</v>
      </c>
      <c r="U128" s="5" t="s">
        <v>1280</v>
      </c>
      <c r="V128" s="5" t="s">
        <v>1280</v>
      </c>
      <c r="W128" s="5" t="s">
        <v>1281</v>
      </c>
      <c r="X128" s="5" t="s">
        <v>1281</v>
      </c>
      <c r="Y128" s="4">
        <v>387</v>
      </c>
      <c r="Z128" s="4">
        <v>308</v>
      </c>
      <c r="AA128" s="4">
        <v>1068</v>
      </c>
      <c r="AB128" s="4">
        <v>2</v>
      </c>
      <c r="AC128" s="4">
        <v>6</v>
      </c>
      <c r="AD128" s="4">
        <v>8</v>
      </c>
      <c r="AE128" s="4">
        <v>29</v>
      </c>
      <c r="AF128" s="4">
        <v>1</v>
      </c>
      <c r="AG128" s="4">
        <v>12</v>
      </c>
      <c r="AH128" s="4">
        <v>3</v>
      </c>
      <c r="AI128" s="4">
        <v>5</v>
      </c>
      <c r="AJ128" s="4">
        <v>4</v>
      </c>
      <c r="AK128" s="4">
        <v>11</v>
      </c>
      <c r="AL128" s="4">
        <v>1</v>
      </c>
      <c r="AM128" s="4">
        <v>5</v>
      </c>
      <c r="AN128" s="4">
        <v>0</v>
      </c>
      <c r="AO128" s="4">
        <v>0</v>
      </c>
      <c r="AP128" s="3" t="s">
        <v>58</v>
      </c>
      <c r="AQ128" s="3" t="s">
        <v>103</v>
      </c>
      <c r="AR128" s="6" t="str">
        <f>HYPERLINK("http://catalog.hathitrust.org/Record/000811086","HathiTrust Record")</f>
        <v>HathiTrust Record</v>
      </c>
      <c r="AS128" s="6" t="str">
        <f>HYPERLINK("https://creighton-primo.hosted.exlibrisgroup.com/primo-explore/search?tab=default_tab&amp;search_scope=EVERYTHING&amp;vid=01CRU&amp;lang=en_US&amp;offset=0&amp;query=any,contains,991001508819702656","Catalog Record")</f>
        <v>Catalog Record</v>
      </c>
      <c r="AT128" s="6" t="str">
        <f>HYPERLINK("http://www.worldcat.org/oclc/12103085","WorldCat Record")</f>
        <v>WorldCat Record</v>
      </c>
    </row>
    <row r="129" spans="1:46" ht="30" customHeight="1" x14ac:dyDescent="0.25">
      <c r="A129" s="8" t="s">
        <v>58</v>
      </c>
      <c r="B129" s="2" t="s">
        <v>1282</v>
      </c>
      <c r="C129" s="2" t="s">
        <v>1283</v>
      </c>
      <c r="D129" s="2" t="s">
        <v>1284</v>
      </c>
      <c r="F129" s="3" t="s">
        <v>58</v>
      </c>
      <c r="G129" s="3" t="s">
        <v>59</v>
      </c>
      <c r="H129" s="3" t="s">
        <v>58</v>
      </c>
      <c r="I129" s="3" t="s">
        <v>103</v>
      </c>
      <c r="J129" s="3" t="s">
        <v>60</v>
      </c>
      <c r="K129" s="2" t="s">
        <v>1285</v>
      </c>
      <c r="L129" s="2" t="s">
        <v>1286</v>
      </c>
      <c r="M129" s="3" t="s">
        <v>721</v>
      </c>
      <c r="N129" s="2" t="s">
        <v>331</v>
      </c>
      <c r="O129" s="3" t="s">
        <v>64</v>
      </c>
      <c r="P129" s="3" t="s">
        <v>133</v>
      </c>
      <c r="R129" s="3" t="s">
        <v>912</v>
      </c>
      <c r="S129" s="4">
        <v>6</v>
      </c>
      <c r="T129" s="4">
        <v>6</v>
      </c>
      <c r="U129" s="5" t="s">
        <v>1287</v>
      </c>
      <c r="V129" s="5" t="s">
        <v>1287</v>
      </c>
      <c r="W129" s="5" t="s">
        <v>1288</v>
      </c>
      <c r="X129" s="5" t="s">
        <v>1288</v>
      </c>
      <c r="Y129" s="4">
        <v>192</v>
      </c>
      <c r="Z129" s="4">
        <v>147</v>
      </c>
      <c r="AA129" s="4">
        <v>223</v>
      </c>
      <c r="AB129" s="4">
        <v>2</v>
      </c>
      <c r="AC129" s="4">
        <v>2</v>
      </c>
      <c r="AD129" s="4">
        <v>3</v>
      </c>
      <c r="AE129" s="4">
        <v>6</v>
      </c>
      <c r="AF129" s="4">
        <v>1</v>
      </c>
      <c r="AG129" s="4">
        <v>2</v>
      </c>
      <c r="AH129" s="4">
        <v>0</v>
      </c>
      <c r="AI129" s="4">
        <v>1</v>
      </c>
      <c r="AJ129" s="4">
        <v>1</v>
      </c>
      <c r="AK129" s="4">
        <v>2</v>
      </c>
      <c r="AL129" s="4">
        <v>1</v>
      </c>
      <c r="AM129" s="4">
        <v>1</v>
      </c>
      <c r="AN129" s="4">
        <v>0</v>
      </c>
      <c r="AO129" s="4">
        <v>0</v>
      </c>
      <c r="AP129" s="3" t="s">
        <v>58</v>
      </c>
      <c r="AQ129" s="3" t="s">
        <v>58</v>
      </c>
      <c r="AS129" s="6" t="str">
        <f>HYPERLINK("https://creighton-primo.hosted.exlibrisgroup.com/primo-explore/search?tab=default_tab&amp;search_scope=EVERYTHING&amp;vid=01CRU&amp;lang=en_US&amp;offset=0&amp;query=any,contains,991000684819702656","Catalog Record")</f>
        <v>Catalog Record</v>
      </c>
      <c r="AT129" s="6" t="str">
        <f>HYPERLINK("http://www.worldcat.org/oclc/31132539","WorldCat Record")</f>
        <v>WorldCat Record</v>
      </c>
    </row>
    <row r="130" spans="1:46" ht="30" customHeight="1" x14ac:dyDescent="0.25">
      <c r="A130" s="8" t="s">
        <v>58</v>
      </c>
      <c r="B130" s="2" t="s">
        <v>1289</v>
      </c>
      <c r="C130" s="2" t="s">
        <v>1290</v>
      </c>
      <c r="D130" s="2" t="s">
        <v>1291</v>
      </c>
      <c r="F130" s="3" t="s">
        <v>58</v>
      </c>
      <c r="G130" s="3" t="s">
        <v>59</v>
      </c>
      <c r="H130" s="3" t="s">
        <v>58</v>
      </c>
      <c r="I130" s="3" t="s">
        <v>58</v>
      </c>
      <c r="J130" s="3" t="s">
        <v>60</v>
      </c>
      <c r="K130" s="2" t="s">
        <v>1292</v>
      </c>
      <c r="L130" s="2" t="s">
        <v>1293</v>
      </c>
      <c r="M130" s="3" t="s">
        <v>574</v>
      </c>
      <c r="N130" s="2" t="s">
        <v>162</v>
      </c>
      <c r="O130" s="3" t="s">
        <v>64</v>
      </c>
      <c r="P130" s="3" t="s">
        <v>1294</v>
      </c>
      <c r="R130" s="3" t="s">
        <v>912</v>
      </c>
      <c r="S130" s="4">
        <v>34</v>
      </c>
      <c r="T130" s="4">
        <v>34</v>
      </c>
      <c r="U130" s="5" t="s">
        <v>1295</v>
      </c>
      <c r="V130" s="5" t="s">
        <v>1295</v>
      </c>
      <c r="W130" s="5" t="s">
        <v>1296</v>
      </c>
      <c r="X130" s="5" t="s">
        <v>1296</v>
      </c>
      <c r="Y130" s="4">
        <v>89</v>
      </c>
      <c r="Z130" s="4">
        <v>57</v>
      </c>
      <c r="AA130" s="4">
        <v>286</v>
      </c>
      <c r="AB130" s="4">
        <v>1</v>
      </c>
      <c r="AC130" s="4">
        <v>3</v>
      </c>
      <c r="AD130" s="4">
        <v>1</v>
      </c>
      <c r="AE130" s="4">
        <v>6</v>
      </c>
      <c r="AF130" s="4">
        <v>0</v>
      </c>
      <c r="AG130" s="4">
        <v>1</v>
      </c>
      <c r="AH130" s="4">
        <v>1</v>
      </c>
      <c r="AI130" s="4">
        <v>3</v>
      </c>
      <c r="AJ130" s="4">
        <v>0</v>
      </c>
      <c r="AK130" s="4">
        <v>1</v>
      </c>
      <c r="AL130" s="4">
        <v>0</v>
      </c>
      <c r="AM130" s="4">
        <v>2</v>
      </c>
      <c r="AN130" s="4">
        <v>0</v>
      </c>
      <c r="AO130" s="4">
        <v>0</v>
      </c>
      <c r="AP130" s="3" t="s">
        <v>58</v>
      </c>
      <c r="AQ130" s="3" t="s">
        <v>58</v>
      </c>
      <c r="AS130" s="6" t="str">
        <f>HYPERLINK("https://creighton-primo.hosted.exlibrisgroup.com/primo-explore/search?tab=default_tab&amp;search_scope=EVERYTHING&amp;vid=01CRU&amp;lang=en_US&amp;offset=0&amp;query=any,contains,991001494399702656","Catalog Record")</f>
        <v>Catalog Record</v>
      </c>
      <c r="AT130" s="6" t="str">
        <f>HYPERLINK("http://www.worldcat.org/oclc/29686848","WorldCat Record")</f>
        <v>WorldCat Record</v>
      </c>
    </row>
    <row r="131" spans="1:46" ht="30" customHeight="1" x14ac:dyDescent="0.25">
      <c r="A131" s="8" t="s">
        <v>58</v>
      </c>
      <c r="B131" s="2" t="s">
        <v>1297</v>
      </c>
      <c r="C131" s="2" t="s">
        <v>1298</v>
      </c>
      <c r="D131" s="2" t="s">
        <v>1299</v>
      </c>
      <c r="F131" s="3" t="s">
        <v>58</v>
      </c>
      <c r="G131" s="3" t="s">
        <v>59</v>
      </c>
      <c r="H131" s="3" t="s">
        <v>58</v>
      </c>
      <c r="I131" s="3" t="s">
        <v>103</v>
      </c>
      <c r="J131" s="3" t="s">
        <v>60</v>
      </c>
      <c r="L131" s="2" t="s">
        <v>1300</v>
      </c>
      <c r="M131" s="3" t="s">
        <v>330</v>
      </c>
      <c r="O131" s="3" t="s">
        <v>64</v>
      </c>
      <c r="P131" s="3" t="s">
        <v>133</v>
      </c>
      <c r="R131" s="3" t="s">
        <v>912</v>
      </c>
      <c r="S131" s="4">
        <v>7</v>
      </c>
      <c r="T131" s="4">
        <v>7</v>
      </c>
      <c r="U131" s="5" t="s">
        <v>1301</v>
      </c>
      <c r="V131" s="5" t="s">
        <v>1301</v>
      </c>
      <c r="W131" s="5" t="s">
        <v>1302</v>
      </c>
      <c r="X131" s="5" t="s">
        <v>1302</v>
      </c>
      <c r="Y131" s="4">
        <v>928</v>
      </c>
      <c r="Z131" s="4">
        <v>861</v>
      </c>
      <c r="AA131" s="4">
        <v>902</v>
      </c>
      <c r="AB131" s="4">
        <v>5</v>
      </c>
      <c r="AC131" s="4">
        <v>5</v>
      </c>
      <c r="AD131" s="4">
        <v>6</v>
      </c>
      <c r="AE131" s="4">
        <v>6</v>
      </c>
      <c r="AF131" s="4">
        <v>0</v>
      </c>
      <c r="AG131" s="4">
        <v>0</v>
      </c>
      <c r="AH131" s="4">
        <v>0</v>
      </c>
      <c r="AI131" s="4">
        <v>0</v>
      </c>
      <c r="AJ131" s="4">
        <v>5</v>
      </c>
      <c r="AK131" s="4">
        <v>5</v>
      </c>
      <c r="AL131" s="4">
        <v>1</v>
      </c>
      <c r="AM131" s="4">
        <v>1</v>
      </c>
      <c r="AN131" s="4">
        <v>0</v>
      </c>
      <c r="AO131" s="4">
        <v>0</v>
      </c>
      <c r="AP131" s="3" t="s">
        <v>58</v>
      </c>
      <c r="AQ131" s="3" t="s">
        <v>58</v>
      </c>
      <c r="AS131" s="6" t="str">
        <f>HYPERLINK("https://creighton-primo.hosted.exlibrisgroup.com/primo-explore/search?tab=default_tab&amp;search_scope=EVERYTHING&amp;vid=01CRU&amp;lang=en_US&amp;offset=0&amp;query=any,contains,991001280079702656","Catalog Record")</f>
        <v>Catalog Record</v>
      </c>
      <c r="AT131" s="6" t="str">
        <f>HYPERLINK("http://www.worldcat.org/oclc/8689077","WorldCat Record")</f>
        <v>WorldCat Record</v>
      </c>
    </row>
    <row r="132" spans="1:46" ht="30" customHeight="1" x14ac:dyDescent="0.25">
      <c r="A132" s="8" t="s">
        <v>58</v>
      </c>
      <c r="B132" s="2" t="s">
        <v>1303</v>
      </c>
      <c r="C132" s="2" t="s">
        <v>1304</v>
      </c>
      <c r="D132" s="2" t="s">
        <v>1299</v>
      </c>
      <c r="F132" s="3" t="s">
        <v>58</v>
      </c>
      <c r="G132" s="3" t="s">
        <v>59</v>
      </c>
      <c r="H132" s="3" t="s">
        <v>58</v>
      </c>
      <c r="I132" s="3" t="s">
        <v>103</v>
      </c>
      <c r="J132" s="3" t="s">
        <v>60</v>
      </c>
      <c r="L132" s="2" t="s">
        <v>1305</v>
      </c>
      <c r="M132" s="3" t="s">
        <v>374</v>
      </c>
      <c r="O132" s="3" t="s">
        <v>64</v>
      </c>
      <c r="P132" s="3" t="s">
        <v>133</v>
      </c>
      <c r="R132" s="3" t="s">
        <v>912</v>
      </c>
      <c r="S132" s="4">
        <v>3</v>
      </c>
      <c r="T132" s="4">
        <v>3</v>
      </c>
      <c r="U132" s="5" t="s">
        <v>1032</v>
      </c>
      <c r="V132" s="5" t="s">
        <v>1032</v>
      </c>
      <c r="W132" s="5" t="s">
        <v>1306</v>
      </c>
      <c r="X132" s="5" t="s">
        <v>1306</v>
      </c>
      <c r="Y132" s="4">
        <v>53</v>
      </c>
      <c r="Z132" s="4">
        <v>49</v>
      </c>
      <c r="AA132" s="4">
        <v>902</v>
      </c>
      <c r="AB132" s="4">
        <v>1</v>
      </c>
      <c r="AC132" s="4">
        <v>5</v>
      </c>
      <c r="AD132" s="4">
        <v>0</v>
      </c>
      <c r="AE132" s="4">
        <v>6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5</v>
      </c>
      <c r="AL132" s="4">
        <v>0</v>
      </c>
      <c r="AM132" s="4">
        <v>1</v>
      </c>
      <c r="AN132" s="4">
        <v>0</v>
      </c>
      <c r="AO132" s="4">
        <v>0</v>
      </c>
      <c r="AP132" s="3" t="s">
        <v>58</v>
      </c>
      <c r="AQ132" s="3" t="s">
        <v>58</v>
      </c>
      <c r="AS132" s="6" t="str">
        <f>HYPERLINK("https://creighton-primo.hosted.exlibrisgroup.com/primo-explore/search?tab=default_tab&amp;search_scope=EVERYTHING&amp;vid=01CRU&amp;lang=en_US&amp;offset=0&amp;query=any,contains,991000332879702656","Catalog Record")</f>
        <v>Catalog Record</v>
      </c>
      <c r="AT132" s="6" t="str">
        <f>HYPERLINK("http://www.worldcat.org/oclc/40993022","WorldCat Record")</f>
        <v>WorldCat Record</v>
      </c>
    </row>
    <row r="133" spans="1:46" ht="30" customHeight="1" x14ac:dyDescent="0.25">
      <c r="A133" s="8" t="s">
        <v>58</v>
      </c>
      <c r="B133" s="2" t="s">
        <v>1307</v>
      </c>
      <c r="C133" s="2" t="s">
        <v>1308</v>
      </c>
      <c r="D133" s="2" t="s">
        <v>1309</v>
      </c>
      <c r="F133" s="3" t="s">
        <v>58</v>
      </c>
      <c r="G133" s="3" t="s">
        <v>59</v>
      </c>
      <c r="H133" s="3" t="s">
        <v>58</v>
      </c>
      <c r="I133" s="3" t="s">
        <v>103</v>
      </c>
      <c r="J133" s="3" t="s">
        <v>60</v>
      </c>
      <c r="L133" s="2" t="s">
        <v>1310</v>
      </c>
      <c r="M133" s="3" t="s">
        <v>1311</v>
      </c>
      <c r="O133" s="3" t="s">
        <v>64</v>
      </c>
      <c r="P133" s="3" t="s">
        <v>315</v>
      </c>
      <c r="R133" s="3" t="s">
        <v>912</v>
      </c>
      <c r="S133" s="4">
        <v>10</v>
      </c>
      <c r="T133" s="4">
        <v>10</v>
      </c>
      <c r="U133" s="5" t="s">
        <v>1312</v>
      </c>
      <c r="V133" s="5" t="s">
        <v>1312</v>
      </c>
      <c r="W133" s="5" t="s">
        <v>1313</v>
      </c>
      <c r="X133" s="5" t="s">
        <v>1313</v>
      </c>
      <c r="Y133" s="4">
        <v>660</v>
      </c>
      <c r="Z133" s="4">
        <v>605</v>
      </c>
      <c r="AA133" s="4">
        <v>1741</v>
      </c>
      <c r="AB133" s="4">
        <v>8</v>
      </c>
      <c r="AC133" s="4">
        <v>15</v>
      </c>
      <c r="AD133" s="4">
        <v>22</v>
      </c>
      <c r="AE133" s="4">
        <v>40</v>
      </c>
      <c r="AF133" s="4">
        <v>9</v>
      </c>
      <c r="AG133" s="4">
        <v>17</v>
      </c>
      <c r="AH133" s="4">
        <v>6</v>
      </c>
      <c r="AI133" s="4">
        <v>9</v>
      </c>
      <c r="AJ133" s="4">
        <v>4</v>
      </c>
      <c r="AK133" s="4">
        <v>13</v>
      </c>
      <c r="AL133" s="4">
        <v>5</v>
      </c>
      <c r="AM133" s="4">
        <v>8</v>
      </c>
      <c r="AN133" s="4">
        <v>0</v>
      </c>
      <c r="AO133" s="4">
        <v>0</v>
      </c>
      <c r="AP133" s="3" t="s">
        <v>58</v>
      </c>
      <c r="AQ133" s="3" t="s">
        <v>103</v>
      </c>
      <c r="AR133" s="6" t="str">
        <f>HYPERLINK("http://catalog.hathitrust.org/Record/000729262","HathiTrust Record")</f>
        <v>HathiTrust Record</v>
      </c>
      <c r="AS133" s="6" t="str">
        <f>HYPERLINK("https://creighton-primo.hosted.exlibrisgroup.com/primo-explore/search?tab=default_tab&amp;search_scope=EVERYTHING&amp;vid=01CRU&amp;lang=en_US&amp;offset=0&amp;query=any,contains,991000846769702656","Catalog Record")</f>
        <v>Catalog Record</v>
      </c>
      <c r="AT133" s="6" t="str">
        <f>HYPERLINK("http://www.worldcat.org/oclc/2318030","WorldCat Record")</f>
        <v>WorldCat Record</v>
      </c>
    </row>
    <row r="134" spans="1:46" ht="30" customHeight="1" x14ac:dyDescent="0.25">
      <c r="A134" s="8" t="s">
        <v>58</v>
      </c>
      <c r="B134" s="2" t="s">
        <v>1314</v>
      </c>
      <c r="C134" s="2" t="s">
        <v>1315</v>
      </c>
      <c r="D134" s="2" t="s">
        <v>1316</v>
      </c>
      <c r="F134" s="3" t="s">
        <v>58</v>
      </c>
      <c r="G134" s="3" t="s">
        <v>59</v>
      </c>
      <c r="H134" s="3" t="s">
        <v>58</v>
      </c>
      <c r="I134" s="3" t="s">
        <v>58</v>
      </c>
      <c r="J134" s="3" t="s">
        <v>60</v>
      </c>
      <c r="K134" s="2" t="s">
        <v>1317</v>
      </c>
      <c r="L134" s="2" t="s">
        <v>1318</v>
      </c>
      <c r="M134" s="3" t="s">
        <v>490</v>
      </c>
      <c r="O134" s="3" t="s">
        <v>64</v>
      </c>
      <c r="P134" s="3" t="s">
        <v>976</v>
      </c>
      <c r="R134" s="3" t="s">
        <v>912</v>
      </c>
      <c r="S134" s="4">
        <v>18</v>
      </c>
      <c r="T134" s="4">
        <v>18</v>
      </c>
      <c r="U134" s="5" t="s">
        <v>1319</v>
      </c>
      <c r="V134" s="5" t="s">
        <v>1319</v>
      </c>
      <c r="W134" s="5" t="s">
        <v>1320</v>
      </c>
      <c r="X134" s="5" t="s">
        <v>1320</v>
      </c>
      <c r="Y134" s="4">
        <v>139</v>
      </c>
      <c r="Z134" s="4">
        <v>121</v>
      </c>
      <c r="AA134" s="4">
        <v>389</v>
      </c>
      <c r="AB134" s="4">
        <v>1</v>
      </c>
      <c r="AC134" s="4">
        <v>3</v>
      </c>
      <c r="AD134" s="4">
        <v>0</v>
      </c>
      <c r="AE134" s="4">
        <v>3</v>
      </c>
      <c r="AF134" s="4">
        <v>0</v>
      </c>
      <c r="AG134" s="4">
        <v>1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2</v>
      </c>
      <c r="AN134" s="4">
        <v>0</v>
      </c>
      <c r="AO134" s="4">
        <v>0</v>
      </c>
      <c r="AP134" s="3" t="s">
        <v>58</v>
      </c>
      <c r="AQ134" s="3" t="s">
        <v>103</v>
      </c>
      <c r="AR134" s="6" t="str">
        <f>HYPERLINK("http://catalog.hathitrust.org/Record/003122876","HathiTrust Record")</f>
        <v>HathiTrust Record</v>
      </c>
      <c r="AS134" s="6" t="str">
        <f>HYPERLINK("https://creighton-primo.hosted.exlibrisgroup.com/primo-explore/search?tab=default_tab&amp;search_scope=EVERYTHING&amp;vid=01CRU&amp;lang=en_US&amp;offset=0&amp;query=any,contains,991001790499702656","Catalog Record")</f>
        <v>Catalog Record</v>
      </c>
      <c r="AT134" s="6" t="str">
        <f>HYPERLINK("http://www.worldcat.org/oclc/35593727","WorldCat Record")</f>
        <v>WorldCat Record</v>
      </c>
    </row>
    <row r="135" spans="1:46" ht="30" customHeight="1" x14ac:dyDescent="0.25">
      <c r="A135" s="8" t="s">
        <v>58</v>
      </c>
      <c r="B135" s="2" t="s">
        <v>1321</v>
      </c>
      <c r="C135" s="2" t="s">
        <v>1322</v>
      </c>
      <c r="D135" s="2" t="s">
        <v>1323</v>
      </c>
      <c r="F135" s="3" t="s">
        <v>58</v>
      </c>
      <c r="G135" s="3" t="s">
        <v>59</v>
      </c>
      <c r="H135" s="3" t="s">
        <v>58</v>
      </c>
      <c r="I135" s="3" t="s">
        <v>58</v>
      </c>
      <c r="J135" s="3" t="s">
        <v>60</v>
      </c>
      <c r="K135" s="2" t="s">
        <v>1324</v>
      </c>
      <c r="L135" s="2" t="s">
        <v>1325</v>
      </c>
      <c r="M135" s="3" t="s">
        <v>658</v>
      </c>
      <c r="O135" s="3" t="s">
        <v>64</v>
      </c>
      <c r="P135" s="3" t="s">
        <v>315</v>
      </c>
      <c r="R135" s="3" t="s">
        <v>912</v>
      </c>
      <c r="S135" s="4">
        <v>29</v>
      </c>
      <c r="T135" s="4">
        <v>29</v>
      </c>
      <c r="U135" s="5" t="s">
        <v>1326</v>
      </c>
      <c r="V135" s="5" t="s">
        <v>1326</v>
      </c>
      <c r="W135" s="5" t="s">
        <v>1054</v>
      </c>
      <c r="X135" s="5" t="s">
        <v>1054</v>
      </c>
      <c r="Y135" s="4">
        <v>205</v>
      </c>
      <c r="Z135" s="4">
        <v>154</v>
      </c>
      <c r="AA135" s="4">
        <v>157</v>
      </c>
      <c r="AB135" s="4">
        <v>2</v>
      </c>
      <c r="AC135" s="4">
        <v>2</v>
      </c>
      <c r="AD135" s="4">
        <v>4</v>
      </c>
      <c r="AE135" s="4">
        <v>4</v>
      </c>
      <c r="AF135" s="4">
        <v>1</v>
      </c>
      <c r="AG135" s="4">
        <v>1</v>
      </c>
      <c r="AH135" s="4">
        <v>1</v>
      </c>
      <c r="AI135" s="4">
        <v>1</v>
      </c>
      <c r="AJ135" s="4">
        <v>1</v>
      </c>
      <c r="AK135" s="4">
        <v>1</v>
      </c>
      <c r="AL135" s="4">
        <v>1</v>
      </c>
      <c r="AM135" s="4">
        <v>1</v>
      </c>
      <c r="AN135" s="4">
        <v>0</v>
      </c>
      <c r="AO135" s="4">
        <v>0</v>
      </c>
      <c r="AP135" s="3" t="s">
        <v>58</v>
      </c>
      <c r="AQ135" s="3" t="s">
        <v>103</v>
      </c>
      <c r="AR135" s="6" t="str">
        <f>HYPERLINK("http://catalog.hathitrust.org/Record/000176739","HathiTrust Record")</f>
        <v>HathiTrust Record</v>
      </c>
      <c r="AS135" s="6" t="str">
        <f>HYPERLINK("https://creighton-primo.hosted.exlibrisgroup.com/primo-explore/search?tab=default_tab&amp;search_scope=EVERYTHING&amp;vid=01CRU&amp;lang=en_US&amp;offset=0&amp;query=any,contains,991000846799702656","Catalog Record")</f>
        <v>Catalog Record</v>
      </c>
      <c r="AT135" s="6" t="str">
        <f>HYPERLINK("http://www.worldcat.org/oclc/4004645","WorldCat Record")</f>
        <v>WorldCat Record</v>
      </c>
    </row>
    <row r="136" spans="1:46" ht="30" customHeight="1" x14ac:dyDescent="0.25">
      <c r="A136" s="8" t="s">
        <v>58</v>
      </c>
      <c r="B136" s="2" t="s">
        <v>1327</v>
      </c>
      <c r="C136" s="2" t="s">
        <v>1328</v>
      </c>
      <c r="D136" s="2" t="s">
        <v>1329</v>
      </c>
      <c r="E136" s="3" t="s">
        <v>697</v>
      </c>
      <c r="F136" s="3" t="s">
        <v>103</v>
      </c>
      <c r="G136" s="3" t="s">
        <v>59</v>
      </c>
      <c r="H136" s="3" t="s">
        <v>58</v>
      </c>
      <c r="I136" s="3" t="s">
        <v>58</v>
      </c>
      <c r="J136" s="3" t="s">
        <v>60</v>
      </c>
      <c r="K136" s="2" t="s">
        <v>1330</v>
      </c>
      <c r="L136" s="2" t="s">
        <v>1331</v>
      </c>
      <c r="M136" s="3" t="s">
        <v>330</v>
      </c>
      <c r="O136" s="3" t="s">
        <v>64</v>
      </c>
      <c r="P136" s="3" t="s">
        <v>1084</v>
      </c>
      <c r="R136" s="3" t="s">
        <v>912</v>
      </c>
      <c r="S136" s="4">
        <v>23</v>
      </c>
      <c r="T136" s="4">
        <v>36</v>
      </c>
      <c r="U136" s="5" t="s">
        <v>1332</v>
      </c>
      <c r="V136" s="5" t="s">
        <v>1332</v>
      </c>
      <c r="W136" s="5" t="s">
        <v>1054</v>
      </c>
      <c r="X136" s="5" t="s">
        <v>1054</v>
      </c>
      <c r="Y136" s="4">
        <v>23</v>
      </c>
      <c r="Z136" s="4">
        <v>21</v>
      </c>
      <c r="AA136" s="4">
        <v>182</v>
      </c>
      <c r="AB136" s="4">
        <v>1</v>
      </c>
      <c r="AC136" s="4">
        <v>2</v>
      </c>
      <c r="AD136" s="4">
        <v>0</v>
      </c>
      <c r="AE136" s="4">
        <v>3</v>
      </c>
      <c r="AF136" s="4">
        <v>0</v>
      </c>
      <c r="AG136" s="4">
        <v>0</v>
      </c>
      <c r="AH136" s="4">
        <v>0</v>
      </c>
      <c r="AI136" s="4">
        <v>1</v>
      </c>
      <c r="AJ136" s="4">
        <v>0</v>
      </c>
      <c r="AK136" s="4">
        <v>1</v>
      </c>
      <c r="AL136" s="4">
        <v>0</v>
      </c>
      <c r="AM136" s="4">
        <v>1</v>
      </c>
      <c r="AN136" s="4">
        <v>0</v>
      </c>
      <c r="AO136" s="4">
        <v>0</v>
      </c>
      <c r="AP136" s="3" t="s">
        <v>58</v>
      </c>
      <c r="AQ136" s="3" t="s">
        <v>58</v>
      </c>
      <c r="AS136" s="6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T136" s="6" t="str">
        <f>HYPERLINK("http://www.worldcat.org/oclc/8666754","WorldCat Record")</f>
        <v>WorldCat Record</v>
      </c>
    </row>
    <row r="137" spans="1:46" ht="30" customHeight="1" x14ac:dyDescent="0.25">
      <c r="A137" s="8" t="s">
        <v>58</v>
      </c>
      <c r="B137" s="2" t="s">
        <v>1327</v>
      </c>
      <c r="C137" s="2" t="s">
        <v>1328</v>
      </c>
      <c r="D137" s="2" t="s">
        <v>1329</v>
      </c>
      <c r="E137" s="3" t="s">
        <v>1333</v>
      </c>
      <c r="F137" s="3" t="s">
        <v>103</v>
      </c>
      <c r="G137" s="3" t="s">
        <v>59</v>
      </c>
      <c r="H137" s="3" t="s">
        <v>58</v>
      </c>
      <c r="I137" s="3" t="s">
        <v>58</v>
      </c>
      <c r="J137" s="3" t="s">
        <v>60</v>
      </c>
      <c r="K137" s="2" t="s">
        <v>1330</v>
      </c>
      <c r="L137" s="2" t="s">
        <v>1331</v>
      </c>
      <c r="M137" s="3" t="s">
        <v>330</v>
      </c>
      <c r="O137" s="3" t="s">
        <v>64</v>
      </c>
      <c r="P137" s="3" t="s">
        <v>1084</v>
      </c>
      <c r="R137" s="3" t="s">
        <v>912</v>
      </c>
      <c r="S137" s="4">
        <v>13</v>
      </c>
      <c r="T137" s="4">
        <v>36</v>
      </c>
      <c r="U137" s="5" t="s">
        <v>1334</v>
      </c>
      <c r="V137" s="5" t="s">
        <v>1332</v>
      </c>
      <c r="W137" s="5" t="s">
        <v>1054</v>
      </c>
      <c r="X137" s="5" t="s">
        <v>1054</v>
      </c>
      <c r="Y137" s="4">
        <v>23</v>
      </c>
      <c r="Z137" s="4">
        <v>21</v>
      </c>
      <c r="AA137" s="4">
        <v>182</v>
      </c>
      <c r="AB137" s="4">
        <v>1</v>
      </c>
      <c r="AC137" s="4">
        <v>2</v>
      </c>
      <c r="AD137" s="4">
        <v>0</v>
      </c>
      <c r="AE137" s="4">
        <v>3</v>
      </c>
      <c r="AF137" s="4">
        <v>0</v>
      </c>
      <c r="AG137" s="4">
        <v>0</v>
      </c>
      <c r="AH137" s="4">
        <v>0</v>
      </c>
      <c r="AI137" s="4">
        <v>1</v>
      </c>
      <c r="AJ137" s="4">
        <v>0</v>
      </c>
      <c r="AK137" s="4">
        <v>1</v>
      </c>
      <c r="AL137" s="4">
        <v>0</v>
      </c>
      <c r="AM137" s="4">
        <v>1</v>
      </c>
      <c r="AN137" s="4">
        <v>0</v>
      </c>
      <c r="AO137" s="4">
        <v>0</v>
      </c>
      <c r="AP137" s="3" t="s">
        <v>58</v>
      </c>
      <c r="AQ137" s="3" t="s">
        <v>58</v>
      </c>
      <c r="AS137" s="6" t="str">
        <f>HYPERLINK("https://creighton-primo.hosted.exlibrisgroup.com/primo-explore/search?tab=default_tab&amp;search_scope=EVERYTHING&amp;vid=01CRU&amp;lang=en_US&amp;offset=0&amp;query=any,contains,991000846879702656","Catalog Record")</f>
        <v>Catalog Record</v>
      </c>
      <c r="AT137" s="6" t="str">
        <f>HYPERLINK("http://www.worldcat.org/oclc/8666754","WorldCat Record")</f>
        <v>WorldCat Record</v>
      </c>
    </row>
    <row r="138" spans="1:46" ht="30" customHeight="1" x14ac:dyDescent="0.25">
      <c r="A138" s="8" t="s">
        <v>58</v>
      </c>
      <c r="B138" s="2" t="s">
        <v>1335</v>
      </c>
      <c r="C138" s="2" t="s">
        <v>1336</v>
      </c>
      <c r="D138" s="2" t="s">
        <v>1337</v>
      </c>
      <c r="F138" s="3" t="s">
        <v>58</v>
      </c>
      <c r="G138" s="3" t="s">
        <v>59</v>
      </c>
      <c r="H138" s="3" t="s">
        <v>58</v>
      </c>
      <c r="I138" s="3" t="s">
        <v>58</v>
      </c>
      <c r="J138" s="3" t="s">
        <v>60</v>
      </c>
      <c r="K138" s="2" t="s">
        <v>1338</v>
      </c>
      <c r="L138" s="2" t="s">
        <v>1339</v>
      </c>
      <c r="M138" s="3" t="s">
        <v>1311</v>
      </c>
      <c r="O138" s="3" t="s">
        <v>64</v>
      </c>
      <c r="P138" s="3" t="s">
        <v>315</v>
      </c>
      <c r="R138" s="3" t="s">
        <v>912</v>
      </c>
      <c r="S138" s="4">
        <v>10</v>
      </c>
      <c r="T138" s="4">
        <v>10</v>
      </c>
      <c r="U138" s="5" t="s">
        <v>927</v>
      </c>
      <c r="V138" s="5" t="s">
        <v>927</v>
      </c>
      <c r="W138" s="5" t="s">
        <v>1340</v>
      </c>
      <c r="X138" s="5" t="s">
        <v>1340</v>
      </c>
      <c r="Y138" s="4">
        <v>149</v>
      </c>
      <c r="Z138" s="4">
        <v>101</v>
      </c>
      <c r="AA138" s="4">
        <v>103</v>
      </c>
      <c r="AB138" s="4">
        <v>2</v>
      </c>
      <c r="AC138" s="4">
        <v>2</v>
      </c>
      <c r="AD138" s="4">
        <v>3</v>
      </c>
      <c r="AE138" s="4">
        <v>3</v>
      </c>
      <c r="AF138" s="4">
        <v>1</v>
      </c>
      <c r="AG138" s="4">
        <v>1</v>
      </c>
      <c r="AH138" s="4">
        <v>0</v>
      </c>
      <c r="AI138" s="4">
        <v>0</v>
      </c>
      <c r="AJ138" s="4">
        <v>1</v>
      </c>
      <c r="AK138" s="4">
        <v>1</v>
      </c>
      <c r="AL138" s="4">
        <v>1</v>
      </c>
      <c r="AM138" s="4">
        <v>1</v>
      </c>
      <c r="AN138" s="4">
        <v>0</v>
      </c>
      <c r="AO138" s="4">
        <v>0</v>
      </c>
      <c r="AP138" s="3" t="s">
        <v>58</v>
      </c>
      <c r="AQ138" s="3" t="s">
        <v>103</v>
      </c>
      <c r="AR138" s="6" t="str">
        <f>HYPERLINK("http://catalog.hathitrust.org/Record/000250401","HathiTrust Record")</f>
        <v>HathiTrust Record</v>
      </c>
      <c r="AS138" s="6" t="str">
        <f>HYPERLINK("https://creighton-primo.hosted.exlibrisgroup.com/primo-explore/search?tab=default_tab&amp;search_scope=EVERYTHING&amp;vid=01CRU&amp;lang=en_US&amp;offset=0&amp;query=any,contains,991000746189702656","Catalog Record")</f>
        <v>Catalog Record</v>
      </c>
      <c r="AT138" s="6" t="str">
        <f>HYPERLINK("http://www.worldcat.org/oclc/2984308","WorldCat Record")</f>
        <v>WorldCat Record</v>
      </c>
    </row>
    <row r="139" spans="1:46" ht="30" customHeight="1" x14ac:dyDescent="0.25">
      <c r="A139" s="8" t="s">
        <v>58</v>
      </c>
      <c r="B139" s="2" t="s">
        <v>1341</v>
      </c>
      <c r="C139" s="2" t="s">
        <v>1342</v>
      </c>
      <c r="D139" s="2" t="s">
        <v>1343</v>
      </c>
      <c r="F139" s="3" t="s">
        <v>58</v>
      </c>
      <c r="G139" s="3" t="s">
        <v>59</v>
      </c>
      <c r="H139" s="3" t="s">
        <v>58</v>
      </c>
      <c r="I139" s="3" t="s">
        <v>103</v>
      </c>
      <c r="J139" s="3" t="s">
        <v>60</v>
      </c>
      <c r="K139" s="2" t="s">
        <v>1344</v>
      </c>
      <c r="L139" s="2" t="s">
        <v>1345</v>
      </c>
      <c r="M139" s="3" t="s">
        <v>98</v>
      </c>
      <c r="O139" s="3" t="s">
        <v>64</v>
      </c>
      <c r="P139" s="3" t="s">
        <v>1346</v>
      </c>
      <c r="R139" s="3" t="s">
        <v>912</v>
      </c>
      <c r="S139" s="4">
        <v>7</v>
      </c>
      <c r="T139" s="4">
        <v>7</v>
      </c>
      <c r="U139" s="5" t="s">
        <v>1347</v>
      </c>
      <c r="V139" s="5" t="s">
        <v>1347</v>
      </c>
      <c r="W139" s="5" t="s">
        <v>1302</v>
      </c>
      <c r="X139" s="5" t="s">
        <v>1302</v>
      </c>
      <c r="Y139" s="4">
        <v>90</v>
      </c>
      <c r="Z139" s="4">
        <v>80</v>
      </c>
      <c r="AA139" s="4">
        <v>185</v>
      </c>
      <c r="AB139" s="4">
        <v>1</v>
      </c>
      <c r="AC139" s="4">
        <v>1</v>
      </c>
      <c r="AD139" s="4">
        <v>1</v>
      </c>
      <c r="AE139" s="4">
        <v>3</v>
      </c>
      <c r="AF139" s="4">
        <v>1</v>
      </c>
      <c r="AG139" s="4">
        <v>3</v>
      </c>
      <c r="AH139" s="4">
        <v>0</v>
      </c>
      <c r="AI139" s="4">
        <v>0</v>
      </c>
      <c r="AJ139" s="4">
        <v>0</v>
      </c>
      <c r="AK139" s="4">
        <v>1</v>
      </c>
      <c r="AL139" s="4">
        <v>0</v>
      </c>
      <c r="AM139" s="4">
        <v>0</v>
      </c>
      <c r="AN139" s="4">
        <v>0</v>
      </c>
      <c r="AO139" s="4">
        <v>0</v>
      </c>
      <c r="AP139" s="3" t="s">
        <v>58</v>
      </c>
      <c r="AQ139" s="3" t="s">
        <v>103</v>
      </c>
      <c r="AR139" s="6" t="str">
        <f>HYPERLINK("http://catalog.hathitrust.org/Record/000277493","HathiTrust Record")</f>
        <v>HathiTrust Record</v>
      </c>
      <c r="AS139" s="6" t="str">
        <f>HYPERLINK("https://creighton-primo.hosted.exlibrisgroup.com/primo-explore/search?tab=default_tab&amp;search_scope=EVERYTHING&amp;vid=01CRU&amp;lang=en_US&amp;offset=0&amp;query=any,contains,991001280179702656","Catalog Record")</f>
        <v>Catalog Record</v>
      </c>
      <c r="AT139" s="6" t="str">
        <f>HYPERLINK("http://www.worldcat.org/oclc/9195022","WorldCat Record")</f>
        <v>WorldCat Record</v>
      </c>
    </row>
    <row r="140" spans="1:46" ht="30" customHeight="1" x14ac:dyDescent="0.25">
      <c r="A140" s="8" t="s">
        <v>58</v>
      </c>
      <c r="B140" s="2" t="s">
        <v>1348</v>
      </c>
      <c r="C140" s="2" t="s">
        <v>1349</v>
      </c>
      <c r="D140" s="2" t="s">
        <v>1350</v>
      </c>
      <c r="F140" s="3" t="s">
        <v>58</v>
      </c>
      <c r="G140" s="3" t="s">
        <v>59</v>
      </c>
      <c r="H140" s="3" t="s">
        <v>58</v>
      </c>
      <c r="I140" s="3" t="s">
        <v>58</v>
      </c>
      <c r="J140" s="3" t="s">
        <v>60</v>
      </c>
      <c r="K140" s="2" t="s">
        <v>1344</v>
      </c>
      <c r="L140" s="2" t="s">
        <v>1351</v>
      </c>
      <c r="M140" s="3" t="s">
        <v>574</v>
      </c>
      <c r="N140" s="2" t="s">
        <v>1038</v>
      </c>
      <c r="O140" s="3" t="s">
        <v>64</v>
      </c>
      <c r="P140" s="3" t="s">
        <v>976</v>
      </c>
      <c r="R140" s="3" t="s">
        <v>912</v>
      </c>
      <c r="S140" s="4">
        <v>128</v>
      </c>
      <c r="T140" s="4">
        <v>128</v>
      </c>
      <c r="U140" s="5" t="s">
        <v>1352</v>
      </c>
      <c r="V140" s="5" t="s">
        <v>1352</v>
      </c>
      <c r="W140" s="5" t="s">
        <v>1353</v>
      </c>
      <c r="X140" s="5" t="s">
        <v>1353</v>
      </c>
      <c r="Y140" s="4">
        <v>441</v>
      </c>
      <c r="Z140" s="4">
        <v>296</v>
      </c>
      <c r="AA140" s="4">
        <v>469</v>
      </c>
      <c r="AB140" s="4">
        <v>2</v>
      </c>
      <c r="AC140" s="4">
        <v>5</v>
      </c>
      <c r="AD140" s="4">
        <v>10</v>
      </c>
      <c r="AE140" s="4">
        <v>16</v>
      </c>
      <c r="AF140" s="4">
        <v>2</v>
      </c>
      <c r="AG140" s="4">
        <v>3</v>
      </c>
      <c r="AH140" s="4">
        <v>2</v>
      </c>
      <c r="AI140" s="4">
        <v>3</v>
      </c>
      <c r="AJ140" s="4">
        <v>7</v>
      </c>
      <c r="AK140" s="4">
        <v>9</v>
      </c>
      <c r="AL140" s="4">
        <v>1</v>
      </c>
      <c r="AM140" s="4">
        <v>3</v>
      </c>
      <c r="AN140" s="4">
        <v>0</v>
      </c>
      <c r="AO140" s="4">
        <v>1</v>
      </c>
      <c r="AP140" s="3" t="s">
        <v>58</v>
      </c>
      <c r="AQ140" s="3" t="s">
        <v>103</v>
      </c>
      <c r="AR140" s="6" t="str">
        <f>HYPERLINK("http://catalog.hathitrust.org/Record/002727984","HathiTrust Record")</f>
        <v>HathiTrust Record</v>
      </c>
      <c r="AS140" s="6" t="str">
        <f>HYPERLINK("https://creighton-primo.hosted.exlibrisgroup.com/primo-explore/search?tab=default_tab&amp;search_scope=EVERYTHING&amp;vid=01CRU&amp;lang=en_US&amp;offset=0&amp;query=any,contains,991001547079702656","Catalog Record")</f>
        <v>Catalog Record</v>
      </c>
      <c r="AT140" s="6" t="str">
        <f>HYPERLINK("http://www.worldcat.org/oclc/26893648","WorldCat Record")</f>
        <v>WorldCat Record</v>
      </c>
    </row>
    <row r="141" spans="1:46" ht="30" customHeight="1" x14ac:dyDescent="0.25">
      <c r="A141" s="8" t="s">
        <v>58</v>
      </c>
      <c r="B141" s="2" t="s">
        <v>1354</v>
      </c>
      <c r="C141" s="2" t="s">
        <v>1355</v>
      </c>
      <c r="D141" s="2" t="s">
        <v>1356</v>
      </c>
      <c r="E141" s="3" t="s">
        <v>1357</v>
      </c>
      <c r="F141" s="3" t="s">
        <v>103</v>
      </c>
      <c r="G141" s="3" t="s">
        <v>59</v>
      </c>
      <c r="H141" s="3" t="s">
        <v>58</v>
      </c>
      <c r="I141" s="3" t="s">
        <v>103</v>
      </c>
      <c r="J141" s="3" t="s">
        <v>60</v>
      </c>
      <c r="K141" s="2" t="s">
        <v>1358</v>
      </c>
      <c r="M141" s="3" t="s">
        <v>330</v>
      </c>
      <c r="N141" s="2" t="s">
        <v>1359</v>
      </c>
      <c r="O141" s="3" t="s">
        <v>64</v>
      </c>
      <c r="P141" s="3" t="s">
        <v>1115</v>
      </c>
      <c r="R141" s="3" t="s">
        <v>912</v>
      </c>
      <c r="S141" s="4">
        <v>109</v>
      </c>
      <c r="T141" s="4">
        <v>109</v>
      </c>
      <c r="U141" s="5" t="s">
        <v>1360</v>
      </c>
      <c r="V141" s="5" t="s">
        <v>1360</v>
      </c>
      <c r="W141" s="5" t="s">
        <v>1361</v>
      </c>
      <c r="X141" s="5" t="s">
        <v>1361</v>
      </c>
      <c r="Y141" s="4">
        <v>967</v>
      </c>
      <c r="Z141" s="4">
        <v>913</v>
      </c>
      <c r="AA141" s="4">
        <v>1256</v>
      </c>
      <c r="AB141" s="4">
        <v>9</v>
      </c>
      <c r="AC141" s="4">
        <v>13</v>
      </c>
      <c r="AD141" s="4">
        <v>27</v>
      </c>
      <c r="AE141" s="4">
        <v>37</v>
      </c>
      <c r="AF141" s="4">
        <v>12</v>
      </c>
      <c r="AG141" s="4">
        <v>14</v>
      </c>
      <c r="AH141" s="4">
        <v>4</v>
      </c>
      <c r="AI141" s="4">
        <v>6</v>
      </c>
      <c r="AJ141" s="4">
        <v>10</v>
      </c>
      <c r="AK141" s="4">
        <v>14</v>
      </c>
      <c r="AL141" s="4">
        <v>5</v>
      </c>
      <c r="AM141" s="4">
        <v>9</v>
      </c>
      <c r="AN141" s="4">
        <v>0</v>
      </c>
      <c r="AO141" s="4">
        <v>0</v>
      </c>
      <c r="AP141" s="3" t="s">
        <v>58</v>
      </c>
      <c r="AQ141" s="3" t="s">
        <v>103</v>
      </c>
      <c r="AR141" s="6" t="str">
        <f>HYPERLINK("http://catalog.hathitrust.org/Record/008744993","HathiTrust Record")</f>
        <v>HathiTrust Record</v>
      </c>
      <c r="AS141" s="6" t="str">
        <f>HYPERLINK("https://creighton-primo.hosted.exlibrisgroup.com/primo-explore/search?tab=default_tab&amp;search_scope=EVERYTHING&amp;vid=01CRU&amp;lang=en_US&amp;offset=0&amp;query=any,contains,991000756169702656","Catalog Record")</f>
        <v>Catalog Record</v>
      </c>
      <c r="AT141" s="6" t="str">
        <f>HYPERLINK("http://www.worldcat.org/oclc/557259","WorldCat Record")</f>
        <v>WorldCat Record</v>
      </c>
    </row>
    <row r="142" spans="1:46" ht="30" customHeight="1" x14ac:dyDescent="0.25">
      <c r="A142" s="8" t="s">
        <v>58</v>
      </c>
      <c r="B142" s="2" t="s">
        <v>1362</v>
      </c>
      <c r="C142" s="2" t="s">
        <v>1363</v>
      </c>
      <c r="D142" s="2" t="s">
        <v>1364</v>
      </c>
      <c r="F142" s="3" t="s">
        <v>58</v>
      </c>
      <c r="G142" s="3" t="s">
        <v>59</v>
      </c>
      <c r="H142" s="3" t="s">
        <v>58</v>
      </c>
      <c r="I142" s="3" t="s">
        <v>58</v>
      </c>
      <c r="J142" s="3" t="s">
        <v>60</v>
      </c>
      <c r="K142" s="2" t="s">
        <v>1365</v>
      </c>
      <c r="L142" s="2" t="s">
        <v>1366</v>
      </c>
      <c r="M142" s="3" t="s">
        <v>1187</v>
      </c>
      <c r="O142" s="3" t="s">
        <v>64</v>
      </c>
      <c r="P142" s="3" t="s">
        <v>911</v>
      </c>
      <c r="R142" s="3" t="s">
        <v>912</v>
      </c>
      <c r="S142" s="4">
        <v>17</v>
      </c>
      <c r="T142" s="4">
        <v>17</v>
      </c>
      <c r="U142" s="5" t="s">
        <v>1367</v>
      </c>
      <c r="V142" s="5" t="s">
        <v>1367</v>
      </c>
      <c r="W142" s="5" t="s">
        <v>1368</v>
      </c>
      <c r="X142" s="5" t="s">
        <v>1368</v>
      </c>
      <c r="Y142" s="4">
        <v>149</v>
      </c>
      <c r="Z142" s="4">
        <v>111</v>
      </c>
      <c r="AA142" s="4">
        <v>111</v>
      </c>
      <c r="AB142" s="4">
        <v>1</v>
      </c>
      <c r="AC142" s="4">
        <v>1</v>
      </c>
      <c r="AD142" s="4">
        <v>1</v>
      </c>
      <c r="AE142" s="4">
        <v>1</v>
      </c>
      <c r="AF142" s="4">
        <v>0</v>
      </c>
      <c r="AG142" s="4">
        <v>0</v>
      </c>
      <c r="AH142" s="4">
        <v>1</v>
      </c>
      <c r="AI142" s="4">
        <v>1</v>
      </c>
      <c r="AJ142" s="4">
        <v>0</v>
      </c>
      <c r="AK142" s="4">
        <v>0</v>
      </c>
      <c r="AL142" s="4">
        <v>0</v>
      </c>
      <c r="AM142" s="4">
        <v>0</v>
      </c>
      <c r="AN142" s="4">
        <v>0</v>
      </c>
      <c r="AO142" s="4">
        <v>0</v>
      </c>
      <c r="AP142" s="3" t="s">
        <v>58</v>
      </c>
      <c r="AQ142" s="3" t="s">
        <v>58</v>
      </c>
      <c r="AS142" s="6" t="str">
        <f>HYPERLINK("https://creighton-primo.hosted.exlibrisgroup.com/primo-explore/search?tab=default_tab&amp;search_scope=EVERYTHING&amp;vid=01CRU&amp;lang=en_US&amp;offset=0&amp;query=any,contains,991000668129702656","Catalog Record")</f>
        <v>Catalog Record</v>
      </c>
      <c r="AT142" s="6" t="str">
        <f>HYPERLINK("http://www.worldcat.org/oclc/16900098","WorldCat Record")</f>
        <v>WorldCat Record</v>
      </c>
    </row>
    <row r="143" spans="1:46" ht="30" customHeight="1" x14ac:dyDescent="0.25">
      <c r="A143" s="8" t="s">
        <v>58</v>
      </c>
      <c r="B143" s="2" t="s">
        <v>1369</v>
      </c>
      <c r="C143" s="2" t="s">
        <v>1370</v>
      </c>
      <c r="D143" s="2" t="s">
        <v>1371</v>
      </c>
      <c r="F143" s="3" t="s">
        <v>58</v>
      </c>
      <c r="G143" s="3" t="s">
        <v>59</v>
      </c>
      <c r="H143" s="3" t="s">
        <v>58</v>
      </c>
      <c r="I143" s="3" t="s">
        <v>58</v>
      </c>
      <c r="J143" s="3" t="s">
        <v>60</v>
      </c>
      <c r="K143" s="2" t="s">
        <v>1372</v>
      </c>
      <c r="L143" s="2" t="s">
        <v>1373</v>
      </c>
      <c r="M143" s="3" t="s">
        <v>374</v>
      </c>
      <c r="N143" s="2" t="s">
        <v>882</v>
      </c>
      <c r="O143" s="3" t="s">
        <v>64</v>
      </c>
      <c r="P143" s="3" t="s">
        <v>133</v>
      </c>
      <c r="R143" s="3" t="s">
        <v>912</v>
      </c>
      <c r="S143" s="4">
        <v>99</v>
      </c>
      <c r="T143" s="4">
        <v>99</v>
      </c>
      <c r="U143" s="5" t="s">
        <v>1374</v>
      </c>
      <c r="V143" s="5" t="s">
        <v>1374</v>
      </c>
      <c r="W143" s="5" t="s">
        <v>1375</v>
      </c>
      <c r="X143" s="5" t="s">
        <v>1375</v>
      </c>
      <c r="Y143" s="4">
        <v>218</v>
      </c>
      <c r="Z143" s="4">
        <v>165</v>
      </c>
      <c r="AA143" s="4">
        <v>391</v>
      </c>
      <c r="AB143" s="4">
        <v>1</v>
      </c>
      <c r="AC143" s="4">
        <v>2</v>
      </c>
      <c r="AD143" s="4">
        <v>1</v>
      </c>
      <c r="AE143" s="4">
        <v>6</v>
      </c>
      <c r="AF143" s="4">
        <v>0</v>
      </c>
      <c r="AG143" s="4">
        <v>2</v>
      </c>
      <c r="AH143" s="4">
        <v>0</v>
      </c>
      <c r="AI143" s="4">
        <v>0</v>
      </c>
      <c r="AJ143" s="4">
        <v>1</v>
      </c>
      <c r="AK143" s="4">
        <v>4</v>
      </c>
      <c r="AL143" s="4">
        <v>0</v>
      </c>
      <c r="AM143" s="4">
        <v>1</v>
      </c>
      <c r="AN143" s="4">
        <v>0</v>
      </c>
      <c r="AO143" s="4">
        <v>0</v>
      </c>
      <c r="AP143" s="3" t="s">
        <v>58</v>
      </c>
      <c r="AQ143" s="3" t="s">
        <v>103</v>
      </c>
      <c r="AR143" s="6" t="str">
        <f>HYPERLINK("http://catalog.hathitrust.org/Record/003012068","HathiTrust Record")</f>
        <v>HathiTrust Record</v>
      </c>
      <c r="AS143" s="6" t="str">
        <f>HYPERLINK("https://creighton-primo.hosted.exlibrisgroup.com/primo-explore/search?tab=default_tab&amp;search_scope=EVERYTHING&amp;vid=01CRU&amp;lang=en_US&amp;offset=0&amp;query=any,contains,991001497219702656","Catalog Record")</f>
        <v>Catalog Record</v>
      </c>
      <c r="AT143" s="6" t="str">
        <f>HYPERLINK("http://www.worldcat.org/oclc/32591074","WorldCat Record")</f>
        <v>WorldCat Record</v>
      </c>
    </row>
    <row r="144" spans="1:46" ht="30" customHeight="1" x14ac:dyDescent="0.25">
      <c r="A144" s="8" t="s">
        <v>58</v>
      </c>
      <c r="B144" s="2" t="s">
        <v>1376</v>
      </c>
      <c r="C144" s="2" t="s">
        <v>1377</v>
      </c>
      <c r="D144" s="2" t="s">
        <v>1378</v>
      </c>
      <c r="E144" s="3" t="s">
        <v>1379</v>
      </c>
      <c r="F144" s="3" t="s">
        <v>103</v>
      </c>
      <c r="G144" s="3" t="s">
        <v>59</v>
      </c>
      <c r="H144" s="3" t="s">
        <v>58</v>
      </c>
      <c r="I144" s="3" t="s">
        <v>58</v>
      </c>
      <c r="J144" s="3" t="s">
        <v>60</v>
      </c>
      <c r="K144" s="2" t="s">
        <v>1380</v>
      </c>
      <c r="L144" s="2" t="s">
        <v>1381</v>
      </c>
      <c r="M144" s="3" t="s">
        <v>345</v>
      </c>
      <c r="O144" s="3" t="s">
        <v>64</v>
      </c>
      <c r="P144" s="3" t="s">
        <v>65</v>
      </c>
      <c r="R144" s="3" t="s">
        <v>912</v>
      </c>
      <c r="S144" s="4">
        <v>68</v>
      </c>
      <c r="T144" s="4">
        <v>195</v>
      </c>
      <c r="U144" s="5" t="s">
        <v>1382</v>
      </c>
      <c r="V144" s="5" t="s">
        <v>1382</v>
      </c>
      <c r="W144" s="5" t="s">
        <v>1383</v>
      </c>
      <c r="X144" s="5" t="s">
        <v>1383</v>
      </c>
      <c r="Y144" s="4">
        <v>330</v>
      </c>
      <c r="Z144" s="4">
        <v>274</v>
      </c>
      <c r="AA144" s="4">
        <v>277</v>
      </c>
      <c r="AB144" s="4">
        <v>4</v>
      </c>
      <c r="AC144" s="4">
        <v>4</v>
      </c>
      <c r="AD144" s="4">
        <v>7</v>
      </c>
      <c r="AE144" s="4">
        <v>7</v>
      </c>
      <c r="AF144" s="4">
        <v>0</v>
      </c>
      <c r="AG144" s="4">
        <v>0</v>
      </c>
      <c r="AH144" s="4">
        <v>2</v>
      </c>
      <c r="AI144" s="4">
        <v>2</v>
      </c>
      <c r="AJ144" s="4">
        <v>4</v>
      </c>
      <c r="AK144" s="4">
        <v>4</v>
      </c>
      <c r="AL144" s="4">
        <v>2</v>
      </c>
      <c r="AM144" s="4">
        <v>2</v>
      </c>
      <c r="AN144" s="4">
        <v>0</v>
      </c>
      <c r="AO144" s="4">
        <v>0</v>
      </c>
      <c r="AP144" s="3" t="s">
        <v>58</v>
      </c>
      <c r="AQ144" s="3" t="s">
        <v>103</v>
      </c>
      <c r="AR144" s="6" t="str">
        <f>HYPERLINK("http://catalog.hathitrust.org/Record/001552533","HathiTrust Record")</f>
        <v>HathiTrust Record</v>
      </c>
      <c r="AS144" s="6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T144" s="6" t="str">
        <f>HYPERLINK("http://www.worldcat.org/oclc/965235","WorldCat Record")</f>
        <v>WorldCat Record</v>
      </c>
    </row>
    <row r="145" spans="1:46" ht="30" customHeight="1" x14ac:dyDescent="0.25">
      <c r="A145" s="8" t="s">
        <v>58</v>
      </c>
      <c r="B145" s="2" t="s">
        <v>1376</v>
      </c>
      <c r="C145" s="2" t="s">
        <v>1377</v>
      </c>
      <c r="D145" s="2" t="s">
        <v>1378</v>
      </c>
      <c r="E145" s="3" t="s">
        <v>1384</v>
      </c>
      <c r="F145" s="3" t="s">
        <v>103</v>
      </c>
      <c r="G145" s="3" t="s">
        <v>59</v>
      </c>
      <c r="H145" s="3" t="s">
        <v>58</v>
      </c>
      <c r="I145" s="3" t="s">
        <v>58</v>
      </c>
      <c r="J145" s="3" t="s">
        <v>60</v>
      </c>
      <c r="K145" s="2" t="s">
        <v>1380</v>
      </c>
      <c r="L145" s="2" t="s">
        <v>1381</v>
      </c>
      <c r="M145" s="3" t="s">
        <v>345</v>
      </c>
      <c r="O145" s="3" t="s">
        <v>64</v>
      </c>
      <c r="P145" s="3" t="s">
        <v>65</v>
      </c>
      <c r="R145" s="3" t="s">
        <v>912</v>
      </c>
      <c r="S145" s="4">
        <v>127</v>
      </c>
      <c r="T145" s="4">
        <v>195</v>
      </c>
      <c r="U145" s="5" t="s">
        <v>1382</v>
      </c>
      <c r="V145" s="5" t="s">
        <v>1382</v>
      </c>
      <c r="W145" s="5" t="s">
        <v>1383</v>
      </c>
      <c r="X145" s="5" t="s">
        <v>1383</v>
      </c>
      <c r="Y145" s="4">
        <v>330</v>
      </c>
      <c r="Z145" s="4">
        <v>274</v>
      </c>
      <c r="AA145" s="4">
        <v>277</v>
      </c>
      <c r="AB145" s="4">
        <v>4</v>
      </c>
      <c r="AC145" s="4">
        <v>4</v>
      </c>
      <c r="AD145" s="4">
        <v>7</v>
      </c>
      <c r="AE145" s="4">
        <v>7</v>
      </c>
      <c r="AF145" s="4">
        <v>0</v>
      </c>
      <c r="AG145" s="4">
        <v>0</v>
      </c>
      <c r="AH145" s="4">
        <v>2</v>
      </c>
      <c r="AI145" s="4">
        <v>2</v>
      </c>
      <c r="AJ145" s="4">
        <v>4</v>
      </c>
      <c r="AK145" s="4">
        <v>4</v>
      </c>
      <c r="AL145" s="4">
        <v>2</v>
      </c>
      <c r="AM145" s="4">
        <v>2</v>
      </c>
      <c r="AN145" s="4">
        <v>0</v>
      </c>
      <c r="AO145" s="4">
        <v>0</v>
      </c>
      <c r="AP145" s="3" t="s">
        <v>58</v>
      </c>
      <c r="AQ145" s="3" t="s">
        <v>103</v>
      </c>
      <c r="AR145" s="6" t="str">
        <f>HYPERLINK("http://catalog.hathitrust.org/Record/001552533","HathiTrust Record")</f>
        <v>HathiTrust Record</v>
      </c>
      <c r="AS145" s="6" t="str">
        <f>HYPERLINK("https://creighton-primo.hosted.exlibrisgroup.com/primo-explore/search?tab=default_tab&amp;search_scope=EVERYTHING&amp;vid=01CRU&amp;lang=en_US&amp;offset=0&amp;query=any,contains,991001309479702656","Catalog Record")</f>
        <v>Catalog Record</v>
      </c>
      <c r="AT145" s="6" t="str">
        <f>HYPERLINK("http://www.worldcat.org/oclc/965235","WorldCat Record")</f>
        <v>WorldCat Record</v>
      </c>
    </row>
    <row r="146" spans="1:46" ht="30" customHeight="1" x14ac:dyDescent="0.25">
      <c r="A146" s="8" t="s">
        <v>58</v>
      </c>
      <c r="B146" s="2" t="s">
        <v>1385</v>
      </c>
      <c r="C146" s="2" t="s">
        <v>1386</v>
      </c>
      <c r="D146" s="2" t="s">
        <v>1387</v>
      </c>
      <c r="E146" s="3" t="s">
        <v>697</v>
      </c>
      <c r="F146" s="3" t="s">
        <v>103</v>
      </c>
      <c r="G146" s="3" t="s">
        <v>59</v>
      </c>
      <c r="H146" s="3" t="s">
        <v>103</v>
      </c>
      <c r="I146" s="3" t="s">
        <v>58</v>
      </c>
      <c r="J146" s="3" t="s">
        <v>60</v>
      </c>
      <c r="K146" s="2" t="s">
        <v>1380</v>
      </c>
      <c r="L146" s="2" t="s">
        <v>1388</v>
      </c>
      <c r="M146" s="3" t="s">
        <v>431</v>
      </c>
      <c r="N146" s="2" t="s">
        <v>1389</v>
      </c>
      <c r="O146" s="3" t="s">
        <v>64</v>
      </c>
      <c r="P146" s="3" t="s">
        <v>911</v>
      </c>
      <c r="R146" s="3" t="s">
        <v>912</v>
      </c>
      <c r="S146" s="4">
        <v>80</v>
      </c>
      <c r="T146" s="4">
        <v>213</v>
      </c>
      <c r="U146" s="5" t="s">
        <v>1382</v>
      </c>
      <c r="V146" s="5" t="s">
        <v>1382</v>
      </c>
      <c r="W146" s="5" t="s">
        <v>1383</v>
      </c>
      <c r="X146" s="5" t="s">
        <v>1383</v>
      </c>
      <c r="Y146" s="4">
        <v>301</v>
      </c>
      <c r="Z146" s="4">
        <v>238</v>
      </c>
      <c r="AA146" s="4">
        <v>242</v>
      </c>
      <c r="AB146" s="4">
        <v>3</v>
      </c>
      <c r="AC146" s="4">
        <v>3</v>
      </c>
      <c r="AD146" s="4">
        <v>4</v>
      </c>
      <c r="AE146" s="4">
        <v>4</v>
      </c>
      <c r="AF146" s="4">
        <v>1</v>
      </c>
      <c r="AG146" s="4">
        <v>1</v>
      </c>
      <c r="AH146" s="4">
        <v>2</v>
      </c>
      <c r="AI146" s="4">
        <v>2</v>
      </c>
      <c r="AJ146" s="4">
        <v>1</v>
      </c>
      <c r="AK146" s="4">
        <v>1</v>
      </c>
      <c r="AL146" s="4">
        <v>1</v>
      </c>
      <c r="AM146" s="4">
        <v>1</v>
      </c>
      <c r="AN146" s="4">
        <v>0</v>
      </c>
      <c r="AO146" s="4">
        <v>0</v>
      </c>
      <c r="AP146" s="3" t="s">
        <v>58</v>
      </c>
      <c r="AQ146" s="3" t="s">
        <v>103</v>
      </c>
      <c r="AR146" s="6" t="str">
        <f>HYPERLINK("http://catalog.hathitrust.org/Record/000181754","HathiTrust Record")</f>
        <v>HathiTrust Record</v>
      </c>
      <c r="AS146" s="6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T146" s="6" t="str">
        <f>HYPERLINK("http://www.worldcat.org/oclc/5777138","WorldCat Record")</f>
        <v>WorldCat Record</v>
      </c>
    </row>
    <row r="147" spans="1:46" ht="30" customHeight="1" x14ac:dyDescent="0.25">
      <c r="A147" s="8" t="s">
        <v>58</v>
      </c>
      <c r="B147" s="2" t="s">
        <v>1385</v>
      </c>
      <c r="C147" s="2" t="s">
        <v>1386</v>
      </c>
      <c r="D147" s="2" t="s">
        <v>1387</v>
      </c>
      <c r="E147" s="3" t="s">
        <v>1333</v>
      </c>
      <c r="F147" s="3" t="s">
        <v>103</v>
      </c>
      <c r="G147" s="3" t="s">
        <v>59</v>
      </c>
      <c r="H147" s="3" t="s">
        <v>103</v>
      </c>
      <c r="I147" s="3" t="s">
        <v>58</v>
      </c>
      <c r="J147" s="3" t="s">
        <v>60</v>
      </c>
      <c r="K147" s="2" t="s">
        <v>1380</v>
      </c>
      <c r="L147" s="2" t="s">
        <v>1388</v>
      </c>
      <c r="M147" s="3" t="s">
        <v>431</v>
      </c>
      <c r="N147" s="2" t="s">
        <v>1389</v>
      </c>
      <c r="O147" s="3" t="s">
        <v>64</v>
      </c>
      <c r="P147" s="3" t="s">
        <v>911</v>
      </c>
      <c r="R147" s="3" t="s">
        <v>912</v>
      </c>
      <c r="S147" s="4">
        <v>74</v>
      </c>
      <c r="T147" s="4">
        <v>213</v>
      </c>
      <c r="U147" s="5" t="s">
        <v>1382</v>
      </c>
      <c r="V147" s="5" t="s">
        <v>1382</v>
      </c>
      <c r="W147" s="5" t="s">
        <v>1383</v>
      </c>
      <c r="X147" s="5" t="s">
        <v>1383</v>
      </c>
      <c r="Y147" s="4">
        <v>301</v>
      </c>
      <c r="Z147" s="4">
        <v>238</v>
      </c>
      <c r="AA147" s="4">
        <v>242</v>
      </c>
      <c r="AB147" s="4">
        <v>3</v>
      </c>
      <c r="AC147" s="4">
        <v>3</v>
      </c>
      <c r="AD147" s="4">
        <v>4</v>
      </c>
      <c r="AE147" s="4">
        <v>4</v>
      </c>
      <c r="AF147" s="4">
        <v>1</v>
      </c>
      <c r="AG147" s="4">
        <v>1</v>
      </c>
      <c r="AH147" s="4">
        <v>2</v>
      </c>
      <c r="AI147" s="4">
        <v>2</v>
      </c>
      <c r="AJ147" s="4">
        <v>1</v>
      </c>
      <c r="AK147" s="4">
        <v>1</v>
      </c>
      <c r="AL147" s="4">
        <v>1</v>
      </c>
      <c r="AM147" s="4">
        <v>1</v>
      </c>
      <c r="AN147" s="4">
        <v>0</v>
      </c>
      <c r="AO147" s="4">
        <v>0</v>
      </c>
      <c r="AP147" s="3" t="s">
        <v>58</v>
      </c>
      <c r="AQ147" s="3" t="s">
        <v>103</v>
      </c>
      <c r="AR147" s="6" t="str">
        <f>HYPERLINK("http://catalog.hathitrust.org/Record/000181754","HathiTrust Record")</f>
        <v>HathiTrust Record</v>
      </c>
      <c r="AS147" s="6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T147" s="6" t="str">
        <f>HYPERLINK("http://www.worldcat.org/oclc/5777138","WorldCat Record")</f>
        <v>WorldCat Record</v>
      </c>
    </row>
    <row r="148" spans="1:46" ht="30" customHeight="1" x14ac:dyDescent="0.25">
      <c r="A148" s="8" t="s">
        <v>58</v>
      </c>
      <c r="B148" s="2" t="s">
        <v>1385</v>
      </c>
      <c r="C148" s="2" t="s">
        <v>1386</v>
      </c>
      <c r="D148" s="2" t="s">
        <v>1387</v>
      </c>
      <c r="E148" s="3" t="s">
        <v>1333</v>
      </c>
      <c r="F148" s="3" t="s">
        <v>103</v>
      </c>
      <c r="G148" s="3" t="s">
        <v>1141</v>
      </c>
      <c r="H148" s="3" t="s">
        <v>103</v>
      </c>
      <c r="I148" s="3" t="s">
        <v>58</v>
      </c>
      <c r="J148" s="3" t="s">
        <v>60</v>
      </c>
      <c r="K148" s="2" t="s">
        <v>1380</v>
      </c>
      <c r="L148" s="2" t="s">
        <v>1388</v>
      </c>
      <c r="M148" s="3" t="s">
        <v>431</v>
      </c>
      <c r="N148" s="2" t="s">
        <v>1389</v>
      </c>
      <c r="O148" s="3" t="s">
        <v>64</v>
      </c>
      <c r="P148" s="3" t="s">
        <v>911</v>
      </c>
      <c r="R148" s="3" t="s">
        <v>912</v>
      </c>
      <c r="S148" s="4">
        <v>53</v>
      </c>
      <c r="T148" s="4">
        <v>213</v>
      </c>
      <c r="U148" s="5" t="s">
        <v>1382</v>
      </c>
      <c r="V148" s="5" t="s">
        <v>1382</v>
      </c>
      <c r="W148" s="5" t="s">
        <v>1383</v>
      </c>
      <c r="X148" s="5" t="s">
        <v>1383</v>
      </c>
      <c r="Y148" s="4">
        <v>301</v>
      </c>
      <c r="Z148" s="4">
        <v>238</v>
      </c>
      <c r="AA148" s="4">
        <v>242</v>
      </c>
      <c r="AB148" s="4">
        <v>3</v>
      </c>
      <c r="AC148" s="4">
        <v>3</v>
      </c>
      <c r="AD148" s="4">
        <v>4</v>
      </c>
      <c r="AE148" s="4">
        <v>4</v>
      </c>
      <c r="AF148" s="4">
        <v>1</v>
      </c>
      <c r="AG148" s="4">
        <v>1</v>
      </c>
      <c r="AH148" s="4">
        <v>2</v>
      </c>
      <c r="AI148" s="4">
        <v>2</v>
      </c>
      <c r="AJ148" s="4">
        <v>1</v>
      </c>
      <c r="AK148" s="4">
        <v>1</v>
      </c>
      <c r="AL148" s="4">
        <v>1</v>
      </c>
      <c r="AM148" s="4">
        <v>1</v>
      </c>
      <c r="AN148" s="4">
        <v>0</v>
      </c>
      <c r="AO148" s="4">
        <v>0</v>
      </c>
      <c r="AP148" s="3" t="s">
        <v>58</v>
      </c>
      <c r="AQ148" s="3" t="s">
        <v>103</v>
      </c>
      <c r="AR148" s="6" t="str">
        <f>HYPERLINK("http://catalog.hathitrust.org/Record/000181754","HathiTrust Record")</f>
        <v>HathiTrust Record</v>
      </c>
      <c r="AS148" s="6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T148" s="6" t="str">
        <f>HYPERLINK("http://www.worldcat.org/oclc/5777138","WorldCat Record")</f>
        <v>WorldCat Record</v>
      </c>
    </row>
    <row r="149" spans="1:46" ht="30" customHeight="1" x14ac:dyDescent="0.25">
      <c r="A149" s="8" t="s">
        <v>58</v>
      </c>
      <c r="B149" s="2" t="s">
        <v>1385</v>
      </c>
      <c r="C149" s="2" t="s">
        <v>1386</v>
      </c>
      <c r="D149" s="2" t="s">
        <v>1387</v>
      </c>
      <c r="E149" s="3" t="s">
        <v>697</v>
      </c>
      <c r="F149" s="3" t="s">
        <v>103</v>
      </c>
      <c r="G149" s="3" t="s">
        <v>1141</v>
      </c>
      <c r="H149" s="3" t="s">
        <v>103</v>
      </c>
      <c r="I149" s="3" t="s">
        <v>58</v>
      </c>
      <c r="J149" s="3" t="s">
        <v>60</v>
      </c>
      <c r="K149" s="2" t="s">
        <v>1380</v>
      </c>
      <c r="L149" s="2" t="s">
        <v>1388</v>
      </c>
      <c r="M149" s="3" t="s">
        <v>431</v>
      </c>
      <c r="N149" s="2" t="s">
        <v>1389</v>
      </c>
      <c r="O149" s="3" t="s">
        <v>64</v>
      </c>
      <c r="P149" s="3" t="s">
        <v>911</v>
      </c>
      <c r="R149" s="3" t="s">
        <v>912</v>
      </c>
      <c r="S149" s="4">
        <v>6</v>
      </c>
      <c r="T149" s="4">
        <v>213</v>
      </c>
      <c r="U149" s="5" t="s">
        <v>1390</v>
      </c>
      <c r="V149" s="5" t="s">
        <v>1382</v>
      </c>
      <c r="W149" s="5" t="s">
        <v>1391</v>
      </c>
      <c r="X149" s="5" t="s">
        <v>1383</v>
      </c>
      <c r="Y149" s="4">
        <v>301</v>
      </c>
      <c r="Z149" s="4">
        <v>238</v>
      </c>
      <c r="AA149" s="4">
        <v>242</v>
      </c>
      <c r="AB149" s="4">
        <v>3</v>
      </c>
      <c r="AC149" s="4">
        <v>3</v>
      </c>
      <c r="AD149" s="4">
        <v>4</v>
      </c>
      <c r="AE149" s="4">
        <v>4</v>
      </c>
      <c r="AF149" s="4">
        <v>1</v>
      </c>
      <c r="AG149" s="4">
        <v>1</v>
      </c>
      <c r="AH149" s="4">
        <v>2</v>
      </c>
      <c r="AI149" s="4">
        <v>2</v>
      </c>
      <c r="AJ149" s="4">
        <v>1</v>
      </c>
      <c r="AK149" s="4">
        <v>1</v>
      </c>
      <c r="AL149" s="4">
        <v>1</v>
      </c>
      <c r="AM149" s="4">
        <v>1</v>
      </c>
      <c r="AN149" s="4">
        <v>0</v>
      </c>
      <c r="AO149" s="4">
        <v>0</v>
      </c>
      <c r="AP149" s="3" t="s">
        <v>58</v>
      </c>
      <c r="AQ149" s="3" t="s">
        <v>103</v>
      </c>
      <c r="AR149" s="6" t="str">
        <f>HYPERLINK("http://catalog.hathitrust.org/Record/000181754","HathiTrust Record")</f>
        <v>HathiTrust Record</v>
      </c>
      <c r="AS149" s="6" t="str">
        <f>HYPERLINK("https://creighton-primo.hosted.exlibrisgroup.com/primo-explore/search?tab=default_tab&amp;search_scope=EVERYTHING&amp;vid=01CRU&amp;lang=en_US&amp;offset=0&amp;query=any,contains,991001280229702656","Catalog Record")</f>
        <v>Catalog Record</v>
      </c>
      <c r="AT149" s="6" t="str">
        <f>HYPERLINK("http://www.worldcat.org/oclc/5777138","WorldCat Record")</f>
        <v>WorldCat Record</v>
      </c>
    </row>
    <row r="150" spans="1:46" ht="30" customHeight="1" x14ac:dyDescent="0.25">
      <c r="A150" s="8" t="s">
        <v>58</v>
      </c>
      <c r="B150" s="2" t="s">
        <v>1392</v>
      </c>
      <c r="C150" s="2" t="s">
        <v>1393</v>
      </c>
      <c r="D150" s="2" t="s">
        <v>1394</v>
      </c>
      <c r="E150" s="3" t="s">
        <v>1395</v>
      </c>
      <c r="F150" s="3" t="s">
        <v>103</v>
      </c>
      <c r="G150" s="3" t="s">
        <v>59</v>
      </c>
      <c r="H150" s="3" t="s">
        <v>58</v>
      </c>
      <c r="I150" s="3" t="s">
        <v>58</v>
      </c>
      <c r="J150" s="3" t="s">
        <v>60</v>
      </c>
      <c r="K150" s="2" t="s">
        <v>1380</v>
      </c>
      <c r="L150" s="2" t="s">
        <v>1396</v>
      </c>
      <c r="M150" s="3" t="s">
        <v>1397</v>
      </c>
      <c r="N150" s="2" t="s">
        <v>1398</v>
      </c>
      <c r="O150" s="3" t="s">
        <v>1068</v>
      </c>
      <c r="P150" s="3" t="s">
        <v>1084</v>
      </c>
      <c r="R150" s="3" t="s">
        <v>912</v>
      </c>
      <c r="S150" s="4">
        <v>6</v>
      </c>
      <c r="T150" s="4">
        <v>47</v>
      </c>
      <c r="U150" s="5" t="s">
        <v>1399</v>
      </c>
      <c r="V150" s="5" t="s">
        <v>1399</v>
      </c>
      <c r="W150" s="5" t="s">
        <v>1302</v>
      </c>
      <c r="X150" s="5" t="s">
        <v>1400</v>
      </c>
      <c r="Y150" s="4">
        <v>58</v>
      </c>
      <c r="Z150" s="4">
        <v>48</v>
      </c>
      <c r="AA150" s="4">
        <v>62</v>
      </c>
      <c r="AB150" s="4">
        <v>2</v>
      </c>
      <c r="AC150" s="4">
        <v>2</v>
      </c>
      <c r="AD150" s="4">
        <v>2</v>
      </c>
      <c r="AE150" s="4">
        <v>2</v>
      </c>
      <c r="AF150" s="4">
        <v>0</v>
      </c>
      <c r="AG150" s="4">
        <v>0</v>
      </c>
      <c r="AH150" s="4">
        <v>0</v>
      </c>
      <c r="AI150" s="4">
        <v>0</v>
      </c>
      <c r="AJ150" s="4">
        <v>1</v>
      </c>
      <c r="AK150" s="4">
        <v>1</v>
      </c>
      <c r="AL150" s="4">
        <v>1</v>
      </c>
      <c r="AM150" s="4">
        <v>1</v>
      </c>
      <c r="AN150" s="4">
        <v>0</v>
      </c>
      <c r="AO150" s="4">
        <v>0</v>
      </c>
      <c r="AP150" s="3" t="s">
        <v>58</v>
      </c>
      <c r="AQ150" s="3" t="s">
        <v>58</v>
      </c>
      <c r="AS150" s="6" t="str">
        <f t="shared" ref="AS150:AS155" si="2">HYPERLINK("https://creighton-primo.hosted.exlibrisgroup.com/primo-explore/search?tab=default_tab&amp;search_scope=EVERYTHING&amp;vid=01CRU&amp;lang=en_US&amp;offset=0&amp;query=any,contains,991001280269702656","Catalog Record")</f>
        <v>Catalog Record</v>
      </c>
      <c r="AT150" s="6" t="str">
        <f t="shared" ref="AT150:AT155" si="3">HYPERLINK("http://www.worldcat.org/oclc/5542222","WorldCat Record")</f>
        <v>WorldCat Record</v>
      </c>
    </row>
    <row r="151" spans="1:46" ht="30" customHeight="1" x14ac:dyDescent="0.25">
      <c r="A151" s="8" t="s">
        <v>58</v>
      </c>
      <c r="B151" s="2" t="s">
        <v>1392</v>
      </c>
      <c r="C151" s="2" t="s">
        <v>1393</v>
      </c>
      <c r="D151" s="2" t="s">
        <v>1394</v>
      </c>
      <c r="E151" s="3" t="s">
        <v>1401</v>
      </c>
      <c r="F151" s="3" t="s">
        <v>103</v>
      </c>
      <c r="G151" s="3" t="s">
        <v>59</v>
      </c>
      <c r="H151" s="3" t="s">
        <v>58</v>
      </c>
      <c r="I151" s="3" t="s">
        <v>58</v>
      </c>
      <c r="J151" s="3" t="s">
        <v>60</v>
      </c>
      <c r="K151" s="2" t="s">
        <v>1380</v>
      </c>
      <c r="L151" s="2" t="s">
        <v>1396</v>
      </c>
      <c r="M151" s="3" t="s">
        <v>1397</v>
      </c>
      <c r="N151" s="2" t="s">
        <v>1398</v>
      </c>
      <c r="O151" s="3" t="s">
        <v>1068</v>
      </c>
      <c r="P151" s="3" t="s">
        <v>1084</v>
      </c>
      <c r="R151" s="3" t="s">
        <v>912</v>
      </c>
      <c r="S151" s="4">
        <v>10</v>
      </c>
      <c r="T151" s="4">
        <v>47</v>
      </c>
      <c r="U151" s="5" t="s">
        <v>1382</v>
      </c>
      <c r="V151" s="5" t="s">
        <v>1399</v>
      </c>
      <c r="W151" s="5" t="s">
        <v>1400</v>
      </c>
      <c r="X151" s="5" t="s">
        <v>1400</v>
      </c>
      <c r="Y151" s="4">
        <v>58</v>
      </c>
      <c r="Z151" s="4">
        <v>48</v>
      </c>
      <c r="AA151" s="4">
        <v>62</v>
      </c>
      <c r="AB151" s="4">
        <v>2</v>
      </c>
      <c r="AC151" s="4">
        <v>2</v>
      </c>
      <c r="AD151" s="4">
        <v>2</v>
      </c>
      <c r="AE151" s="4">
        <v>2</v>
      </c>
      <c r="AF151" s="4">
        <v>0</v>
      </c>
      <c r="AG151" s="4">
        <v>0</v>
      </c>
      <c r="AH151" s="4">
        <v>0</v>
      </c>
      <c r="AI151" s="4">
        <v>0</v>
      </c>
      <c r="AJ151" s="4">
        <v>1</v>
      </c>
      <c r="AK151" s="4">
        <v>1</v>
      </c>
      <c r="AL151" s="4">
        <v>1</v>
      </c>
      <c r="AM151" s="4">
        <v>1</v>
      </c>
      <c r="AN151" s="4">
        <v>0</v>
      </c>
      <c r="AO151" s="4">
        <v>0</v>
      </c>
      <c r="AP151" s="3" t="s">
        <v>58</v>
      </c>
      <c r="AQ151" s="3" t="s">
        <v>58</v>
      </c>
      <c r="AS151" s="6" t="str">
        <f t="shared" si="2"/>
        <v>Catalog Record</v>
      </c>
      <c r="AT151" s="6" t="str">
        <f t="shared" si="3"/>
        <v>WorldCat Record</v>
      </c>
    </row>
    <row r="152" spans="1:46" ht="30" customHeight="1" x14ac:dyDescent="0.25">
      <c r="A152" s="8" t="s">
        <v>58</v>
      </c>
      <c r="B152" s="2" t="s">
        <v>1392</v>
      </c>
      <c r="C152" s="2" t="s">
        <v>1393</v>
      </c>
      <c r="D152" s="2" t="s">
        <v>1394</v>
      </c>
      <c r="E152" s="3" t="s">
        <v>1402</v>
      </c>
      <c r="F152" s="3" t="s">
        <v>103</v>
      </c>
      <c r="G152" s="3" t="s">
        <v>59</v>
      </c>
      <c r="H152" s="3" t="s">
        <v>58</v>
      </c>
      <c r="I152" s="3" t="s">
        <v>58</v>
      </c>
      <c r="J152" s="3" t="s">
        <v>60</v>
      </c>
      <c r="K152" s="2" t="s">
        <v>1380</v>
      </c>
      <c r="L152" s="2" t="s">
        <v>1396</v>
      </c>
      <c r="M152" s="3" t="s">
        <v>1397</v>
      </c>
      <c r="N152" s="2" t="s">
        <v>1398</v>
      </c>
      <c r="O152" s="3" t="s">
        <v>1068</v>
      </c>
      <c r="P152" s="3" t="s">
        <v>1084</v>
      </c>
      <c r="R152" s="3" t="s">
        <v>912</v>
      </c>
      <c r="S152" s="4">
        <v>7</v>
      </c>
      <c r="T152" s="4">
        <v>47</v>
      </c>
      <c r="U152" s="5" t="s">
        <v>1382</v>
      </c>
      <c r="V152" s="5" t="s">
        <v>1399</v>
      </c>
      <c r="W152" s="5" t="s">
        <v>1302</v>
      </c>
      <c r="X152" s="5" t="s">
        <v>1400</v>
      </c>
      <c r="Y152" s="4">
        <v>58</v>
      </c>
      <c r="Z152" s="4">
        <v>48</v>
      </c>
      <c r="AA152" s="4">
        <v>62</v>
      </c>
      <c r="AB152" s="4">
        <v>2</v>
      </c>
      <c r="AC152" s="4">
        <v>2</v>
      </c>
      <c r="AD152" s="4">
        <v>2</v>
      </c>
      <c r="AE152" s="4">
        <v>2</v>
      </c>
      <c r="AF152" s="4">
        <v>0</v>
      </c>
      <c r="AG152" s="4">
        <v>0</v>
      </c>
      <c r="AH152" s="4">
        <v>0</v>
      </c>
      <c r="AI152" s="4">
        <v>0</v>
      </c>
      <c r="AJ152" s="4">
        <v>1</v>
      </c>
      <c r="AK152" s="4">
        <v>1</v>
      </c>
      <c r="AL152" s="4">
        <v>1</v>
      </c>
      <c r="AM152" s="4">
        <v>1</v>
      </c>
      <c r="AN152" s="4">
        <v>0</v>
      </c>
      <c r="AO152" s="4">
        <v>0</v>
      </c>
      <c r="AP152" s="3" t="s">
        <v>58</v>
      </c>
      <c r="AQ152" s="3" t="s">
        <v>58</v>
      </c>
      <c r="AS152" s="6" t="str">
        <f t="shared" si="2"/>
        <v>Catalog Record</v>
      </c>
      <c r="AT152" s="6" t="str">
        <f t="shared" si="3"/>
        <v>WorldCat Record</v>
      </c>
    </row>
    <row r="153" spans="1:46" ht="30" customHeight="1" x14ac:dyDescent="0.25">
      <c r="A153" s="8" t="s">
        <v>58</v>
      </c>
      <c r="B153" s="2" t="s">
        <v>1392</v>
      </c>
      <c r="C153" s="2" t="s">
        <v>1393</v>
      </c>
      <c r="D153" s="2" t="s">
        <v>1394</v>
      </c>
      <c r="E153" s="3" t="s">
        <v>1403</v>
      </c>
      <c r="F153" s="3" t="s">
        <v>103</v>
      </c>
      <c r="G153" s="3" t="s">
        <v>59</v>
      </c>
      <c r="H153" s="3" t="s">
        <v>58</v>
      </c>
      <c r="I153" s="3" t="s">
        <v>58</v>
      </c>
      <c r="J153" s="3" t="s">
        <v>60</v>
      </c>
      <c r="K153" s="2" t="s">
        <v>1380</v>
      </c>
      <c r="L153" s="2" t="s">
        <v>1396</v>
      </c>
      <c r="M153" s="3" t="s">
        <v>1397</v>
      </c>
      <c r="N153" s="2" t="s">
        <v>1398</v>
      </c>
      <c r="O153" s="3" t="s">
        <v>1068</v>
      </c>
      <c r="P153" s="3" t="s">
        <v>1084</v>
      </c>
      <c r="R153" s="3" t="s">
        <v>912</v>
      </c>
      <c r="S153" s="4">
        <v>10</v>
      </c>
      <c r="T153" s="4">
        <v>47</v>
      </c>
      <c r="U153" s="5" t="s">
        <v>1382</v>
      </c>
      <c r="V153" s="5" t="s">
        <v>1399</v>
      </c>
      <c r="W153" s="5" t="s">
        <v>1383</v>
      </c>
      <c r="X153" s="5" t="s">
        <v>1400</v>
      </c>
      <c r="Y153" s="4">
        <v>58</v>
      </c>
      <c r="Z153" s="4">
        <v>48</v>
      </c>
      <c r="AA153" s="4">
        <v>62</v>
      </c>
      <c r="AB153" s="4">
        <v>2</v>
      </c>
      <c r="AC153" s="4">
        <v>2</v>
      </c>
      <c r="AD153" s="4">
        <v>2</v>
      </c>
      <c r="AE153" s="4">
        <v>2</v>
      </c>
      <c r="AF153" s="4">
        <v>0</v>
      </c>
      <c r="AG153" s="4">
        <v>0</v>
      </c>
      <c r="AH153" s="4">
        <v>0</v>
      </c>
      <c r="AI153" s="4">
        <v>0</v>
      </c>
      <c r="AJ153" s="4">
        <v>1</v>
      </c>
      <c r="AK153" s="4">
        <v>1</v>
      </c>
      <c r="AL153" s="4">
        <v>1</v>
      </c>
      <c r="AM153" s="4">
        <v>1</v>
      </c>
      <c r="AN153" s="4">
        <v>0</v>
      </c>
      <c r="AO153" s="4">
        <v>0</v>
      </c>
      <c r="AP153" s="3" t="s">
        <v>58</v>
      </c>
      <c r="AQ153" s="3" t="s">
        <v>58</v>
      </c>
      <c r="AS153" s="6" t="str">
        <f t="shared" si="2"/>
        <v>Catalog Record</v>
      </c>
      <c r="AT153" s="6" t="str">
        <f t="shared" si="3"/>
        <v>WorldCat Record</v>
      </c>
    </row>
    <row r="154" spans="1:46" ht="30" customHeight="1" x14ac:dyDescent="0.25">
      <c r="A154" s="8" t="s">
        <v>58</v>
      </c>
      <c r="B154" s="2" t="s">
        <v>1392</v>
      </c>
      <c r="C154" s="2" t="s">
        <v>1393</v>
      </c>
      <c r="D154" s="2" t="s">
        <v>1394</v>
      </c>
      <c r="E154" s="3" t="s">
        <v>1404</v>
      </c>
      <c r="F154" s="3" t="s">
        <v>103</v>
      </c>
      <c r="G154" s="3" t="s">
        <v>59</v>
      </c>
      <c r="H154" s="3" t="s">
        <v>58</v>
      </c>
      <c r="I154" s="3" t="s">
        <v>58</v>
      </c>
      <c r="J154" s="3" t="s">
        <v>60</v>
      </c>
      <c r="K154" s="2" t="s">
        <v>1380</v>
      </c>
      <c r="L154" s="2" t="s">
        <v>1396</v>
      </c>
      <c r="M154" s="3" t="s">
        <v>1397</v>
      </c>
      <c r="N154" s="2" t="s">
        <v>1398</v>
      </c>
      <c r="O154" s="3" t="s">
        <v>1068</v>
      </c>
      <c r="P154" s="3" t="s">
        <v>1084</v>
      </c>
      <c r="R154" s="3" t="s">
        <v>912</v>
      </c>
      <c r="S154" s="4">
        <v>6</v>
      </c>
      <c r="T154" s="4">
        <v>47</v>
      </c>
      <c r="U154" s="5" t="s">
        <v>1382</v>
      </c>
      <c r="V154" s="5" t="s">
        <v>1399</v>
      </c>
      <c r="W154" s="5" t="s">
        <v>1302</v>
      </c>
      <c r="X154" s="5" t="s">
        <v>1400</v>
      </c>
      <c r="Y154" s="4">
        <v>58</v>
      </c>
      <c r="Z154" s="4">
        <v>48</v>
      </c>
      <c r="AA154" s="4">
        <v>62</v>
      </c>
      <c r="AB154" s="4">
        <v>2</v>
      </c>
      <c r="AC154" s="4">
        <v>2</v>
      </c>
      <c r="AD154" s="4">
        <v>2</v>
      </c>
      <c r="AE154" s="4">
        <v>2</v>
      </c>
      <c r="AF154" s="4">
        <v>0</v>
      </c>
      <c r="AG154" s="4">
        <v>0</v>
      </c>
      <c r="AH154" s="4">
        <v>0</v>
      </c>
      <c r="AI154" s="4">
        <v>0</v>
      </c>
      <c r="AJ154" s="4">
        <v>1</v>
      </c>
      <c r="AK154" s="4">
        <v>1</v>
      </c>
      <c r="AL154" s="4">
        <v>1</v>
      </c>
      <c r="AM154" s="4">
        <v>1</v>
      </c>
      <c r="AN154" s="4">
        <v>0</v>
      </c>
      <c r="AO154" s="4">
        <v>0</v>
      </c>
      <c r="AP154" s="3" t="s">
        <v>58</v>
      </c>
      <c r="AQ154" s="3" t="s">
        <v>58</v>
      </c>
      <c r="AS154" s="6" t="str">
        <f t="shared" si="2"/>
        <v>Catalog Record</v>
      </c>
      <c r="AT154" s="6" t="str">
        <f t="shared" si="3"/>
        <v>WorldCat Record</v>
      </c>
    </row>
    <row r="155" spans="1:46" ht="30" customHeight="1" x14ac:dyDescent="0.25">
      <c r="A155" s="8" t="s">
        <v>58</v>
      </c>
      <c r="B155" s="2" t="s">
        <v>1392</v>
      </c>
      <c r="C155" s="2" t="s">
        <v>1393</v>
      </c>
      <c r="D155" s="2" t="s">
        <v>1394</v>
      </c>
      <c r="E155" s="3" t="s">
        <v>1405</v>
      </c>
      <c r="F155" s="3" t="s">
        <v>103</v>
      </c>
      <c r="G155" s="3" t="s">
        <v>59</v>
      </c>
      <c r="H155" s="3" t="s">
        <v>58</v>
      </c>
      <c r="I155" s="3" t="s">
        <v>58</v>
      </c>
      <c r="J155" s="3" t="s">
        <v>60</v>
      </c>
      <c r="K155" s="2" t="s">
        <v>1380</v>
      </c>
      <c r="L155" s="2" t="s">
        <v>1396</v>
      </c>
      <c r="M155" s="3" t="s">
        <v>1397</v>
      </c>
      <c r="N155" s="2" t="s">
        <v>1398</v>
      </c>
      <c r="O155" s="3" t="s">
        <v>1068</v>
      </c>
      <c r="P155" s="3" t="s">
        <v>1084</v>
      </c>
      <c r="R155" s="3" t="s">
        <v>912</v>
      </c>
      <c r="S155" s="4">
        <v>8</v>
      </c>
      <c r="T155" s="4">
        <v>47</v>
      </c>
      <c r="U155" s="5" t="s">
        <v>1382</v>
      </c>
      <c r="V155" s="5" t="s">
        <v>1399</v>
      </c>
      <c r="W155" s="5" t="s">
        <v>1302</v>
      </c>
      <c r="X155" s="5" t="s">
        <v>1400</v>
      </c>
      <c r="Y155" s="4">
        <v>58</v>
      </c>
      <c r="Z155" s="4">
        <v>48</v>
      </c>
      <c r="AA155" s="4">
        <v>62</v>
      </c>
      <c r="AB155" s="4">
        <v>2</v>
      </c>
      <c r="AC155" s="4">
        <v>2</v>
      </c>
      <c r="AD155" s="4">
        <v>2</v>
      </c>
      <c r="AE155" s="4">
        <v>2</v>
      </c>
      <c r="AF155" s="4">
        <v>0</v>
      </c>
      <c r="AG155" s="4">
        <v>0</v>
      </c>
      <c r="AH155" s="4">
        <v>0</v>
      </c>
      <c r="AI155" s="4">
        <v>0</v>
      </c>
      <c r="AJ155" s="4">
        <v>1</v>
      </c>
      <c r="AK155" s="4">
        <v>1</v>
      </c>
      <c r="AL155" s="4">
        <v>1</v>
      </c>
      <c r="AM155" s="4">
        <v>1</v>
      </c>
      <c r="AN155" s="4">
        <v>0</v>
      </c>
      <c r="AO155" s="4">
        <v>0</v>
      </c>
      <c r="AP155" s="3" t="s">
        <v>58</v>
      </c>
      <c r="AQ155" s="3" t="s">
        <v>58</v>
      </c>
      <c r="AS155" s="6" t="str">
        <f t="shared" si="2"/>
        <v>Catalog Record</v>
      </c>
      <c r="AT155" s="6" t="str">
        <f t="shared" si="3"/>
        <v>WorldCat Record</v>
      </c>
    </row>
    <row r="156" spans="1:46" ht="30" customHeight="1" x14ac:dyDescent="0.25">
      <c r="A156" s="8" t="s">
        <v>58</v>
      </c>
      <c r="B156" s="2" t="s">
        <v>1406</v>
      </c>
      <c r="C156" s="2" t="s">
        <v>1407</v>
      </c>
      <c r="D156" s="2" t="s">
        <v>1408</v>
      </c>
      <c r="F156" s="3" t="s">
        <v>58</v>
      </c>
      <c r="G156" s="3" t="s">
        <v>59</v>
      </c>
      <c r="H156" s="3" t="s">
        <v>58</v>
      </c>
      <c r="I156" s="3" t="s">
        <v>58</v>
      </c>
      <c r="J156" s="3" t="s">
        <v>60</v>
      </c>
      <c r="K156" s="2" t="s">
        <v>1409</v>
      </c>
      <c r="L156" s="2" t="s">
        <v>1410</v>
      </c>
      <c r="M156" s="3" t="s">
        <v>431</v>
      </c>
      <c r="O156" s="3" t="s">
        <v>64</v>
      </c>
      <c r="P156" s="3" t="s">
        <v>117</v>
      </c>
      <c r="R156" s="3" t="s">
        <v>912</v>
      </c>
      <c r="S156" s="4">
        <v>22</v>
      </c>
      <c r="T156" s="4">
        <v>22</v>
      </c>
      <c r="U156" s="5" t="s">
        <v>1411</v>
      </c>
      <c r="V156" s="5" t="s">
        <v>1411</v>
      </c>
      <c r="W156" s="5" t="s">
        <v>1054</v>
      </c>
      <c r="X156" s="5" t="s">
        <v>1054</v>
      </c>
      <c r="Y156" s="4">
        <v>167</v>
      </c>
      <c r="Z156" s="4">
        <v>132</v>
      </c>
      <c r="AA156" s="4">
        <v>132</v>
      </c>
      <c r="AB156" s="4">
        <v>1</v>
      </c>
      <c r="AC156" s="4">
        <v>1</v>
      </c>
      <c r="AD156" s="4">
        <v>1</v>
      </c>
      <c r="AE156" s="4">
        <v>1</v>
      </c>
      <c r="AF156" s="4">
        <v>0</v>
      </c>
      <c r="AG156" s="4">
        <v>0</v>
      </c>
      <c r="AH156" s="4">
        <v>1</v>
      </c>
      <c r="AI156" s="4">
        <v>1</v>
      </c>
      <c r="AJ156" s="4">
        <v>0</v>
      </c>
      <c r="AK156" s="4">
        <v>0</v>
      </c>
      <c r="AL156" s="4">
        <v>0</v>
      </c>
      <c r="AM156" s="4">
        <v>0</v>
      </c>
      <c r="AN156" s="4">
        <v>0</v>
      </c>
      <c r="AO156" s="4">
        <v>0</v>
      </c>
      <c r="AP156" s="3" t="s">
        <v>58</v>
      </c>
      <c r="AQ156" s="3" t="s">
        <v>58</v>
      </c>
      <c r="AS156" s="6" t="str">
        <f>HYPERLINK("https://creighton-primo.hosted.exlibrisgroup.com/primo-explore/search?tab=default_tab&amp;search_scope=EVERYTHING&amp;vid=01CRU&amp;lang=en_US&amp;offset=0&amp;query=any,contains,991000847059702656","Catalog Record")</f>
        <v>Catalog Record</v>
      </c>
      <c r="AT156" s="6" t="str">
        <f>HYPERLINK("http://www.worldcat.org/oclc/5777146","WorldCat Record")</f>
        <v>WorldCat Record</v>
      </c>
    </row>
    <row r="157" spans="1:46" ht="30" customHeight="1" x14ac:dyDescent="0.25">
      <c r="A157" s="8" t="s">
        <v>58</v>
      </c>
      <c r="B157" s="2" t="s">
        <v>1412</v>
      </c>
      <c r="C157" s="2" t="s">
        <v>1413</v>
      </c>
      <c r="D157" s="2" t="s">
        <v>1414</v>
      </c>
      <c r="F157" s="3" t="s">
        <v>58</v>
      </c>
      <c r="G157" s="3" t="s">
        <v>59</v>
      </c>
      <c r="H157" s="3" t="s">
        <v>103</v>
      </c>
      <c r="I157" s="3" t="s">
        <v>58</v>
      </c>
      <c r="J157" s="3" t="s">
        <v>60</v>
      </c>
      <c r="K157" s="2" t="s">
        <v>1415</v>
      </c>
      <c r="L157" s="2" t="s">
        <v>1416</v>
      </c>
      <c r="M157" s="3" t="s">
        <v>1417</v>
      </c>
      <c r="O157" s="3" t="s">
        <v>64</v>
      </c>
      <c r="P157" s="3" t="s">
        <v>976</v>
      </c>
      <c r="R157" s="3" t="s">
        <v>912</v>
      </c>
      <c r="S157" s="4">
        <v>17</v>
      </c>
      <c r="T157" s="4">
        <v>19</v>
      </c>
      <c r="U157" s="5" t="s">
        <v>1418</v>
      </c>
      <c r="V157" s="5" t="s">
        <v>1418</v>
      </c>
      <c r="W157" s="5" t="s">
        <v>1419</v>
      </c>
      <c r="X157" s="5" t="s">
        <v>1420</v>
      </c>
      <c r="Y157" s="4">
        <v>20</v>
      </c>
      <c r="Z157" s="4">
        <v>19</v>
      </c>
      <c r="AA157" s="4">
        <v>19</v>
      </c>
      <c r="AB157" s="4">
        <v>2</v>
      </c>
      <c r="AC157" s="4">
        <v>2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3" t="s">
        <v>58</v>
      </c>
      <c r="AQ157" s="3" t="s">
        <v>58</v>
      </c>
      <c r="AS157" s="6" t="str">
        <f>HYPERLINK("https://creighton-primo.hosted.exlibrisgroup.com/primo-explore/search?tab=default_tab&amp;search_scope=EVERYTHING&amp;vid=01CRU&amp;lang=en_US&amp;offset=0&amp;query=any,contains,991001707489702656","Catalog Record")</f>
        <v>Catalog Record</v>
      </c>
      <c r="AT157" s="6" t="str">
        <f>HYPERLINK("http://www.worldcat.org/oclc/40645350","WorldCat Record")</f>
        <v>WorldCat Record</v>
      </c>
    </row>
    <row r="158" spans="1:46" ht="30" customHeight="1" x14ac:dyDescent="0.25">
      <c r="A158" s="8" t="s">
        <v>58</v>
      </c>
      <c r="B158" s="2" t="s">
        <v>1421</v>
      </c>
      <c r="C158" s="2" t="s">
        <v>1422</v>
      </c>
      <c r="D158" s="2" t="s">
        <v>1423</v>
      </c>
      <c r="E158" s="3" t="s">
        <v>1214</v>
      </c>
      <c r="F158" s="3" t="s">
        <v>58</v>
      </c>
      <c r="G158" s="3" t="s">
        <v>59</v>
      </c>
      <c r="H158" s="3" t="s">
        <v>58</v>
      </c>
      <c r="I158" s="3" t="s">
        <v>58</v>
      </c>
      <c r="J158" s="3" t="s">
        <v>60</v>
      </c>
      <c r="K158" s="2" t="s">
        <v>1424</v>
      </c>
      <c r="L158" s="2" t="s">
        <v>1425</v>
      </c>
      <c r="M158" s="3" t="s">
        <v>313</v>
      </c>
      <c r="N158" s="2" t="s">
        <v>162</v>
      </c>
      <c r="O158" s="3" t="s">
        <v>64</v>
      </c>
      <c r="P158" s="3" t="s">
        <v>911</v>
      </c>
      <c r="R158" s="3" t="s">
        <v>912</v>
      </c>
      <c r="S158" s="4">
        <v>7</v>
      </c>
      <c r="T158" s="4">
        <v>7</v>
      </c>
      <c r="U158" s="5" t="s">
        <v>1426</v>
      </c>
      <c r="V158" s="5" t="s">
        <v>1426</v>
      </c>
      <c r="W158" s="5" t="s">
        <v>1054</v>
      </c>
      <c r="X158" s="5" t="s">
        <v>1054</v>
      </c>
      <c r="Y158" s="4">
        <v>32</v>
      </c>
      <c r="Z158" s="4">
        <v>27</v>
      </c>
      <c r="AA158" s="4">
        <v>91</v>
      </c>
      <c r="AB158" s="4">
        <v>1</v>
      </c>
      <c r="AC158" s="4">
        <v>1</v>
      </c>
      <c r="AD158" s="4">
        <v>0</v>
      </c>
      <c r="AE158" s="4">
        <v>1</v>
      </c>
      <c r="AF158" s="4">
        <v>0</v>
      </c>
      <c r="AG158" s="4">
        <v>1</v>
      </c>
      <c r="AH158" s="4">
        <v>0</v>
      </c>
      <c r="AI158" s="4">
        <v>0</v>
      </c>
      <c r="AJ158" s="4">
        <v>0</v>
      </c>
      <c r="AK158" s="4">
        <v>0</v>
      </c>
      <c r="AL158" s="4">
        <v>0</v>
      </c>
      <c r="AM158" s="4">
        <v>0</v>
      </c>
      <c r="AN158" s="4">
        <v>0</v>
      </c>
      <c r="AO158" s="4">
        <v>0</v>
      </c>
      <c r="AP158" s="3" t="s">
        <v>58</v>
      </c>
      <c r="AQ158" s="3" t="s">
        <v>58</v>
      </c>
      <c r="AS158" s="6" t="str">
        <f>HYPERLINK("https://creighton-primo.hosted.exlibrisgroup.com/primo-explore/search?tab=default_tab&amp;search_scope=EVERYTHING&amp;vid=01CRU&amp;lang=en_US&amp;offset=0&amp;query=any,contains,991000846959702656","Catalog Record")</f>
        <v>Catalog Record</v>
      </c>
      <c r="AT158" s="6" t="str">
        <f>HYPERLINK("http://www.worldcat.org/oclc/13185370","WorldCat Record")</f>
        <v>WorldCat Record</v>
      </c>
    </row>
    <row r="159" spans="1:46" ht="30" customHeight="1" x14ac:dyDescent="0.25">
      <c r="A159" s="8" t="s">
        <v>58</v>
      </c>
      <c r="B159" s="2" t="s">
        <v>1427</v>
      </c>
      <c r="C159" s="2" t="s">
        <v>1428</v>
      </c>
      <c r="D159" s="2" t="s">
        <v>1429</v>
      </c>
      <c r="E159" s="3" t="s">
        <v>685</v>
      </c>
      <c r="F159" s="3" t="s">
        <v>103</v>
      </c>
      <c r="G159" s="3" t="s">
        <v>59</v>
      </c>
      <c r="H159" s="3" t="s">
        <v>58</v>
      </c>
      <c r="I159" s="3" t="s">
        <v>103</v>
      </c>
      <c r="J159" s="3" t="s">
        <v>1141</v>
      </c>
      <c r="K159" s="2" t="s">
        <v>1430</v>
      </c>
      <c r="L159" s="2" t="s">
        <v>1431</v>
      </c>
      <c r="M159" s="3" t="s">
        <v>1311</v>
      </c>
      <c r="N159" s="2" t="s">
        <v>1432</v>
      </c>
      <c r="O159" s="3" t="s">
        <v>64</v>
      </c>
      <c r="P159" s="3" t="s">
        <v>315</v>
      </c>
      <c r="R159" s="3" t="s">
        <v>912</v>
      </c>
      <c r="S159" s="4">
        <v>14</v>
      </c>
      <c r="T159" s="4">
        <v>43</v>
      </c>
      <c r="U159" s="5" t="s">
        <v>1433</v>
      </c>
      <c r="V159" s="5" t="s">
        <v>1434</v>
      </c>
      <c r="W159" s="5" t="s">
        <v>1054</v>
      </c>
      <c r="X159" s="5" t="s">
        <v>1054</v>
      </c>
      <c r="Y159" s="4">
        <v>71</v>
      </c>
      <c r="Z159" s="4">
        <v>67</v>
      </c>
      <c r="AA159" s="4">
        <v>837</v>
      </c>
      <c r="AB159" s="4">
        <v>1</v>
      </c>
      <c r="AC159" s="4">
        <v>6</v>
      </c>
      <c r="AD159" s="4">
        <v>2</v>
      </c>
      <c r="AE159" s="4">
        <v>22</v>
      </c>
      <c r="AF159" s="4">
        <v>1</v>
      </c>
      <c r="AG159" s="4">
        <v>7</v>
      </c>
      <c r="AH159" s="4">
        <v>1</v>
      </c>
      <c r="AI159" s="4">
        <v>6</v>
      </c>
      <c r="AJ159" s="4">
        <v>0</v>
      </c>
      <c r="AK159" s="4">
        <v>10</v>
      </c>
      <c r="AL159" s="4">
        <v>0</v>
      </c>
      <c r="AM159" s="4">
        <v>3</v>
      </c>
      <c r="AN159" s="4">
        <v>0</v>
      </c>
      <c r="AO159" s="4">
        <v>1</v>
      </c>
      <c r="AP159" s="3" t="s">
        <v>58</v>
      </c>
      <c r="AQ159" s="3" t="s">
        <v>58</v>
      </c>
      <c r="AS159" s="6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T159" s="6" t="str">
        <f>HYPERLINK("http://www.worldcat.org/oclc/4041044","WorldCat Record")</f>
        <v>WorldCat Record</v>
      </c>
    </row>
    <row r="160" spans="1:46" ht="30" customHeight="1" x14ac:dyDescent="0.25">
      <c r="A160" s="8" t="s">
        <v>58</v>
      </c>
      <c r="B160" s="2" t="s">
        <v>1427</v>
      </c>
      <c r="C160" s="2" t="s">
        <v>1428</v>
      </c>
      <c r="D160" s="2" t="s">
        <v>1429</v>
      </c>
      <c r="E160" s="3" t="s">
        <v>1333</v>
      </c>
      <c r="F160" s="3" t="s">
        <v>103</v>
      </c>
      <c r="G160" s="3" t="s">
        <v>59</v>
      </c>
      <c r="H160" s="3" t="s">
        <v>58</v>
      </c>
      <c r="I160" s="3" t="s">
        <v>103</v>
      </c>
      <c r="J160" s="3" t="s">
        <v>1141</v>
      </c>
      <c r="K160" s="2" t="s">
        <v>1430</v>
      </c>
      <c r="L160" s="2" t="s">
        <v>1431</v>
      </c>
      <c r="M160" s="3" t="s">
        <v>1311</v>
      </c>
      <c r="N160" s="2" t="s">
        <v>1432</v>
      </c>
      <c r="O160" s="3" t="s">
        <v>64</v>
      </c>
      <c r="P160" s="3" t="s">
        <v>315</v>
      </c>
      <c r="R160" s="3" t="s">
        <v>912</v>
      </c>
      <c r="S160" s="4">
        <v>11</v>
      </c>
      <c r="T160" s="4">
        <v>43</v>
      </c>
      <c r="U160" s="5" t="s">
        <v>1434</v>
      </c>
      <c r="V160" s="5" t="s">
        <v>1434</v>
      </c>
      <c r="W160" s="5" t="s">
        <v>1054</v>
      </c>
      <c r="X160" s="5" t="s">
        <v>1054</v>
      </c>
      <c r="Y160" s="4">
        <v>71</v>
      </c>
      <c r="Z160" s="4">
        <v>67</v>
      </c>
      <c r="AA160" s="4">
        <v>837</v>
      </c>
      <c r="AB160" s="4">
        <v>1</v>
      </c>
      <c r="AC160" s="4">
        <v>6</v>
      </c>
      <c r="AD160" s="4">
        <v>2</v>
      </c>
      <c r="AE160" s="4">
        <v>22</v>
      </c>
      <c r="AF160" s="4">
        <v>1</v>
      </c>
      <c r="AG160" s="4">
        <v>7</v>
      </c>
      <c r="AH160" s="4">
        <v>1</v>
      </c>
      <c r="AI160" s="4">
        <v>6</v>
      </c>
      <c r="AJ160" s="4">
        <v>0</v>
      </c>
      <c r="AK160" s="4">
        <v>10</v>
      </c>
      <c r="AL160" s="4">
        <v>0</v>
      </c>
      <c r="AM160" s="4">
        <v>3</v>
      </c>
      <c r="AN160" s="4">
        <v>0</v>
      </c>
      <c r="AO160" s="4">
        <v>1</v>
      </c>
      <c r="AP160" s="3" t="s">
        <v>58</v>
      </c>
      <c r="AQ160" s="3" t="s">
        <v>58</v>
      </c>
      <c r="AS160" s="6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T160" s="6" t="str">
        <f>HYPERLINK("http://www.worldcat.org/oclc/4041044","WorldCat Record")</f>
        <v>WorldCat Record</v>
      </c>
    </row>
    <row r="161" spans="1:46" ht="30" customHeight="1" x14ac:dyDescent="0.25">
      <c r="A161" s="8" t="s">
        <v>58</v>
      </c>
      <c r="B161" s="2" t="s">
        <v>1427</v>
      </c>
      <c r="C161" s="2" t="s">
        <v>1428</v>
      </c>
      <c r="D161" s="2" t="s">
        <v>1429</v>
      </c>
      <c r="E161" s="3" t="s">
        <v>697</v>
      </c>
      <c r="F161" s="3" t="s">
        <v>103</v>
      </c>
      <c r="G161" s="3" t="s">
        <v>59</v>
      </c>
      <c r="H161" s="3" t="s">
        <v>58</v>
      </c>
      <c r="I161" s="3" t="s">
        <v>103</v>
      </c>
      <c r="J161" s="3" t="s">
        <v>1141</v>
      </c>
      <c r="K161" s="2" t="s">
        <v>1430</v>
      </c>
      <c r="L161" s="2" t="s">
        <v>1431</v>
      </c>
      <c r="M161" s="3" t="s">
        <v>1311</v>
      </c>
      <c r="N161" s="2" t="s">
        <v>1432</v>
      </c>
      <c r="O161" s="3" t="s">
        <v>64</v>
      </c>
      <c r="P161" s="3" t="s">
        <v>315</v>
      </c>
      <c r="R161" s="3" t="s">
        <v>912</v>
      </c>
      <c r="S161" s="4">
        <v>18</v>
      </c>
      <c r="T161" s="4">
        <v>43</v>
      </c>
      <c r="U161" s="5" t="s">
        <v>1434</v>
      </c>
      <c r="V161" s="5" t="s">
        <v>1434</v>
      </c>
      <c r="W161" s="5" t="s">
        <v>1054</v>
      </c>
      <c r="X161" s="5" t="s">
        <v>1054</v>
      </c>
      <c r="Y161" s="4">
        <v>71</v>
      </c>
      <c r="Z161" s="4">
        <v>67</v>
      </c>
      <c r="AA161" s="4">
        <v>837</v>
      </c>
      <c r="AB161" s="4">
        <v>1</v>
      </c>
      <c r="AC161" s="4">
        <v>6</v>
      </c>
      <c r="AD161" s="4">
        <v>2</v>
      </c>
      <c r="AE161" s="4">
        <v>22</v>
      </c>
      <c r="AF161" s="4">
        <v>1</v>
      </c>
      <c r="AG161" s="4">
        <v>7</v>
      </c>
      <c r="AH161" s="4">
        <v>1</v>
      </c>
      <c r="AI161" s="4">
        <v>6</v>
      </c>
      <c r="AJ161" s="4">
        <v>0</v>
      </c>
      <c r="AK161" s="4">
        <v>10</v>
      </c>
      <c r="AL161" s="4">
        <v>0</v>
      </c>
      <c r="AM161" s="4">
        <v>3</v>
      </c>
      <c r="AN161" s="4">
        <v>0</v>
      </c>
      <c r="AO161" s="4">
        <v>1</v>
      </c>
      <c r="AP161" s="3" t="s">
        <v>58</v>
      </c>
      <c r="AQ161" s="3" t="s">
        <v>58</v>
      </c>
      <c r="AS161" s="6" t="str">
        <f>HYPERLINK("https://creighton-primo.hosted.exlibrisgroup.com/primo-explore/search?tab=default_tab&amp;search_scope=EVERYTHING&amp;vid=01CRU&amp;lang=en_US&amp;offset=0&amp;query=any,contains,991000796329702656","Catalog Record")</f>
        <v>Catalog Record</v>
      </c>
      <c r="AT161" s="6" t="str">
        <f>HYPERLINK("http://www.worldcat.org/oclc/4041044","WorldCat Record")</f>
        <v>WorldCat Record</v>
      </c>
    </row>
    <row r="162" spans="1:46" ht="30" customHeight="1" x14ac:dyDescent="0.25">
      <c r="A162" s="8" t="s">
        <v>58</v>
      </c>
      <c r="B162" s="2" t="s">
        <v>1435</v>
      </c>
      <c r="C162" s="2" t="s">
        <v>1436</v>
      </c>
      <c r="D162" s="2" t="s">
        <v>1437</v>
      </c>
      <c r="F162" s="3" t="s">
        <v>58</v>
      </c>
      <c r="G162" s="3" t="s">
        <v>59</v>
      </c>
      <c r="H162" s="3" t="s">
        <v>58</v>
      </c>
      <c r="I162" s="3" t="s">
        <v>58</v>
      </c>
      <c r="J162" s="3" t="s">
        <v>60</v>
      </c>
      <c r="K162" s="2" t="s">
        <v>1438</v>
      </c>
      <c r="L162" s="2" t="s">
        <v>1439</v>
      </c>
      <c r="M162" s="3" t="s">
        <v>505</v>
      </c>
      <c r="O162" s="3" t="s">
        <v>64</v>
      </c>
      <c r="P162" s="3" t="s">
        <v>1440</v>
      </c>
      <c r="R162" s="3" t="s">
        <v>912</v>
      </c>
      <c r="S162" s="4">
        <v>4</v>
      </c>
      <c r="T162" s="4">
        <v>4</v>
      </c>
      <c r="U162" s="5" t="s">
        <v>1441</v>
      </c>
      <c r="V162" s="5" t="s">
        <v>1441</v>
      </c>
      <c r="W162" s="5" t="s">
        <v>1250</v>
      </c>
      <c r="X162" s="5" t="s">
        <v>1250</v>
      </c>
      <c r="Y162" s="4">
        <v>461</v>
      </c>
      <c r="Z162" s="4">
        <v>379</v>
      </c>
      <c r="AA162" s="4">
        <v>440</v>
      </c>
      <c r="AB162" s="4">
        <v>3</v>
      </c>
      <c r="AC162" s="4">
        <v>3</v>
      </c>
      <c r="AD162" s="4">
        <v>13</v>
      </c>
      <c r="AE162" s="4">
        <v>13</v>
      </c>
      <c r="AF162" s="4">
        <v>3</v>
      </c>
      <c r="AG162" s="4">
        <v>3</v>
      </c>
      <c r="AH162" s="4">
        <v>3</v>
      </c>
      <c r="AI162" s="4">
        <v>3</v>
      </c>
      <c r="AJ162" s="4">
        <v>7</v>
      </c>
      <c r="AK162" s="4">
        <v>7</v>
      </c>
      <c r="AL162" s="4">
        <v>2</v>
      </c>
      <c r="AM162" s="4">
        <v>2</v>
      </c>
      <c r="AN162" s="4">
        <v>0</v>
      </c>
      <c r="AO162" s="4">
        <v>0</v>
      </c>
      <c r="AP162" s="3" t="s">
        <v>58</v>
      </c>
      <c r="AQ162" s="3" t="s">
        <v>58</v>
      </c>
      <c r="AS162" s="6" t="str">
        <f>HYPERLINK("https://creighton-primo.hosted.exlibrisgroup.com/primo-explore/search?tab=default_tab&amp;search_scope=EVERYTHING&amp;vid=01CRU&amp;lang=en_US&amp;offset=0&amp;query=any,contains,991000796359702656","Catalog Record")</f>
        <v>Catalog Record</v>
      </c>
      <c r="AT162" s="6" t="str">
        <f>HYPERLINK("http://www.worldcat.org/oclc/624031","WorldCat Record")</f>
        <v>WorldCat Record</v>
      </c>
    </row>
    <row r="163" spans="1:46" ht="30" customHeight="1" x14ac:dyDescent="0.25">
      <c r="A163" s="8" t="s">
        <v>58</v>
      </c>
      <c r="B163" s="2" t="s">
        <v>1442</v>
      </c>
      <c r="C163" s="2" t="s">
        <v>1443</v>
      </c>
      <c r="D163" s="2" t="s">
        <v>1444</v>
      </c>
      <c r="E163" s="3" t="s">
        <v>1333</v>
      </c>
      <c r="F163" s="3" t="s">
        <v>103</v>
      </c>
      <c r="G163" s="3" t="s">
        <v>59</v>
      </c>
      <c r="H163" s="3" t="s">
        <v>58</v>
      </c>
      <c r="I163" s="3" t="s">
        <v>58</v>
      </c>
      <c r="J163" s="3" t="s">
        <v>60</v>
      </c>
      <c r="L163" s="2" t="s">
        <v>1445</v>
      </c>
      <c r="M163" s="3" t="s">
        <v>403</v>
      </c>
      <c r="N163" s="2" t="s">
        <v>1446</v>
      </c>
      <c r="O163" s="3" t="s">
        <v>64</v>
      </c>
      <c r="P163" s="3" t="s">
        <v>1228</v>
      </c>
      <c r="R163" s="3" t="s">
        <v>912</v>
      </c>
      <c r="S163" s="4">
        <v>21</v>
      </c>
      <c r="T163" s="4">
        <v>59</v>
      </c>
      <c r="U163" s="5" t="s">
        <v>1447</v>
      </c>
      <c r="V163" s="5" t="s">
        <v>1447</v>
      </c>
      <c r="W163" s="5" t="s">
        <v>1250</v>
      </c>
      <c r="X163" s="5" t="s">
        <v>1250</v>
      </c>
      <c r="Y163" s="4">
        <v>11</v>
      </c>
      <c r="Z163" s="4">
        <v>7</v>
      </c>
      <c r="AA163" s="4">
        <v>9</v>
      </c>
      <c r="AB163" s="4">
        <v>1</v>
      </c>
      <c r="AC163" s="4">
        <v>1</v>
      </c>
      <c r="AD163" s="4">
        <v>0</v>
      </c>
      <c r="AE163" s="4">
        <v>0</v>
      </c>
      <c r="AF163" s="4">
        <v>0</v>
      </c>
      <c r="AG163" s="4">
        <v>0</v>
      </c>
      <c r="AH163" s="4">
        <v>0</v>
      </c>
      <c r="AI163" s="4">
        <v>0</v>
      </c>
      <c r="AJ163" s="4">
        <v>0</v>
      </c>
      <c r="AK163" s="4">
        <v>0</v>
      </c>
      <c r="AL163" s="4">
        <v>0</v>
      </c>
      <c r="AM163" s="4">
        <v>0</v>
      </c>
      <c r="AN163" s="4">
        <v>0</v>
      </c>
      <c r="AO163" s="4">
        <v>0</v>
      </c>
      <c r="AP163" s="3" t="s">
        <v>58</v>
      </c>
      <c r="AQ163" s="3" t="s">
        <v>58</v>
      </c>
      <c r="AS163" s="6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T163" s="6" t="str">
        <f>HYPERLINK("http://www.worldcat.org/oclc/2567846","WorldCat Record")</f>
        <v>WorldCat Record</v>
      </c>
    </row>
    <row r="164" spans="1:46" ht="30" customHeight="1" x14ac:dyDescent="0.25">
      <c r="A164" s="8" t="s">
        <v>58</v>
      </c>
      <c r="B164" s="2" t="s">
        <v>1442</v>
      </c>
      <c r="C164" s="2" t="s">
        <v>1443</v>
      </c>
      <c r="D164" s="2" t="s">
        <v>1444</v>
      </c>
      <c r="E164" s="3" t="s">
        <v>685</v>
      </c>
      <c r="F164" s="3" t="s">
        <v>103</v>
      </c>
      <c r="G164" s="3" t="s">
        <v>59</v>
      </c>
      <c r="H164" s="3" t="s">
        <v>58</v>
      </c>
      <c r="I164" s="3" t="s">
        <v>58</v>
      </c>
      <c r="J164" s="3" t="s">
        <v>60</v>
      </c>
      <c r="L164" s="2" t="s">
        <v>1445</v>
      </c>
      <c r="M164" s="3" t="s">
        <v>403</v>
      </c>
      <c r="N164" s="2" t="s">
        <v>1446</v>
      </c>
      <c r="O164" s="3" t="s">
        <v>64</v>
      </c>
      <c r="P164" s="3" t="s">
        <v>1228</v>
      </c>
      <c r="R164" s="3" t="s">
        <v>912</v>
      </c>
      <c r="S164" s="4">
        <v>12</v>
      </c>
      <c r="T164" s="4">
        <v>59</v>
      </c>
      <c r="U164" s="5" t="s">
        <v>1448</v>
      </c>
      <c r="V164" s="5" t="s">
        <v>1447</v>
      </c>
      <c r="W164" s="5" t="s">
        <v>1250</v>
      </c>
      <c r="X164" s="5" t="s">
        <v>1250</v>
      </c>
      <c r="Y164" s="4">
        <v>11</v>
      </c>
      <c r="Z164" s="4">
        <v>7</v>
      </c>
      <c r="AA164" s="4">
        <v>9</v>
      </c>
      <c r="AB164" s="4">
        <v>1</v>
      </c>
      <c r="AC164" s="4">
        <v>1</v>
      </c>
      <c r="AD164" s="4">
        <v>0</v>
      </c>
      <c r="AE164" s="4">
        <v>0</v>
      </c>
      <c r="AF164" s="4">
        <v>0</v>
      </c>
      <c r="AG164" s="4">
        <v>0</v>
      </c>
      <c r="AH164" s="4">
        <v>0</v>
      </c>
      <c r="AI164" s="4">
        <v>0</v>
      </c>
      <c r="AJ164" s="4">
        <v>0</v>
      </c>
      <c r="AK164" s="4">
        <v>0</v>
      </c>
      <c r="AL164" s="4">
        <v>0</v>
      </c>
      <c r="AM164" s="4">
        <v>0</v>
      </c>
      <c r="AN164" s="4">
        <v>0</v>
      </c>
      <c r="AO164" s="4">
        <v>0</v>
      </c>
      <c r="AP164" s="3" t="s">
        <v>58</v>
      </c>
      <c r="AQ164" s="3" t="s">
        <v>58</v>
      </c>
      <c r="AS164" s="6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T164" s="6" t="str">
        <f>HYPERLINK("http://www.worldcat.org/oclc/2567846","WorldCat Record")</f>
        <v>WorldCat Record</v>
      </c>
    </row>
    <row r="165" spans="1:46" ht="30" customHeight="1" x14ac:dyDescent="0.25">
      <c r="A165" s="8" t="s">
        <v>58</v>
      </c>
      <c r="B165" s="2" t="s">
        <v>1442</v>
      </c>
      <c r="C165" s="2" t="s">
        <v>1443</v>
      </c>
      <c r="D165" s="2" t="s">
        <v>1444</v>
      </c>
      <c r="E165" s="3" t="s">
        <v>1449</v>
      </c>
      <c r="F165" s="3" t="s">
        <v>103</v>
      </c>
      <c r="G165" s="3" t="s">
        <v>59</v>
      </c>
      <c r="H165" s="3" t="s">
        <v>58</v>
      </c>
      <c r="I165" s="3" t="s">
        <v>58</v>
      </c>
      <c r="J165" s="3" t="s">
        <v>60</v>
      </c>
      <c r="L165" s="2" t="s">
        <v>1445</v>
      </c>
      <c r="M165" s="3" t="s">
        <v>403</v>
      </c>
      <c r="N165" s="2" t="s">
        <v>1446</v>
      </c>
      <c r="O165" s="3" t="s">
        <v>64</v>
      </c>
      <c r="P165" s="3" t="s">
        <v>1228</v>
      </c>
      <c r="R165" s="3" t="s">
        <v>912</v>
      </c>
      <c r="S165" s="4">
        <v>6</v>
      </c>
      <c r="T165" s="4">
        <v>59</v>
      </c>
      <c r="V165" s="5" t="s">
        <v>1447</v>
      </c>
      <c r="W165" s="5" t="s">
        <v>1250</v>
      </c>
      <c r="X165" s="5" t="s">
        <v>1250</v>
      </c>
      <c r="Y165" s="4">
        <v>11</v>
      </c>
      <c r="Z165" s="4">
        <v>7</v>
      </c>
      <c r="AA165" s="4">
        <v>9</v>
      </c>
      <c r="AB165" s="4">
        <v>1</v>
      </c>
      <c r="AC165" s="4">
        <v>1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3" t="s">
        <v>58</v>
      </c>
      <c r="AQ165" s="3" t="s">
        <v>58</v>
      </c>
      <c r="AS165" s="6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T165" s="6" t="str">
        <f>HYPERLINK("http://www.worldcat.org/oclc/2567846","WorldCat Record")</f>
        <v>WorldCat Record</v>
      </c>
    </row>
    <row r="166" spans="1:46" ht="30" customHeight="1" x14ac:dyDescent="0.25">
      <c r="A166" s="8" t="s">
        <v>58</v>
      </c>
      <c r="B166" s="2" t="s">
        <v>1442</v>
      </c>
      <c r="C166" s="2" t="s">
        <v>1443</v>
      </c>
      <c r="D166" s="2" t="s">
        <v>1444</v>
      </c>
      <c r="E166" s="3" t="s">
        <v>697</v>
      </c>
      <c r="F166" s="3" t="s">
        <v>103</v>
      </c>
      <c r="G166" s="3" t="s">
        <v>59</v>
      </c>
      <c r="H166" s="3" t="s">
        <v>58</v>
      </c>
      <c r="I166" s="3" t="s">
        <v>58</v>
      </c>
      <c r="J166" s="3" t="s">
        <v>60</v>
      </c>
      <c r="L166" s="2" t="s">
        <v>1445</v>
      </c>
      <c r="M166" s="3" t="s">
        <v>403</v>
      </c>
      <c r="N166" s="2" t="s">
        <v>1446</v>
      </c>
      <c r="O166" s="3" t="s">
        <v>64</v>
      </c>
      <c r="P166" s="3" t="s">
        <v>1228</v>
      </c>
      <c r="R166" s="3" t="s">
        <v>912</v>
      </c>
      <c r="S166" s="4">
        <v>20</v>
      </c>
      <c r="T166" s="4">
        <v>59</v>
      </c>
      <c r="U166" s="5" t="s">
        <v>1450</v>
      </c>
      <c r="V166" s="5" t="s">
        <v>1447</v>
      </c>
      <c r="W166" s="5" t="s">
        <v>1250</v>
      </c>
      <c r="X166" s="5" t="s">
        <v>1250</v>
      </c>
      <c r="Y166" s="4">
        <v>11</v>
      </c>
      <c r="Z166" s="4">
        <v>7</v>
      </c>
      <c r="AA166" s="4">
        <v>9</v>
      </c>
      <c r="AB166" s="4">
        <v>1</v>
      </c>
      <c r="AC166" s="4">
        <v>1</v>
      </c>
      <c r="AD166" s="4">
        <v>0</v>
      </c>
      <c r="AE166" s="4">
        <v>0</v>
      </c>
      <c r="AF166" s="4">
        <v>0</v>
      </c>
      <c r="AG166" s="4">
        <v>0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3" t="s">
        <v>58</v>
      </c>
      <c r="AQ166" s="3" t="s">
        <v>58</v>
      </c>
      <c r="AS166" s="6" t="str">
        <f>HYPERLINK("https://creighton-primo.hosted.exlibrisgroup.com/primo-explore/search?tab=default_tab&amp;search_scope=EVERYTHING&amp;vid=01CRU&amp;lang=en_US&amp;offset=0&amp;query=any,contains,991000796409702656","Catalog Record")</f>
        <v>Catalog Record</v>
      </c>
      <c r="AT166" s="6" t="str">
        <f>HYPERLINK("http://www.worldcat.org/oclc/2567846","WorldCat Record")</f>
        <v>WorldCat Record</v>
      </c>
    </row>
    <row r="167" spans="1:46" ht="30" customHeight="1" x14ac:dyDescent="0.25">
      <c r="A167" s="8" t="s">
        <v>58</v>
      </c>
      <c r="B167" s="2" t="s">
        <v>1451</v>
      </c>
      <c r="C167" s="2" t="s">
        <v>1452</v>
      </c>
      <c r="D167" s="2" t="s">
        <v>1453</v>
      </c>
      <c r="F167" s="3" t="s">
        <v>58</v>
      </c>
      <c r="G167" s="3" t="s">
        <v>59</v>
      </c>
      <c r="H167" s="3" t="s">
        <v>58</v>
      </c>
      <c r="I167" s="3" t="s">
        <v>58</v>
      </c>
      <c r="J167" s="3" t="s">
        <v>60</v>
      </c>
      <c r="K167" s="2" t="s">
        <v>1454</v>
      </c>
      <c r="L167" s="2" t="s">
        <v>1455</v>
      </c>
      <c r="M167" s="3" t="s">
        <v>313</v>
      </c>
      <c r="O167" s="3" t="s">
        <v>64</v>
      </c>
      <c r="P167" s="3" t="s">
        <v>84</v>
      </c>
      <c r="Q167" s="2" t="s">
        <v>1456</v>
      </c>
      <c r="R167" s="3" t="s">
        <v>912</v>
      </c>
      <c r="S167" s="4">
        <v>27</v>
      </c>
      <c r="T167" s="4">
        <v>27</v>
      </c>
      <c r="U167" s="5" t="s">
        <v>1457</v>
      </c>
      <c r="V167" s="5" t="s">
        <v>1457</v>
      </c>
      <c r="W167" s="5" t="s">
        <v>1458</v>
      </c>
      <c r="X167" s="5" t="s">
        <v>1458</v>
      </c>
      <c r="Y167" s="4">
        <v>98</v>
      </c>
      <c r="Z167" s="4">
        <v>48</v>
      </c>
      <c r="AA167" s="4">
        <v>50</v>
      </c>
      <c r="AB167" s="4">
        <v>1</v>
      </c>
      <c r="AC167" s="4">
        <v>1</v>
      </c>
      <c r="AD167" s="4">
        <v>1</v>
      </c>
      <c r="AE167" s="4">
        <v>1</v>
      </c>
      <c r="AF167" s="4">
        <v>0</v>
      </c>
      <c r="AG167" s="4">
        <v>0</v>
      </c>
      <c r="AH167" s="4">
        <v>0</v>
      </c>
      <c r="AI167" s="4">
        <v>0</v>
      </c>
      <c r="AJ167" s="4">
        <v>1</v>
      </c>
      <c r="AK167" s="4">
        <v>1</v>
      </c>
      <c r="AL167" s="4">
        <v>0</v>
      </c>
      <c r="AM167" s="4">
        <v>0</v>
      </c>
      <c r="AN167" s="4">
        <v>0</v>
      </c>
      <c r="AO167" s="4">
        <v>0</v>
      </c>
      <c r="AP167" s="3" t="s">
        <v>58</v>
      </c>
      <c r="AQ167" s="3" t="s">
        <v>103</v>
      </c>
      <c r="AR167" s="6" t="str">
        <f>HYPERLINK("http://catalog.hathitrust.org/Record/000622543","HathiTrust Record")</f>
        <v>HathiTrust Record</v>
      </c>
      <c r="AS167" s="6" t="str">
        <f>HYPERLINK("https://creighton-primo.hosted.exlibrisgroup.com/primo-explore/search?tab=default_tab&amp;search_scope=EVERYTHING&amp;vid=01CRU&amp;lang=en_US&amp;offset=0&amp;query=any,contains,991000847089702656","Catalog Record")</f>
        <v>Catalog Record</v>
      </c>
      <c r="AT167" s="6" t="str">
        <f>HYPERLINK("http://www.worldcat.org/oclc/11971377","WorldCat Record")</f>
        <v>WorldCat Record</v>
      </c>
    </row>
    <row r="168" spans="1:46" ht="30" customHeight="1" x14ac:dyDescent="0.25">
      <c r="A168" s="8" t="s">
        <v>58</v>
      </c>
      <c r="B168" s="2" t="s">
        <v>1459</v>
      </c>
      <c r="C168" s="2" t="s">
        <v>1460</v>
      </c>
      <c r="D168" s="2" t="s">
        <v>1461</v>
      </c>
      <c r="E168" s="3" t="s">
        <v>1462</v>
      </c>
      <c r="F168" s="3" t="s">
        <v>103</v>
      </c>
      <c r="G168" s="3" t="s">
        <v>59</v>
      </c>
      <c r="H168" s="3" t="s">
        <v>58</v>
      </c>
      <c r="I168" s="3" t="s">
        <v>58</v>
      </c>
      <c r="J168" s="3" t="s">
        <v>60</v>
      </c>
      <c r="L168" s="2" t="s">
        <v>1463</v>
      </c>
      <c r="M168" s="3" t="s">
        <v>359</v>
      </c>
      <c r="N168" s="2" t="s">
        <v>1464</v>
      </c>
      <c r="O168" s="3" t="s">
        <v>64</v>
      </c>
      <c r="P168" s="3" t="s">
        <v>911</v>
      </c>
      <c r="R168" s="3" t="s">
        <v>912</v>
      </c>
      <c r="S168" s="4">
        <v>19</v>
      </c>
      <c r="T168" s="4">
        <v>37</v>
      </c>
      <c r="U168" s="5" t="s">
        <v>1465</v>
      </c>
      <c r="V168" s="5" t="s">
        <v>1465</v>
      </c>
      <c r="W168" s="5" t="s">
        <v>1466</v>
      </c>
      <c r="X168" s="5" t="s">
        <v>1340</v>
      </c>
      <c r="Y168" s="4">
        <v>66</v>
      </c>
      <c r="Z168" s="4">
        <v>28</v>
      </c>
      <c r="AA168" s="4">
        <v>28</v>
      </c>
      <c r="AB168" s="4">
        <v>1</v>
      </c>
      <c r="AC168" s="4">
        <v>1</v>
      </c>
      <c r="AD168" s="4">
        <v>0</v>
      </c>
      <c r="AE168" s="4">
        <v>0</v>
      </c>
      <c r="AF168" s="4">
        <v>0</v>
      </c>
      <c r="AG168" s="4">
        <v>0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3" t="s">
        <v>58</v>
      </c>
      <c r="AQ168" s="3" t="s">
        <v>58</v>
      </c>
      <c r="AS168" s="6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T168" s="6" t="str">
        <f>HYPERLINK("http://www.worldcat.org/oclc/10506837","WorldCat Record")</f>
        <v>WorldCat Record</v>
      </c>
    </row>
    <row r="169" spans="1:46" ht="30" customHeight="1" x14ac:dyDescent="0.25">
      <c r="A169" s="8" t="s">
        <v>58</v>
      </c>
      <c r="B169" s="2" t="s">
        <v>1459</v>
      </c>
      <c r="C169" s="2" t="s">
        <v>1460</v>
      </c>
      <c r="D169" s="2" t="s">
        <v>1461</v>
      </c>
      <c r="E169" s="3" t="s">
        <v>1449</v>
      </c>
      <c r="F169" s="3" t="s">
        <v>103</v>
      </c>
      <c r="G169" s="3" t="s">
        <v>59</v>
      </c>
      <c r="H169" s="3" t="s">
        <v>58</v>
      </c>
      <c r="I169" s="3" t="s">
        <v>58</v>
      </c>
      <c r="J169" s="3" t="s">
        <v>60</v>
      </c>
      <c r="L169" s="2" t="s">
        <v>1463</v>
      </c>
      <c r="M169" s="3" t="s">
        <v>359</v>
      </c>
      <c r="N169" s="2" t="s">
        <v>1464</v>
      </c>
      <c r="O169" s="3" t="s">
        <v>64</v>
      </c>
      <c r="P169" s="3" t="s">
        <v>911</v>
      </c>
      <c r="R169" s="3" t="s">
        <v>912</v>
      </c>
      <c r="S169" s="4">
        <v>2</v>
      </c>
      <c r="T169" s="4">
        <v>37</v>
      </c>
      <c r="U169" s="5" t="s">
        <v>1465</v>
      </c>
      <c r="V169" s="5" t="s">
        <v>1465</v>
      </c>
      <c r="W169" s="5" t="s">
        <v>1340</v>
      </c>
      <c r="X169" s="5" t="s">
        <v>1340</v>
      </c>
      <c r="Y169" s="4">
        <v>66</v>
      </c>
      <c r="Z169" s="4">
        <v>28</v>
      </c>
      <c r="AA169" s="4">
        <v>28</v>
      </c>
      <c r="AB169" s="4">
        <v>1</v>
      </c>
      <c r="AC169" s="4">
        <v>1</v>
      </c>
      <c r="AD169" s="4">
        <v>0</v>
      </c>
      <c r="AE169" s="4">
        <v>0</v>
      </c>
      <c r="AF169" s="4">
        <v>0</v>
      </c>
      <c r="AG169" s="4">
        <v>0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3" t="s">
        <v>58</v>
      </c>
      <c r="AQ169" s="3" t="s">
        <v>58</v>
      </c>
      <c r="AS169" s="6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T169" s="6" t="str">
        <f>HYPERLINK("http://www.worldcat.org/oclc/10506837","WorldCat Record")</f>
        <v>WorldCat Record</v>
      </c>
    </row>
    <row r="170" spans="1:46" ht="30" customHeight="1" x14ac:dyDescent="0.25">
      <c r="A170" s="8" t="s">
        <v>58</v>
      </c>
      <c r="B170" s="2" t="s">
        <v>1459</v>
      </c>
      <c r="C170" s="2" t="s">
        <v>1460</v>
      </c>
      <c r="D170" s="2" t="s">
        <v>1461</v>
      </c>
      <c r="E170" s="3" t="s">
        <v>1333</v>
      </c>
      <c r="F170" s="3" t="s">
        <v>103</v>
      </c>
      <c r="G170" s="3" t="s">
        <v>59</v>
      </c>
      <c r="H170" s="3" t="s">
        <v>58</v>
      </c>
      <c r="I170" s="3" t="s">
        <v>58</v>
      </c>
      <c r="J170" s="3" t="s">
        <v>60</v>
      </c>
      <c r="L170" s="2" t="s">
        <v>1463</v>
      </c>
      <c r="M170" s="3" t="s">
        <v>359</v>
      </c>
      <c r="N170" s="2" t="s">
        <v>1464</v>
      </c>
      <c r="O170" s="3" t="s">
        <v>64</v>
      </c>
      <c r="P170" s="3" t="s">
        <v>911</v>
      </c>
      <c r="R170" s="3" t="s">
        <v>912</v>
      </c>
      <c r="S170" s="4">
        <v>5</v>
      </c>
      <c r="T170" s="4">
        <v>37</v>
      </c>
      <c r="U170" s="5" t="s">
        <v>1465</v>
      </c>
      <c r="V170" s="5" t="s">
        <v>1465</v>
      </c>
      <c r="W170" s="5" t="s">
        <v>1340</v>
      </c>
      <c r="X170" s="5" t="s">
        <v>1340</v>
      </c>
      <c r="Y170" s="4">
        <v>66</v>
      </c>
      <c r="Z170" s="4">
        <v>28</v>
      </c>
      <c r="AA170" s="4">
        <v>28</v>
      </c>
      <c r="AB170" s="4">
        <v>1</v>
      </c>
      <c r="AC170" s="4">
        <v>1</v>
      </c>
      <c r="AD170" s="4">
        <v>0</v>
      </c>
      <c r="AE170" s="4">
        <v>0</v>
      </c>
      <c r="AF170" s="4">
        <v>0</v>
      </c>
      <c r="AG170" s="4">
        <v>0</v>
      </c>
      <c r="AH170" s="4">
        <v>0</v>
      </c>
      <c r="AI170" s="4">
        <v>0</v>
      </c>
      <c r="AJ170" s="4">
        <v>0</v>
      </c>
      <c r="AK170" s="4">
        <v>0</v>
      </c>
      <c r="AL170" s="4">
        <v>0</v>
      </c>
      <c r="AM170" s="4">
        <v>0</v>
      </c>
      <c r="AN170" s="4">
        <v>0</v>
      </c>
      <c r="AO170" s="4">
        <v>0</v>
      </c>
      <c r="AP170" s="3" t="s">
        <v>58</v>
      </c>
      <c r="AQ170" s="3" t="s">
        <v>58</v>
      </c>
      <c r="AS170" s="6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T170" s="6" t="str">
        <f>HYPERLINK("http://www.worldcat.org/oclc/10506837","WorldCat Record")</f>
        <v>WorldCat Record</v>
      </c>
    </row>
    <row r="171" spans="1:46" ht="30" customHeight="1" x14ac:dyDescent="0.25">
      <c r="A171" s="8" t="s">
        <v>58</v>
      </c>
      <c r="B171" s="2" t="s">
        <v>1459</v>
      </c>
      <c r="C171" s="2" t="s">
        <v>1460</v>
      </c>
      <c r="D171" s="2" t="s">
        <v>1461</v>
      </c>
      <c r="E171" s="3" t="s">
        <v>697</v>
      </c>
      <c r="F171" s="3" t="s">
        <v>103</v>
      </c>
      <c r="G171" s="3" t="s">
        <v>59</v>
      </c>
      <c r="H171" s="3" t="s">
        <v>58</v>
      </c>
      <c r="I171" s="3" t="s">
        <v>58</v>
      </c>
      <c r="J171" s="3" t="s">
        <v>60</v>
      </c>
      <c r="L171" s="2" t="s">
        <v>1463</v>
      </c>
      <c r="M171" s="3" t="s">
        <v>359</v>
      </c>
      <c r="N171" s="2" t="s">
        <v>1464</v>
      </c>
      <c r="O171" s="3" t="s">
        <v>64</v>
      </c>
      <c r="P171" s="3" t="s">
        <v>911</v>
      </c>
      <c r="R171" s="3" t="s">
        <v>912</v>
      </c>
      <c r="S171" s="4">
        <v>8</v>
      </c>
      <c r="T171" s="4">
        <v>37</v>
      </c>
      <c r="U171" s="5" t="s">
        <v>1465</v>
      </c>
      <c r="V171" s="5" t="s">
        <v>1465</v>
      </c>
      <c r="W171" s="5" t="s">
        <v>1340</v>
      </c>
      <c r="X171" s="5" t="s">
        <v>1340</v>
      </c>
      <c r="Y171" s="4">
        <v>66</v>
      </c>
      <c r="Z171" s="4">
        <v>28</v>
      </c>
      <c r="AA171" s="4">
        <v>28</v>
      </c>
      <c r="AB171" s="4">
        <v>1</v>
      </c>
      <c r="AC171" s="4">
        <v>1</v>
      </c>
      <c r="AD171" s="4">
        <v>0</v>
      </c>
      <c r="AE171" s="4">
        <v>0</v>
      </c>
      <c r="AF171" s="4">
        <v>0</v>
      </c>
      <c r="AG171" s="4">
        <v>0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3" t="s">
        <v>58</v>
      </c>
      <c r="AQ171" s="3" t="s">
        <v>58</v>
      </c>
      <c r="AS171" s="6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T171" s="6" t="str">
        <f>HYPERLINK("http://www.worldcat.org/oclc/10506837","WorldCat Record")</f>
        <v>WorldCat Record</v>
      </c>
    </row>
    <row r="172" spans="1:46" ht="30" customHeight="1" x14ac:dyDescent="0.25">
      <c r="A172" s="8" t="s">
        <v>58</v>
      </c>
      <c r="B172" s="2" t="s">
        <v>1459</v>
      </c>
      <c r="C172" s="2" t="s">
        <v>1460</v>
      </c>
      <c r="D172" s="2" t="s">
        <v>1461</v>
      </c>
      <c r="E172" s="3" t="s">
        <v>685</v>
      </c>
      <c r="F172" s="3" t="s">
        <v>103</v>
      </c>
      <c r="G172" s="3" t="s">
        <v>59</v>
      </c>
      <c r="H172" s="3" t="s">
        <v>58</v>
      </c>
      <c r="I172" s="3" t="s">
        <v>58</v>
      </c>
      <c r="J172" s="3" t="s">
        <v>60</v>
      </c>
      <c r="L172" s="2" t="s">
        <v>1463</v>
      </c>
      <c r="M172" s="3" t="s">
        <v>359</v>
      </c>
      <c r="N172" s="2" t="s">
        <v>1464</v>
      </c>
      <c r="O172" s="3" t="s">
        <v>64</v>
      </c>
      <c r="P172" s="3" t="s">
        <v>911</v>
      </c>
      <c r="R172" s="3" t="s">
        <v>912</v>
      </c>
      <c r="S172" s="4">
        <v>3</v>
      </c>
      <c r="T172" s="4">
        <v>37</v>
      </c>
      <c r="U172" s="5" t="s">
        <v>1465</v>
      </c>
      <c r="V172" s="5" t="s">
        <v>1465</v>
      </c>
      <c r="W172" s="5" t="s">
        <v>1340</v>
      </c>
      <c r="X172" s="5" t="s">
        <v>1340</v>
      </c>
      <c r="Y172" s="4">
        <v>66</v>
      </c>
      <c r="Z172" s="4">
        <v>28</v>
      </c>
      <c r="AA172" s="4">
        <v>28</v>
      </c>
      <c r="AB172" s="4">
        <v>1</v>
      </c>
      <c r="AC172" s="4">
        <v>1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3" t="s">
        <v>58</v>
      </c>
      <c r="AQ172" s="3" t="s">
        <v>58</v>
      </c>
      <c r="AS172" s="6" t="str">
        <f>HYPERLINK("https://creighton-primo.hosted.exlibrisgroup.com/primo-explore/search?tab=default_tab&amp;search_scope=EVERYTHING&amp;vid=01CRU&amp;lang=en_US&amp;offset=0&amp;query=any,contains,991000746419702656","Catalog Record")</f>
        <v>Catalog Record</v>
      </c>
      <c r="AT172" s="6" t="str">
        <f>HYPERLINK("http://www.worldcat.org/oclc/10506837","WorldCat Record")</f>
        <v>WorldCat Record</v>
      </c>
    </row>
    <row r="173" spans="1:46" ht="30" customHeight="1" x14ac:dyDescent="0.25">
      <c r="A173" s="8" t="s">
        <v>58</v>
      </c>
      <c r="B173" s="2" t="s">
        <v>1467</v>
      </c>
      <c r="C173" s="2" t="s">
        <v>1468</v>
      </c>
      <c r="D173" s="2" t="s">
        <v>1469</v>
      </c>
      <c r="F173" s="3" t="s">
        <v>58</v>
      </c>
      <c r="G173" s="3" t="s">
        <v>59</v>
      </c>
      <c r="H173" s="3" t="s">
        <v>58</v>
      </c>
      <c r="I173" s="3" t="s">
        <v>58</v>
      </c>
      <c r="J173" s="3" t="s">
        <v>60</v>
      </c>
      <c r="L173" s="2" t="s">
        <v>1470</v>
      </c>
      <c r="M173" s="3" t="s">
        <v>706</v>
      </c>
      <c r="N173" s="2" t="s">
        <v>984</v>
      </c>
      <c r="O173" s="3" t="s">
        <v>64</v>
      </c>
      <c r="P173" s="3" t="s">
        <v>911</v>
      </c>
      <c r="Q173" s="2" t="s">
        <v>1471</v>
      </c>
      <c r="R173" s="3" t="s">
        <v>912</v>
      </c>
      <c r="S173" s="4">
        <v>31</v>
      </c>
      <c r="T173" s="4">
        <v>31</v>
      </c>
      <c r="U173" s="5" t="s">
        <v>1472</v>
      </c>
      <c r="V173" s="5" t="s">
        <v>1472</v>
      </c>
      <c r="W173" s="5" t="s">
        <v>1473</v>
      </c>
      <c r="X173" s="5" t="s">
        <v>1473</v>
      </c>
      <c r="Y173" s="4">
        <v>48</v>
      </c>
      <c r="Z173" s="4">
        <v>33</v>
      </c>
      <c r="AA173" s="4">
        <v>313</v>
      </c>
      <c r="AB173" s="4">
        <v>1</v>
      </c>
      <c r="AC173" s="4">
        <v>2</v>
      </c>
      <c r="AD173" s="4">
        <v>1</v>
      </c>
      <c r="AE173" s="4">
        <v>7</v>
      </c>
      <c r="AF173" s="4">
        <v>0</v>
      </c>
      <c r="AG173" s="4">
        <v>0</v>
      </c>
      <c r="AH173" s="4">
        <v>0</v>
      </c>
      <c r="AI173" s="4">
        <v>3</v>
      </c>
      <c r="AJ173" s="4">
        <v>1</v>
      </c>
      <c r="AK173" s="4">
        <v>5</v>
      </c>
      <c r="AL173" s="4">
        <v>0</v>
      </c>
      <c r="AM173" s="4">
        <v>1</v>
      </c>
      <c r="AN173" s="4">
        <v>0</v>
      </c>
      <c r="AO173" s="4">
        <v>0</v>
      </c>
      <c r="AP173" s="3" t="s">
        <v>58</v>
      </c>
      <c r="AQ173" s="3" t="s">
        <v>58</v>
      </c>
      <c r="AS173" s="6" t="str">
        <f>HYPERLINK("https://creighton-primo.hosted.exlibrisgroup.com/primo-explore/search?tab=default_tab&amp;search_scope=EVERYTHING&amp;vid=01CRU&amp;lang=en_US&amp;offset=0&amp;query=any,contains,991001107649702656","Catalog Record")</f>
        <v>Catalog Record</v>
      </c>
      <c r="AT173" s="6" t="str">
        <f>HYPERLINK("http://www.worldcat.org/oclc/17203016","WorldCat Record")</f>
        <v>WorldCat Record</v>
      </c>
    </row>
    <row r="174" spans="1:46" ht="30" customHeight="1" x14ac:dyDescent="0.25">
      <c r="A174" s="8" t="s">
        <v>58</v>
      </c>
      <c r="B174" s="2" t="s">
        <v>1474</v>
      </c>
      <c r="C174" s="2" t="s">
        <v>1475</v>
      </c>
      <c r="D174" s="2" t="s">
        <v>1476</v>
      </c>
      <c r="F174" s="3" t="s">
        <v>58</v>
      </c>
      <c r="G174" s="3" t="s">
        <v>59</v>
      </c>
      <c r="H174" s="3" t="s">
        <v>58</v>
      </c>
      <c r="I174" s="3" t="s">
        <v>58</v>
      </c>
      <c r="J174" s="3" t="s">
        <v>60</v>
      </c>
      <c r="K174" s="2" t="s">
        <v>1477</v>
      </c>
      <c r="L174" s="2" t="s">
        <v>1478</v>
      </c>
      <c r="M174" s="3" t="s">
        <v>298</v>
      </c>
      <c r="O174" s="3" t="s">
        <v>64</v>
      </c>
      <c r="P174" s="3" t="s">
        <v>84</v>
      </c>
      <c r="R174" s="3" t="s">
        <v>912</v>
      </c>
      <c r="S174" s="4">
        <v>20</v>
      </c>
      <c r="T174" s="4">
        <v>20</v>
      </c>
      <c r="U174" s="5" t="s">
        <v>1479</v>
      </c>
      <c r="V174" s="5" t="s">
        <v>1479</v>
      </c>
      <c r="W174" s="5" t="s">
        <v>1340</v>
      </c>
      <c r="X174" s="5" t="s">
        <v>1340</v>
      </c>
      <c r="Y174" s="4">
        <v>68</v>
      </c>
      <c r="Z174" s="4">
        <v>23</v>
      </c>
      <c r="AA174" s="4">
        <v>73</v>
      </c>
      <c r="AB174" s="4">
        <v>2</v>
      </c>
      <c r="AC174" s="4">
        <v>3</v>
      </c>
      <c r="AD174" s="4">
        <v>2</v>
      </c>
      <c r="AE174" s="4">
        <v>6</v>
      </c>
      <c r="AF174" s="4">
        <v>0</v>
      </c>
      <c r="AG174" s="4">
        <v>2</v>
      </c>
      <c r="AH174" s="4">
        <v>0</v>
      </c>
      <c r="AI174" s="4">
        <v>2</v>
      </c>
      <c r="AJ174" s="4">
        <v>1</v>
      </c>
      <c r="AK174" s="4">
        <v>1</v>
      </c>
      <c r="AL174" s="4">
        <v>1</v>
      </c>
      <c r="AM174" s="4">
        <v>2</v>
      </c>
      <c r="AN174" s="4">
        <v>0</v>
      </c>
      <c r="AO174" s="4">
        <v>0</v>
      </c>
      <c r="AP174" s="3" t="s">
        <v>58</v>
      </c>
      <c r="AQ174" s="3" t="s">
        <v>58</v>
      </c>
      <c r="AS174" s="6" t="str">
        <f>HYPERLINK("https://creighton-primo.hosted.exlibrisgroup.com/primo-explore/search?tab=default_tab&amp;search_scope=EVERYTHING&amp;vid=01CRU&amp;lang=en_US&amp;offset=0&amp;query=any,contains,991000746279702656","Catalog Record")</f>
        <v>Catalog Record</v>
      </c>
      <c r="AT174" s="6" t="str">
        <f>HYPERLINK("http://www.worldcat.org/oclc/4494495","WorldCat Record")</f>
        <v>WorldCat Record</v>
      </c>
    </row>
    <row r="175" spans="1:46" ht="30" customHeight="1" x14ac:dyDescent="0.25">
      <c r="A175" s="8" t="s">
        <v>58</v>
      </c>
      <c r="B175" s="2" t="s">
        <v>1480</v>
      </c>
      <c r="C175" s="2" t="s">
        <v>1481</v>
      </c>
      <c r="D175" s="2" t="s">
        <v>1482</v>
      </c>
      <c r="F175" s="3" t="s">
        <v>58</v>
      </c>
      <c r="G175" s="3" t="s">
        <v>59</v>
      </c>
      <c r="H175" s="3" t="s">
        <v>58</v>
      </c>
      <c r="I175" s="3" t="s">
        <v>58</v>
      </c>
      <c r="J175" s="3" t="s">
        <v>60</v>
      </c>
      <c r="K175" s="2" t="s">
        <v>1483</v>
      </c>
      <c r="L175" s="2" t="s">
        <v>997</v>
      </c>
      <c r="M175" s="3" t="s">
        <v>766</v>
      </c>
      <c r="N175" s="2" t="s">
        <v>331</v>
      </c>
      <c r="O175" s="3" t="s">
        <v>64</v>
      </c>
      <c r="P175" s="3" t="s">
        <v>133</v>
      </c>
      <c r="Q175" s="2" t="s">
        <v>998</v>
      </c>
      <c r="R175" s="3" t="s">
        <v>912</v>
      </c>
      <c r="S175" s="4">
        <v>12</v>
      </c>
      <c r="T175" s="4">
        <v>12</v>
      </c>
      <c r="U175" s="5" t="s">
        <v>1484</v>
      </c>
      <c r="V175" s="5" t="s">
        <v>1484</v>
      </c>
      <c r="W175" s="5" t="s">
        <v>1000</v>
      </c>
      <c r="X175" s="5" t="s">
        <v>1000</v>
      </c>
      <c r="Y175" s="4">
        <v>85</v>
      </c>
      <c r="Z175" s="4">
        <v>59</v>
      </c>
      <c r="AA175" s="4">
        <v>115</v>
      </c>
      <c r="AB175" s="4">
        <v>1</v>
      </c>
      <c r="AC175" s="4">
        <v>1</v>
      </c>
      <c r="AD175" s="4">
        <v>3</v>
      </c>
      <c r="AE175" s="4">
        <v>3</v>
      </c>
      <c r="AF175" s="4">
        <v>0</v>
      </c>
      <c r="AG175" s="4">
        <v>0</v>
      </c>
      <c r="AH175" s="4">
        <v>1</v>
      </c>
      <c r="AI175" s="4">
        <v>1</v>
      </c>
      <c r="AJ175" s="4">
        <v>3</v>
      </c>
      <c r="AK175" s="4">
        <v>3</v>
      </c>
      <c r="AL175" s="4">
        <v>0</v>
      </c>
      <c r="AM175" s="4">
        <v>0</v>
      </c>
      <c r="AN175" s="4">
        <v>0</v>
      </c>
      <c r="AO175" s="4">
        <v>0</v>
      </c>
      <c r="AP175" s="3" t="s">
        <v>58</v>
      </c>
      <c r="AQ175" s="3" t="s">
        <v>58</v>
      </c>
      <c r="AS175" s="6" t="str">
        <f>HYPERLINK("https://creighton-primo.hosted.exlibrisgroup.com/primo-explore/search?tab=default_tab&amp;search_scope=EVERYTHING&amp;vid=01CRU&amp;lang=en_US&amp;offset=0&amp;query=any,contains,991001302719702656","Catalog Record")</f>
        <v>Catalog Record</v>
      </c>
      <c r="AT175" s="6" t="str">
        <f>HYPERLINK("http://www.worldcat.org/oclc/25095894","WorldCat Record")</f>
        <v>WorldCat Record</v>
      </c>
    </row>
    <row r="176" spans="1:46" ht="30" customHeight="1" x14ac:dyDescent="0.25">
      <c r="A176" s="8" t="s">
        <v>58</v>
      </c>
      <c r="B176" s="2" t="s">
        <v>1485</v>
      </c>
      <c r="C176" s="2" t="s">
        <v>1486</v>
      </c>
      <c r="D176" s="2" t="s">
        <v>1487</v>
      </c>
      <c r="F176" s="3" t="s">
        <v>58</v>
      </c>
      <c r="G176" s="3" t="s">
        <v>59</v>
      </c>
      <c r="H176" s="3" t="s">
        <v>58</v>
      </c>
      <c r="I176" s="3" t="s">
        <v>58</v>
      </c>
      <c r="J176" s="3" t="s">
        <v>60</v>
      </c>
      <c r="K176" s="2" t="s">
        <v>1488</v>
      </c>
      <c r="L176" s="2" t="s">
        <v>1489</v>
      </c>
      <c r="M176" s="3" t="s">
        <v>560</v>
      </c>
      <c r="N176" s="2" t="s">
        <v>950</v>
      </c>
      <c r="O176" s="3" t="s">
        <v>64</v>
      </c>
      <c r="P176" s="3" t="s">
        <v>911</v>
      </c>
      <c r="Q176" s="2" t="s">
        <v>1490</v>
      </c>
      <c r="R176" s="3" t="s">
        <v>912</v>
      </c>
      <c r="S176" s="4">
        <v>20</v>
      </c>
      <c r="T176" s="4">
        <v>20</v>
      </c>
      <c r="U176" s="5" t="s">
        <v>1491</v>
      </c>
      <c r="V176" s="5" t="s">
        <v>1491</v>
      </c>
      <c r="W176" s="5" t="s">
        <v>1340</v>
      </c>
      <c r="X176" s="5" t="s">
        <v>1340</v>
      </c>
      <c r="Y176" s="4">
        <v>43</v>
      </c>
      <c r="Z176" s="4">
        <v>30</v>
      </c>
      <c r="AA176" s="4">
        <v>30</v>
      </c>
      <c r="AB176" s="4">
        <v>1</v>
      </c>
      <c r="AC176" s="4">
        <v>1</v>
      </c>
      <c r="AD176" s="4">
        <v>0</v>
      </c>
      <c r="AE176" s="4">
        <v>0</v>
      </c>
      <c r="AF176" s="4">
        <v>0</v>
      </c>
      <c r="AG176" s="4">
        <v>0</v>
      </c>
      <c r="AH176" s="4">
        <v>0</v>
      </c>
      <c r="AI176" s="4">
        <v>0</v>
      </c>
      <c r="AJ176" s="4">
        <v>0</v>
      </c>
      <c r="AK176" s="4">
        <v>0</v>
      </c>
      <c r="AL176" s="4">
        <v>0</v>
      </c>
      <c r="AM176" s="4">
        <v>0</v>
      </c>
      <c r="AN176" s="4">
        <v>0</v>
      </c>
      <c r="AO176" s="4">
        <v>0</v>
      </c>
      <c r="AP176" s="3" t="s">
        <v>58</v>
      </c>
      <c r="AQ176" s="3" t="s">
        <v>58</v>
      </c>
      <c r="AS176" s="6" t="str">
        <f>HYPERLINK("https://creighton-primo.hosted.exlibrisgroup.com/primo-explore/search?tab=default_tab&amp;search_scope=EVERYTHING&amp;vid=01CRU&amp;lang=en_US&amp;offset=0&amp;query=any,contains,991000746329702656","Catalog Record")</f>
        <v>Catalog Record</v>
      </c>
      <c r="AT176" s="6" t="str">
        <f>HYPERLINK("http://www.worldcat.org/oclc/10402595","WorldCat Record")</f>
        <v>WorldCat Record</v>
      </c>
    </row>
    <row r="177" spans="1:46" ht="30" customHeight="1" x14ac:dyDescent="0.25">
      <c r="A177" s="8" t="s">
        <v>58</v>
      </c>
      <c r="B177" s="2" t="s">
        <v>1492</v>
      </c>
      <c r="C177" s="2" t="s">
        <v>1493</v>
      </c>
      <c r="D177" s="2" t="s">
        <v>1494</v>
      </c>
      <c r="F177" s="3" t="s">
        <v>58</v>
      </c>
      <c r="G177" s="3" t="s">
        <v>59</v>
      </c>
      <c r="H177" s="3" t="s">
        <v>58</v>
      </c>
      <c r="I177" s="3" t="s">
        <v>58</v>
      </c>
      <c r="J177" s="3" t="s">
        <v>60</v>
      </c>
      <c r="K177" s="2" t="s">
        <v>1495</v>
      </c>
      <c r="L177" s="2" t="s">
        <v>1496</v>
      </c>
      <c r="M177" s="3" t="s">
        <v>766</v>
      </c>
      <c r="O177" s="3" t="s">
        <v>64</v>
      </c>
      <c r="P177" s="3" t="s">
        <v>1497</v>
      </c>
      <c r="R177" s="3" t="s">
        <v>912</v>
      </c>
      <c r="S177" s="4">
        <v>50</v>
      </c>
      <c r="T177" s="4">
        <v>50</v>
      </c>
      <c r="U177" s="5" t="s">
        <v>1498</v>
      </c>
      <c r="V177" s="5" t="s">
        <v>1498</v>
      </c>
      <c r="W177" s="5" t="s">
        <v>1499</v>
      </c>
      <c r="X177" s="5" t="s">
        <v>1499</v>
      </c>
      <c r="Y177" s="4">
        <v>73</v>
      </c>
      <c r="Z177" s="4">
        <v>56</v>
      </c>
      <c r="AA177" s="4">
        <v>63</v>
      </c>
      <c r="AB177" s="4">
        <v>1</v>
      </c>
      <c r="AC177" s="4">
        <v>1</v>
      </c>
      <c r="AD177" s="4">
        <v>1</v>
      </c>
      <c r="AE177" s="4">
        <v>1</v>
      </c>
      <c r="AF177" s="4">
        <v>0</v>
      </c>
      <c r="AG177" s="4">
        <v>0</v>
      </c>
      <c r="AH177" s="4">
        <v>1</v>
      </c>
      <c r="AI177" s="4">
        <v>1</v>
      </c>
      <c r="AJ177" s="4">
        <v>0</v>
      </c>
      <c r="AK177" s="4">
        <v>0</v>
      </c>
      <c r="AL177" s="4">
        <v>0</v>
      </c>
      <c r="AM177" s="4">
        <v>0</v>
      </c>
      <c r="AN177" s="4">
        <v>0</v>
      </c>
      <c r="AO177" s="4">
        <v>0</v>
      </c>
      <c r="AP177" s="3" t="s">
        <v>58</v>
      </c>
      <c r="AQ177" s="3" t="s">
        <v>103</v>
      </c>
      <c r="AR177" s="6" t="str">
        <f>HYPERLINK("http://catalog.hathitrust.org/Record/009864836","HathiTrust Record")</f>
        <v>HathiTrust Record</v>
      </c>
      <c r="AS177" s="6" t="str">
        <f>HYPERLINK("https://creighton-primo.hosted.exlibrisgroup.com/primo-explore/search?tab=default_tab&amp;search_scope=EVERYTHING&amp;vid=01CRU&amp;lang=en_US&amp;offset=0&amp;query=any,contains,991001400609702656","Catalog Record")</f>
        <v>Catalog Record</v>
      </c>
      <c r="AT177" s="6" t="str">
        <f>HYPERLINK("http://www.worldcat.org/oclc/25904441","WorldCat Record")</f>
        <v>WorldCat Record</v>
      </c>
    </row>
    <row r="178" spans="1:46" ht="30" customHeight="1" x14ac:dyDescent="0.25">
      <c r="A178" s="8" t="s">
        <v>58</v>
      </c>
      <c r="B178" s="2" t="s">
        <v>1500</v>
      </c>
      <c r="C178" s="2" t="s">
        <v>1501</v>
      </c>
      <c r="D178" s="2" t="s">
        <v>1502</v>
      </c>
      <c r="F178" s="3" t="s">
        <v>58</v>
      </c>
      <c r="G178" s="3" t="s">
        <v>59</v>
      </c>
      <c r="H178" s="3" t="s">
        <v>58</v>
      </c>
      <c r="I178" s="3" t="s">
        <v>58</v>
      </c>
      <c r="J178" s="3" t="s">
        <v>60</v>
      </c>
      <c r="K178" s="2" t="s">
        <v>1344</v>
      </c>
      <c r="L178" s="2" t="s">
        <v>1503</v>
      </c>
      <c r="M178" s="3" t="s">
        <v>313</v>
      </c>
      <c r="O178" s="3" t="s">
        <v>64</v>
      </c>
      <c r="P178" s="3" t="s">
        <v>911</v>
      </c>
      <c r="R178" s="3" t="s">
        <v>912</v>
      </c>
      <c r="S178" s="4">
        <v>17</v>
      </c>
      <c r="T178" s="4">
        <v>17</v>
      </c>
      <c r="U178" s="5" t="s">
        <v>1504</v>
      </c>
      <c r="V178" s="5" t="s">
        <v>1504</v>
      </c>
      <c r="W178" s="5" t="s">
        <v>1340</v>
      </c>
      <c r="X178" s="5" t="s">
        <v>1340</v>
      </c>
      <c r="Y178" s="4">
        <v>73</v>
      </c>
      <c r="Z178" s="4">
        <v>14</v>
      </c>
      <c r="AA178" s="4">
        <v>48</v>
      </c>
      <c r="AB178" s="4">
        <v>1</v>
      </c>
      <c r="AC178" s="4">
        <v>1</v>
      </c>
      <c r="AD178" s="4">
        <v>0</v>
      </c>
      <c r="AE178" s="4">
        <v>2</v>
      </c>
      <c r="AF178" s="4">
        <v>0</v>
      </c>
      <c r="AG178" s="4">
        <v>1</v>
      </c>
      <c r="AH178" s="4">
        <v>0</v>
      </c>
      <c r="AI178" s="4">
        <v>0</v>
      </c>
      <c r="AJ178" s="4">
        <v>0</v>
      </c>
      <c r="AK178" s="4">
        <v>1</v>
      </c>
      <c r="AL178" s="4">
        <v>0</v>
      </c>
      <c r="AM178" s="4">
        <v>0</v>
      </c>
      <c r="AN178" s="4">
        <v>0</v>
      </c>
      <c r="AO178" s="4">
        <v>0</v>
      </c>
      <c r="AP178" s="3" t="s">
        <v>58</v>
      </c>
      <c r="AQ178" s="3" t="s">
        <v>58</v>
      </c>
      <c r="AS178" s="6" t="str">
        <f>HYPERLINK("https://creighton-primo.hosted.exlibrisgroup.com/primo-explore/search?tab=default_tab&amp;search_scope=EVERYTHING&amp;vid=01CRU&amp;lang=en_US&amp;offset=0&amp;query=any,contains,991000746229702656","Catalog Record")</f>
        <v>Catalog Record</v>
      </c>
      <c r="AT178" s="6" t="str">
        <f>HYPERLINK("http://www.worldcat.org/oclc/12369995","WorldCat Record")</f>
        <v>WorldCat Record</v>
      </c>
    </row>
    <row r="179" spans="1:46" ht="30" customHeight="1" x14ac:dyDescent="0.25">
      <c r="A179" s="8" t="s">
        <v>58</v>
      </c>
      <c r="B179" s="2" t="s">
        <v>1505</v>
      </c>
      <c r="C179" s="2" t="s">
        <v>1506</v>
      </c>
      <c r="D179" s="2" t="s">
        <v>1507</v>
      </c>
      <c r="F179" s="3" t="s">
        <v>58</v>
      </c>
      <c r="G179" s="3" t="s">
        <v>59</v>
      </c>
      <c r="H179" s="3" t="s">
        <v>58</v>
      </c>
      <c r="I179" s="3" t="s">
        <v>58</v>
      </c>
      <c r="J179" s="3" t="s">
        <v>60</v>
      </c>
      <c r="L179" s="2" t="s">
        <v>1508</v>
      </c>
      <c r="M179" s="3" t="s">
        <v>867</v>
      </c>
      <c r="O179" s="3" t="s">
        <v>64</v>
      </c>
      <c r="P179" s="3" t="s">
        <v>65</v>
      </c>
      <c r="R179" s="3" t="s">
        <v>912</v>
      </c>
      <c r="S179" s="4">
        <v>18</v>
      </c>
      <c r="T179" s="4">
        <v>18</v>
      </c>
      <c r="U179" s="5" t="s">
        <v>1509</v>
      </c>
      <c r="V179" s="5" t="s">
        <v>1509</v>
      </c>
      <c r="W179" s="5" t="s">
        <v>1340</v>
      </c>
      <c r="X179" s="5" t="s">
        <v>1340</v>
      </c>
      <c r="Y179" s="4">
        <v>61</v>
      </c>
      <c r="Z179" s="4">
        <v>43</v>
      </c>
      <c r="AA179" s="4">
        <v>61</v>
      </c>
      <c r="AB179" s="4">
        <v>2</v>
      </c>
      <c r="AC179" s="4">
        <v>2</v>
      </c>
      <c r="AD179" s="4">
        <v>1</v>
      </c>
      <c r="AE179" s="4">
        <v>2</v>
      </c>
      <c r="AF179" s="4">
        <v>0</v>
      </c>
      <c r="AG179" s="4">
        <v>1</v>
      </c>
      <c r="AH179" s="4">
        <v>0</v>
      </c>
      <c r="AI179" s="4">
        <v>0</v>
      </c>
      <c r="AJ179" s="4">
        <v>0</v>
      </c>
      <c r="AK179" s="4">
        <v>1</v>
      </c>
      <c r="AL179" s="4">
        <v>1</v>
      </c>
      <c r="AM179" s="4">
        <v>1</v>
      </c>
      <c r="AN179" s="4">
        <v>0</v>
      </c>
      <c r="AO179" s="4">
        <v>0</v>
      </c>
      <c r="AP179" s="3" t="s">
        <v>58</v>
      </c>
      <c r="AQ179" s="3" t="s">
        <v>58</v>
      </c>
      <c r="AS179" s="6" t="str">
        <f>HYPERLINK("https://creighton-primo.hosted.exlibrisgroup.com/primo-explore/search?tab=default_tab&amp;search_scope=EVERYTHING&amp;vid=01CRU&amp;lang=en_US&amp;offset=0&amp;query=any,contains,991000746379702656","Catalog Record")</f>
        <v>Catalog Record</v>
      </c>
      <c r="AT179" s="6" t="str">
        <f>HYPERLINK("http://www.worldcat.org/oclc/2645047","WorldCat Record")</f>
        <v>WorldCat Record</v>
      </c>
    </row>
    <row r="180" spans="1:46" ht="30" customHeight="1" x14ac:dyDescent="0.25">
      <c r="A180" s="8" t="s">
        <v>58</v>
      </c>
      <c r="B180" s="2" t="s">
        <v>1510</v>
      </c>
      <c r="C180" s="2" t="s">
        <v>1511</v>
      </c>
      <c r="D180" s="2" t="s">
        <v>1512</v>
      </c>
      <c r="F180" s="3" t="s">
        <v>58</v>
      </c>
      <c r="G180" s="3" t="s">
        <v>59</v>
      </c>
      <c r="H180" s="3" t="s">
        <v>58</v>
      </c>
      <c r="I180" s="3" t="s">
        <v>58</v>
      </c>
      <c r="J180" s="3" t="s">
        <v>60</v>
      </c>
      <c r="K180" s="2" t="s">
        <v>918</v>
      </c>
      <c r="L180" s="2" t="s">
        <v>1513</v>
      </c>
      <c r="M180" s="3" t="s">
        <v>330</v>
      </c>
      <c r="N180" s="2" t="s">
        <v>331</v>
      </c>
      <c r="O180" s="3" t="s">
        <v>64</v>
      </c>
      <c r="P180" s="3" t="s">
        <v>315</v>
      </c>
      <c r="R180" s="3" t="s">
        <v>912</v>
      </c>
      <c r="S180" s="4">
        <v>12</v>
      </c>
      <c r="T180" s="4">
        <v>12</v>
      </c>
      <c r="U180" s="5" t="s">
        <v>1514</v>
      </c>
      <c r="V180" s="5" t="s">
        <v>1514</v>
      </c>
      <c r="W180" s="5" t="s">
        <v>1458</v>
      </c>
      <c r="X180" s="5" t="s">
        <v>1458</v>
      </c>
      <c r="Y180" s="4">
        <v>108</v>
      </c>
      <c r="Z180" s="4">
        <v>61</v>
      </c>
      <c r="AA180" s="4">
        <v>116</v>
      </c>
      <c r="AB180" s="4">
        <v>1</v>
      </c>
      <c r="AC180" s="4">
        <v>1</v>
      </c>
      <c r="AD180" s="4">
        <v>1</v>
      </c>
      <c r="AE180" s="4">
        <v>3</v>
      </c>
      <c r="AF180" s="4">
        <v>0</v>
      </c>
      <c r="AG180" s="4">
        <v>1</v>
      </c>
      <c r="AH180" s="4">
        <v>0</v>
      </c>
      <c r="AI180" s="4">
        <v>0</v>
      </c>
      <c r="AJ180" s="4">
        <v>1</v>
      </c>
      <c r="AK180" s="4">
        <v>3</v>
      </c>
      <c r="AL180" s="4">
        <v>0</v>
      </c>
      <c r="AM180" s="4">
        <v>0</v>
      </c>
      <c r="AN180" s="4">
        <v>0</v>
      </c>
      <c r="AO180" s="4">
        <v>0</v>
      </c>
      <c r="AP180" s="3" t="s">
        <v>58</v>
      </c>
      <c r="AQ180" s="3" t="s">
        <v>58</v>
      </c>
      <c r="AS180" s="6" t="str">
        <f>HYPERLINK("https://creighton-primo.hosted.exlibrisgroup.com/primo-explore/search?tab=default_tab&amp;search_scope=EVERYTHING&amp;vid=01CRU&amp;lang=en_US&amp;offset=0&amp;query=any,contains,991000796589702656","Catalog Record")</f>
        <v>Catalog Record</v>
      </c>
      <c r="AT180" s="6" t="str">
        <f>HYPERLINK("http://www.worldcat.org/oclc/8953630","WorldCat Record")</f>
        <v>WorldCat Record</v>
      </c>
    </row>
    <row r="181" spans="1:46" ht="30" customHeight="1" x14ac:dyDescent="0.25">
      <c r="A181" s="8" t="s">
        <v>58</v>
      </c>
      <c r="B181" s="2" t="s">
        <v>1515</v>
      </c>
      <c r="C181" s="2" t="s">
        <v>1516</v>
      </c>
      <c r="D181" s="2" t="s">
        <v>1517</v>
      </c>
      <c r="F181" s="3" t="s">
        <v>58</v>
      </c>
      <c r="G181" s="3" t="s">
        <v>59</v>
      </c>
      <c r="H181" s="3" t="s">
        <v>58</v>
      </c>
      <c r="I181" s="3" t="s">
        <v>58</v>
      </c>
      <c r="J181" s="3" t="s">
        <v>60</v>
      </c>
      <c r="K181" s="2" t="s">
        <v>1050</v>
      </c>
      <c r="L181" s="2" t="s">
        <v>1518</v>
      </c>
      <c r="M181" s="3" t="s">
        <v>474</v>
      </c>
      <c r="O181" s="3" t="s">
        <v>64</v>
      </c>
      <c r="P181" s="3" t="s">
        <v>1052</v>
      </c>
      <c r="R181" s="3" t="s">
        <v>912</v>
      </c>
      <c r="S181" s="4">
        <v>7</v>
      </c>
      <c r="T181" s="4">
        <v>7</v>
      </c>
      <c r="U181" s="5" t="s">
        <v>1519</v>
      </c>
      <c r="V181" s="5" t="s">
        <v>1519</v>
      </c>
      <c r="W181" s="5" t="s">
        <v>1520</v>
      </c>
      <c r="X181" s="5" t="s">
        <v>1520</v>
      </c>
      <c r="Y181" s="4">
        <v>1</v>
      </c>
      <c r="Z181" s="4">
        <v>1</v>
      </c>
      <c r="AA181" s="4">
        <v>10</v>
      </c>
      <c r="AB181" s="4">
        <v>1</v>
      </c>
      <c r="AC181" s="4">
        <v>1</v>
      </c>
      <c r="AD181" s="4">
        <v>0</v>
      </c>
      <c r="AE181" s="4">
        <v>0</v>
      </c>
      <c r="AF181" s="4">
        <v>0</v>
      </c>
      <c r="AG181" s="4">
        <v>0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3" t="s">
        <v>58</v>
      </c>
      <c r="AQ181" s="3" t="s">
        <v>58</v>
      </c>
      <c r="AS181" s="6" t="str">
        <f>HYPERLINK("https://creighton-primo.hosted.exlibrisgroup.com/primo-explore/search?tab=default_tab&amp;search_scope=EVERYTHING&amp;vid=01CRU&amp;lang=en_US&amp;offset=0&amp;query=any,contains,991000933589702656","Catalog Record")</f>
        <v>Catalog Record</v>
      </c>
      <c r="AT181" s="6" t="str">
        <f>HYPERLINK("http://www.worldcat.org/oclc/23686001","WorldCat Record")</f>
        <v>WorldCat Record</v>
      </c>
    </row>
    <row r="182" spans="1:46" ht="30" customHeight="1" x14ac:dyDescent="0.25">
      <c r="A182" s="8" t="s">
        <v>58</v>
      </c>
      <c r="B182" s="2" t="s">
        <v>1521</v>
      </c>
      <c r="C182" s="2" t="s">
        <v>1522</v>
      </c>
      <c r="D182" s="2" t="s">
        <v>1523</v>
      </c>
      <c r="F182" s="3" t="s">
        <v>58</v>
      </c>
      <c r="G182" s="3" t="s">
        <v>59</v>
      </c>
      <c r="H182" s="3" t="s">
        <v>58</v>
      </c>
      <c r="I182" s="3" t="s">
        <v>58</v>
      </c>
      <c r="J182" s="3" t="s">
        <v>60</v>
      </c>
      <c r="L182" s="2" t="s">
        <v>1524</v>
      </c>
      <c r="M182" s="3" t="s">
        <v>313</v>
      </c>
      <c r="N182" s="2" t="s">
        <v>1525</v>
      </c>
      <c r="O182" s="3" t="s">
        <v>64</v>
      </c>
      <c r="P182" s="3" t="s">
        <v>315</v>
      </c>
      <c r="Q182" s="2" t="s">
        <v>1526</v>
      </c>
      <c r="R182" s="3" t="s">
        <v>912</v>
      </c>
      <c r="S182" s="4">
        <v>3</v>
      </c>
      <c r="T182" s="4">
        <v>3</v>
      </c>
      <c r="U182" s="5" t="s">
        <v>1527</v>
      </c>
      <c r="V182" s="5" t="s">
        <v>1527</v>
      </c>
      <c r="W182" s="5" t="s">
        <v>1302</v>
      </c>
      <c r="X182" s="5" t="s">
        <v>1302</v>
      </c>
      <c r="Y182" s="4">
        <v>6</v>
      </c>
      <c r="Z182" s="4">
        <v>6</v>
      </c>
      <c r="AA182" s="4">
        <v>6</v>
      </c>
      <c r="AB182" s="4">
        <v>1</v>
      </c>
      <c r="AC182" s="4">
        <v>1</v>
      </c>
      <c r="AD182" s="4">
        <v>0</v>
      </c>
      <c r="AE182" s="4">
        <v>0</v>
      </c>
      <c r="AF182" s="4">
        <v>0</v>
      </c>
      <c r="AG182" s="4">
        <v>0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3" t="s">
        <v>58</v>
      </c>
      <c r="AQ182" s="3" t="s">
        <v>58</v>
      </c>
      <c r="AS182" s="6" t="str">
        <f>HYPERLINK("https://creighton-primo.hosted.exlibrisgroup.com/primo-explore/search?tab=default_tab&amp;search_scope=EVERYTHING&amp;vid=01CRU&amp;lang=en_US&amp;offset=0&amp;query=any,contains,991001280309702656","Catalog Record")</f>
        <v>Catalog Record</v>
      </c>
      <c r="AT182" s="6" t="str">
        <f>HYPERLINK("http://www.worldcat.org/oclc/15190879","WorldCat Record")</f>
        <v>WorldCat Record</v>
      </c>
    </row>
    <row r="183" spans="1:46" ht="30" customHeight="1" x14ac:dyDescent="0.25">
      <c r="A183" s="8" t="s">
        <v>58</v>
      </c>
      <c r="B183" s="2" t="s">
        <v>1528</v>
      </c>
      <c r="C183" s="2" t="s">
        <v>1529</v>
      </c>
      <c r="D183" s="2" t="s">
        <v>1530</v>
      </c>
      <c r="F183" s="3" t="s">
        <v>58</v>
      </c>
      <c r="G183" s="3" t="s">
        <v>59</v>
      </c>
      <c r="H183" s="3" t="s">
        <v>58</v>
      </c>
      <c r="I183" s="3" t="s">
        <v>58</v>
      </c>
      <c r="J183" s="3" t="s">
        <v>60</v>
      </c>
      <c r="K183" s="2" t="s">
        <v>1531</v>
      </c>
      <c r="L183" s="2" t="s">
        <v>1532</v>
      </c>
      <c r="M183" s="3" t="s">
        <v>83</v>
      </c>
      <c r="O183" s="3" t="s">
        <v>64</v>
      </c>
      <c r="P183" s="3" t="s">
        <v>1346</v>
      </c>
      <c r="R183" s="3" t="s">
        <v>912</v>
      </c>
      <c r="S183" s="4">
        <v>7</v>
      </c>
      <c r="T183" s="4">
        <v>7</v>
      </c>
      <c r="U183" s="5" t="s">
        <v>1312</v>
      </c>
      <c r="V183" s="5" t="s">
        <v>1312</v>
      </c>
      <c r="W183" s="5" t="s">
        <v>1533</v>
      </c>
      <c r="X183" s="5" t="s">
        <v>1533</v>
      </c>
      <c r="Y183" s="4">
        <v>80</v>
      </c>
      <c r="Z183" s="4">
        <v>58</v>
      </c>
      <c r="AA183" s="4">
        <v>58</v>
      </c>
      <c r="AB183" s="4">
        <v>1</v>
      </c>
      <c r="AC183" s="4">
        <v>1</v>
      </c>
      <c r="AD183" s="4">
        <v>0</v>
      </c>
      <c r="AE183" s="4">
        <v>0</v>
      </c>
      <c r="AF183" s="4">
        <v>0</v>
      </c>
      <c r="AG183" s="4">
        <v>0</v>
      </c>
      <c r="AH183" s="4">
        <v>0</v>
      </c>
      <c r="AI183" s="4">
        <v>0</v>
      </c>
      <c r="AJ183" s="4">
        <v>0</v>
      </c>
      <c r="AK183" s="4">
        <v>0</v>
      </c>
      <c r="AL183" s="4">
        <v>0</v>
      </c>
      <c r="AM183" s="4">
        <v>0</v>
      </c>
      <c r="AN183" s="4">
        <v>0</v>
      </c>
      <c r="AO183" s="4">
        <v>0</v>
      </c>
      <c r="AP183" s="3" t="s">
        <v>58</v>
      </c>
      <c r="AQ183" s="3" t="s">
        <v>58</v>
      </c>
      <c r="AS183" s="6" t="str">
        <f>HYPERLINK("https://creighton-primo.hosted.exlibrisgroup.com/primo-explore/search?tab=default_tab&amp;search_scope=EVERYTHING&amp;vid=01CRU&amp;lang=en_US&amp;offset=0&amp;query=any,contains,991001403779702656","Catalog Record")</f>
        <v>Catalog Record</v>
      </c>
      <c r="AT183" s="6" t="str">
        <f>HYPERLINK("http://www.worldcat.org/oclc/29563971","WorldCat Record")</f>
        <v>WorldCat Record</v>
      </c>
    </row>
    <row r="184" spans="1:46" ht="30" customHeight="1" x14ac:dyDescent="0.25">
      <c r="A184" s="8" t="s">
        <v>58</v>
      </c>
      <c r="B184" s="2" t="s">
        <v>1534</v>
      </c>
      <c r="C184" s="2" t="s">
        <v>1535</v>
      </c>
      <c r="D184" s="2" t="s">
        <v>1536</v>
      </c>
      <c r="E184" s="3" t="s">
        <v>697</v>
      </c>
      <c r="F184" s="3" t="s">
        <v>103</v>
      </c>
      <c r="G184" s="3" t="s">
        <v>59</v>
      </c>
      <c r="H184" s="3" t="s">
        <v>58</v>
      </c>
      <c r="I184" s="3" t="s">
        <v>58</v>
      </c>
      <c r="J184" s="3" t="s">
        <v>60</v>
      </c>
      <c r="K184" s="2" t="s">
        <v>1537</v>
      </c>
      <c r="L184" s="2" t="s">
        <v>1538</v>
      </c>
      <c r="M184" s="3" t="s">
        <v>313</v>
      </c>
      <c r="N184" s="2" t="s">
        <v>1539</v>
      </c>
      <c r="O184" s="3" t="s">
        <v>64</v>
      </c>
      <c r="P184" s="3" t="s">
        <v>84</v>
      </c>
      <c r="Q184" s="2" t="s">
        <v>1456</v>
      </c>
      <c r="R184" s="3" t="s">
        <v>912</v>
      </c>
      <c r="S184" s="4">
        <v>16</v>
      </c>
      <c r="T184" s="4">
        <v>63</v>
      </c>
      <c r="U184" s="5" t="s">
        <v>1540</v>
      </c>
      <c r="V184" s="5" t="s">
        <v>1540</v>
      </c>
      <c r="W184" s="5" t="s">
        <v>1541</v>
      </c>
      <c r="X184" s="5" t="s">
        <v>1541</v>
      </c>
      <c r="Y184" s="4">
        <v>298</v>
      </c>
      <c r="Z184" s="4">
        <v>148</v>
      </c>
      <c r="AA184" s="4">
        <v>315</v>
      </c>
      <c r="AB184" s="4">
        <v>1</v>
      </c>
      <c r="AC184" s="4">
        <v>2</v>
      </c>
      <c r="AD184" s="4">
        <v>4</v>
      </c>
      <c r="AE184" s="4">
        <v>8</v>
      </c>
      <c r="AF184" s="4">
        <v>0</v>
      </c>
      <c r="AG184" s="4">
        <v>1</v>
      </c>
      <c r="AH184" s="4">
        <v>1</v>
      </c>
      <c r="AI184" s="4">
        <v>2</v>
      </c>
      <c r="AJ184" s="4">
        <v>3</v>
      </c>
      <c r="AK184" s="4">
        <v>4</v>
      </c>
      <c r="AL184" s="4">
        <v>0</v>
      </c>
      <c r="AM184" s="4">
        <v>1</v>
      </c>
      <c r="AN184" s="4">
        <v>0</v>
      </c>
      <c r="AO184" s="4">
        <v>0</v>
      </c>
      <c r="AP184" s="3" t="s">
        <v>58</v>
      </c>
      <c r="AQ184" s="3" t="s">
        <v>58</v>
      </c>
      <c r="AS184" s="6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T184" s="6" t="str">
        <f>HYPERLINK("http://www.worldcat.org/oclc/13820772","WorldCat Record")</f>
        <v>WorldCat Record</v>
      </c>
    </row>
    <row r="185" spans="1:46" ht="30" customHeight="1" x14ac:dyDescent="0.25">
      <c r="A185" s="8" t="s">
        <v>58</v>
      </c>
      <c r="B185" s="2" t="s">
        <v>1534</v>
      </c>
      <c r="C185" s="2" t="s">
        <v>1535</v>
      </c>
      <c r="D185" s="2" t="s">
        <v>1536</v>
      </c>
      <c r="E185" s="3" t="s">
        <v>1333</v>
      </c>
      <c r="F185" s="3" t="s">
        <v>103</v>
      </c>
      <c r="G185" s="3" t="s">
        <v>59</v>
      </c>
      <c r="H185" s="3" t="s">
        <v>58</v>
      </c>
      <c r="I185" s="3" t="s">
        <v>58</v>
      </c>
      <c r="J185" s="3" t="s">
        <v>60</v>
      </c>
      <c r="K185" s="2" t="s">
        <v>1537</v>
      </c>
      <c r="L185" s="2" t="s">
        <v>1538</v>
      </c>
      <c r="M185" s="3" t="s">
        <v>313</v>
      </c>
      <c r="N185" s="2" t="s">
        <v>1539</v>
      </c>
      <c r="O185" s="3" t="s">
        <v>64</v>
      </c>
      <c r="P185" s="3" t="s">
        <v>84</v>
      </c>
      <c r="Q185" s="2" t="s">
        <v>1456</v>
      </c>
      <c r="R185" s="3" t="s">
        <v>912</v>
      </c>
      <c r="S185" s="4">
        <v>30</v>
      </c>
      <c r="T185" s="4">
        <v>63</v>
      </c>
      <c r="U185" s="5" t="s">
        <v>1540</v>
      </c>
      <c r="V185" s="5" t="s">
        <v>1540</v>
      </c>
      <c r="W185" s="5" t="s">
        <v>1541</v>
      </c>
      <c r="X185" s="5" t="s">
        <v>1541</v>
      </c>
      <c r="Y185" s="4">
        <v>298</v>
      </c>
      <c r="Z185" s="4">
        <v>148</v>
      </c>
      <c r="AA185" s="4">
        <v>315</v>
      </c>
      <c r="AB185" s="4">
        <v>1</v>
      </c>
      <c r="AC185" s="4">
        <v>2</v>
      </c>
      <c r="AD185" s="4">
        <v>4</v>
      </c>
      <c r="AE185" s="4">
        <v>8</v>
      </c>
      <c r="AF185" s="4">
        <v>0</v>
      </c>
      <c r="AG185" s="4">
        <v>1</v>
      </c>
      <c r="AH185" s="4">
        <v>1</v>
      </c>
      <c r="AI185" s="4">
        <v>2</v>
      </c>
      <c r="AJ185" s="4">
        <v>3</v>
      </c>
      <c r="AK185" s="4">
        <v>4</v>
      </c>
      <c r="AL185" s="4">
        <v>0</v>
      </c>
      <c r="AM185" s="4">
        <v>1</v>
      </c>
      <c r="AN185" s="4">
        <v>0</v>
      </c>
      <c r="AO185" s="4">
        <v>0</v>
      </c>
      <c r="AP185" s="3" t="s">
        <v>58</v>
      </c>
      <c r="AQ185" s="3" t="s">
        <v>58</v>
      </c>
      <c r="AS185" s="6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T185" s="6" t="str">
        <f>HYPERLINK("http://www.worldcat.org/oclc/13820772","WorldCat Record")</f>
        <v>WorldCat Record</v>
      </c>
    </row>
    <row r="186" spans="1:46" ht="30" customHeight="1" x14ac:dyDescent="0.25">
      <c r="A186" s="8" t="s">
        <v>58</v>
      </c>
      <c r="B186" s="2" t="s">
        <v>1534</v>
      </c>
      <c r="C186" s="2" t="s">
        <v>1535</v>
      </c>
      <c r="D186" s="2" t="s">
        <v>1536</v>
      </c>
      <c r="E186" s="3" t="s">
        <v>685</v>
      </c>
      <c r="F186" s="3" t="s">
        <v>103</v>
      </c>
      <c r="G186" s="3" t="s">
        <v>59</v>
      </c>
      <c r="H186" s="3" t="s">
        <v>58</v>
      </c>
      <c r="I186" s="3" t="s">
        <v>58</v>
      </c>
      <c r="J186" s="3" t="s">
        <v>60</v>
      </c>
      <c r="K186" s="2" t="s">
        <v>1537</v>
      </c>
      <c r="L186" s="2" t="s">
        <v>1538</v>
      </c>
      <c r="M186" s="3" t="s">
        <v>313</v>
      </c>
      <c r="N186" s="2" t="s">
        <v>1539</v>
      </c>
      <c r="O186" s="3" t="s">
        <v>64</v>
      </c>
      <c r="P186" s="3" t="s">
        <v>84</v>
      </c>
      <c r="Q186" s="2" t="s">
        <v>1456</v>
      </c>
      <c r="R186" s="3" t="s">
        <v>912</v>
      </c>
      <c r="S186" s="4">
        <v>17</v>
      </c>
      <c r="T186" s="4">
        <v>63</v>
      </c>
      <c r="U186" s="5" t="s">
        <v>1542</v>
      </c>
      <c r="V186" s="5" t="s">
        <v>1540</v>
      </c>
      <c r="W186" s="5" t="s">
        <v>1541</v>
      </c>
      <c r="X186" s="5" t="s">
        <v>1541</v>
      </c>
      <c r="Y186" s="4">
        <v>298</v>
      </c>
      <c r="Z186" s="4">
        <v>148</v>
      </c>
      <c r="AA186" s="4">
        <v>315</v>
      </c>
      <c r="AB186" s="4">
        <v>1</v>
      </c>
      <c r="AC186" s="4">
        <v>2</v>
      </c>
      <c r="AD186" s="4">
        <v>4</v>
      </c>
      <c r="AE186" s="4">
        <v>8</v>
      </c>
      <c r="AF186" s="4">
        <v>0</v>
      </c>
      <c r="AG186" s="4">
        <v>1</v>
      </c>
      <c r="AH186" s="4">
        <v>1</v>
      </c>
      <c r="AI186" s="4">
        <v>2</v>
      </c>
      <c r="AJ186" s="4">
        <v>3</v>
      </c>
      <c r="AK186" s="4">
        <v>4</v>
      </c>
      <c r="AL186" s="4">
        <v>0</v>
      </c>
      <c r="AM186" s="4">
        <v>1</v>
      </c>
      <c r="AN186" s="4">
        <v>0</v>
      </c>
      <c r="AO186" s="4">
        <v>0</v>
      </c>
      <c r="AP186" s="3" t="s">
        <v>58</v>
      </c>
      <c r="AQ186" s="3" t="s">
        <v>58</v>
      </c>
      <c r="AS186" s="6" t="str">
        <f>HYPERLINK("https://creighton-primo.hosted.exlibrisgroup.com/primo-explore/search?tab=default_tab&amp;search_scope=EVERYTHING&amp;vid=01CRU&amp;lang=en_US&amp;offset=0&amp;query=any,contains,991001452259702656","Catalog Record")</f>
        <v>Catalog Record</v>
      </c>
      <c r="AT186" s="6" t="str">
        <f>HYPERLINK("http://www.worldcat.org/oclc/13820772","WorldCat Record")</f>
        <v>WorldCat Record</v>
      </c>
    </row>
    <row r="187" spans="1:46" ht="30" customHeight="1" x14ac:dyDescent="0.25">
      <c r="A187" s="8" t="s">
        <v>58</v>
      </c>
      <c r="B187" s="2" t="s">
        <v>1543</v>
      </c>
      <c r="C187" s="2" t="s">
        <v>1544</v>
      </c>
      <c r="D187" s="2" t="s">
        <v>1545</v>
      </c>
      <c r="F187" s="3" t="s">
        <v>58</v>
      </c>
      <c r="G187" s="3" t="s">
        <v>59</v>
      </c>
      <c r="H187" s="3" t="s">
        <v>58</v>
      </c>
      <c r="I187" s="3" t="s">
        <v>58</v>
      </c>
      <c r="J187" s="3" t="s">
        <v>60</v>
      </c>
      <c r="L187" s="2" t="s">
        <v>1546</v>
      </c>
      <c r="M187" s="3" t="s">
        <v>721</v>
      </c>
      <c r="N187" s="2" t="s">
        <v>1547</v>
      </c>
      <c r="O187" s="3" t="s">
        <v>64</v>
      </c>
      <c r="P187" s="3" t="s">
        <v>1548</v>
      </c>
      <c r="R187" s="3" t="s">
        <v>912</v>
      </c>
      <c r="S187" s="4">
        <v>2</v>
      </c>
      <c r="T187" s="4">
        <v>2</v>
      </c>
      <c r="U187" s="5" t="s">
        <v>1549</v>
      </c>
      <c r="V187" s="5" t="s">
        <v>1549</v>
      </c>
      <c r="W187" s="5" t="s">
        <v>1550</v>
      </c>
      <c r="X187" s="5" t="s">
        <v>1550</v>
      </c>
      <c r="Y187" s="4">
        <v>12</v>
      </c>
      <c r="Z187" s="4">
        <v>10</v>
      </c>
      <c r="AA187" s="4">
        <v>13</v>
      </c>
      <c r="AB187" s="4">
        <v>1</v>
      </c>
      <c r="AC187" s="4">
        <v>1</v>
      </c>
      <c r="AD187" s="4">
        <v>0</v>
      </c>
      <c r="AE187" s="4">
        <v>0</v>
      </c>
      <c r="AF187" s="4">
        <v>0</v>
      </c>
      <c r="AG187" s="4">
        <v>0</v>
      </c>
      <c r="AH187" s="4">
        <v>0</v>
      </c>
      <c r="AI187" s="4">
        <v>0</v>
      </c>
      <c r="AJ187" s="4">
        <v>0</v>
      </c>
      <c r="AK187" s="4">
        <v>0</v>
      </c>
      <c r="AL187" s="4">
        <v>0</v>
      </c>
      <c r="AM187" s="4">
        <v>0</v>
      </c>
      <c r="AN187" s="4">
        <v>0</v>
      </c>
      <c r="AO187" s="4">
        <v>0</v>
      </c>
      <c r="AP187" s="3" t="s">
        <v>58</v>
      </c>
      <c r="AQ187" s="3" t="s">
        <v>58</v>
      </c>
      <c r="AS187" s="6" t="str">
        <f>HYPERLINK("https://creighton-primo.hosted.exlibrisgroup.com/primo-explore/search?tab=default_tab&amp;search_scope=EVERYTHING&amp;vid=01CRU&amp;lang=en_US&amp;offset=0&amp;query=any,contains,991001455769702656","Catalog Record")</f>
        <v>Catalog Record</v>
      </c>
      <c r="AT187" s="6" t="str">
        <f>HYPERLINK("http://www.worldcat.org/oclc/33885814","WorldCat Record")</f>
        <v>WorldCat Record</v>
      </c>
    </row>
    <row r="188" spans="1:46" ht="30" customHeight="1" x14ac:dyDescent="0.25">
      <c r="A188" s="8" t="s">
        <v>58</v>
      </c>
      <c r="B188" s="2" t="s">
        <v>1551</v>
      </c>
      <c r="C188" s="2" t="s">
        <v>1552</v>
      </c>
      <c r="D188" s="2" t="s">
        <v>1553</v>
      </c>
      <c r="F188" s="3" t="s">
        <v>58</v>
      </c>
      <c r="G188" s="3" t="s">
        <v>59</v>
      </c>
      <c r="H188" s="3" t="s">
        <v>58</v>
      </c>
      <c r="I188" s="3" t="s">
        <v>58</v>
      </c>
      <c r="J188" s="3" t="s">
        <v>60</v>
      </c>
      <c r="K188" s="2" t="s">
        <v>1554</v>
      </c>
      <c r="L188" s="2" t="s">
        <v>1555</v>
      </c>
      <c r="M188" s="3" t="s">
        <v>881</v>
      </c>
      <c r="N188" s="2" t="s">
        <v>1556</v>
      </c>
      <c r="O188" s="3" t="s">
        <v>64</v>
      </c>
      <c r="P188" s="3" t="s">
        <v>133</v>
      </c>
      <c r="R188" s="3" t="s">
        <v>912</v>
      </c>
      <c r="S188" s="4">
        <v>3</v>
      </c>
      <c r="T188" s="4">
        <v>3</v>
      </c>
      <c r="U188" s="5" t="s">
        <v>1312</v>
      </c>
      <c r="V188" s="5" t="s">
        <v>1312</v>
      </c>
      <c r="W188" s="5" t="s">
        <v>1557</v>
      </c>
      <c r="X188" s="5" t="s">
        <v>1557</v>
      </c>
      <c r="Y188" s="4">
        <v>84</v>
      </c>
      <c r="Z188" s="4">
        <v>63</v>
      </c>
      <c r="AA188" s="4">
        <v>176</v>
      </c>
      <c r="AB188" s="4">
        <v>1</v>
      </c>
      <c r="AC188" s="4">
        <v>1</v>
      </c>
      <c r="AD188" s="4">
        <v>2</v>
      </c>
      <c r="AE188" s="4">
        <v>4</v>
      </c>
      <c r="AF188" s="4">
        <v>1</v>
      </c>
      <c r="AG188" s="4">
        <v>2</v>
      </c>
      <c r="AH188" s="4">
        <v>0</v>
      </c>
      <c r="AI188" s="4">
        <v>0</v>
      </c>
      <c r="AJ188" s="4">
        <v>1</v>
      </c>
      <c r="AK188" s="4">
        <v>2</v>
      </c>
      <c r="AL188" s="4">
        <v>0</v>
      </c>
      <c r="AM188" s="4">
        <v>0</v>
      </c>
      <c r="AN188" s="4">
        <v>0</v>
      </c>
      <c r="AO188" s="4">
        <v>0</v>
      </c>
      <c r="AP188" s="3" t="s">
        <v>58</v>
      </c>
      <c r="AQ188" s="3" t="s">
        <v>58</v>
      </c>
      <c r="AS188" s="6" t="str">
        <f>HYPERLINK("https://creighton-primo.hosted.exlibrisgroup.com/primo-explore/search?tab=default_tab&amp;search_scope=EVERYTHING&amp;vid=01CRU&amp;lang=en_US&amp;offset=0&amp;query=any,contains,991001552019702656","Catalog Record")</f>
        <v>Catalog Record</v>
      </c>
      <c r="AT188" s="6" t="str">
        <f>HYPERLINK("http://www.worldcat.org/oclc/18949060","WorldCat Record")</f>
        <v>WorldCat Record</v>
      </c>
    </row>
    <row r="189" spans="1:46" ht="30" customHeight="1" x14ac:dyDescent="0.25">
      <c r="A189" s="8" t="s">
        <v>58</v>
      </c>
      <c r="B189" s="2" t="s">
        <v>1558</v>
      </c>
      <c r="C189" s="2" t="s">
        <v>1559</v>
      </c>
      <c r="D189" s="2" t="s">
        <v>1560</v>
      </c>
      <c r="F189" s="3" t="s">
        <v>58</v>
      </c>
      <c r="G189" s="3" t="s">
        <v>59</v>
      </c>
      <c r="H189" s="3" t="s">
        <v>58</v>
      </c>
      <c r="I189" s="3" t="s">
        <v>58</v>
      </c>
      <c r="J189" s="3" t="s">
        <v>60</v>
      </c>
      <c r="K189" s="2" t="s">
        <v>1454</v>
      </c>
      <c r="L189" s="2" t="s">
        <v>1561</v>
      </c>
      <c r="M189" s="3" t="s">
        <v>1180</v>
      </c>
      <c r="N189" s="2" t="s">
        <v>1562</v>
      </c>
      <c r="O189" s="3" t="s">
        <v>64</v>
      </c>
      <c r="P189" s="3" t="s">
        <v>84</v>
      </c>
      <c r="Q189" s="2" t="s">
        <v>1456</v>
      </c>
      <c r="R189" s="3" t="s">
        <v>912</v>
      </c>
      <c r="S189" s="4">
        <v>33</v>
      </c>
      <c r="T189" s="4">
        <v>33</v>
      </c>
      <c r="U189" s="5" t="s">
        <v>1563</v>
      </c>
      <c r="V189" s="5" t="s">
        <v>1563</v>
      </c>
      <c r="W189" s="5" t="s">
        <v>1340</v>
      </c>
      <c r="X189" s="5" t="s">
        <v>1340</v>
      </c>
      <c r="Y189" s="4">
        <v>143</v>
      </c>
      <c r="Z189" s="4">
        <v>82</v>
      </c>
      <c r="AA189" s="4">
        <v>82</v>
      </c>
      <c r="AB189" s="4">
        <v>1</v>
      </c>
      <c r="AC189" s="4">
        <v>1</v>
      </c>
      <c r="AD189" s="4">
        <v>1</v>
      </c>
      <c r="AE189" s="4">
        <v>1</v>
      </c>
      <c r="AF189" s="4">
        <v>0</v>
      </c>
      <c r="AG189" s="4">
        <v>0</v>
      </c>
      <c r="AH189" s="4">
        <v>1</v>
      </c>
      <c r="AI189" s="4">
        <v>1</v>
      </c>
      <c r="AJ189" s="4">
        <v>1</v>
      </c>
      <c r="AK189" s="4">
        <v>1</v>
      </c>
      <c r="AL189" s="4">
        <v>0</v>
      </c>
      <c r="AM189" s="4">
        <v>0</v>
      </c>
      <c r="AN189" s="4">
        <v>0</v>
      </c>
      <c r="AO189" s="4">
        <v>0</v>
      </c>
      <c r="AP189" s="3" t="s">
        <v>58</v>
      </c>
      <c r="AQ189" s="3" t="s">
        <v>58</v>
      </c>
      <c r="AS189" s="6" t="str">
        <f>HYPERLINK("https://creighton-primo.hosted.exlibrisgroup.com/primo-explore/search?tab=default_tab&amp;search_scope=EVERYTHING&amp;vid=01CRU&amp;lang=en_US&amp;offset=0&amp;query=any,contains,991000757509702656","Catalog Record")</f>
        <v>Catalog Record</v>
      </c>
      <c r="AT189" s="6" t="str">
        <f>HYPERLINK("http://www.worldcat.org/oclc/5777393","WorldCat Record")</f>
        <v>WorldCat Record</v>
      </c>
    </row>
    <row r="190" spans="1:46" ht="30" customHeight="1" x14ac:dyDescent="0.25">
      <c r="A190" s="8" t="s">
        <v>58</v>
      </c>
      <c r="B190" s="2" t="s">
        <v>1564</v>
      </c>
      <c r="C190" s="2" t="s">
        <v>1565</v>
      </c>
      <c r="D190" s="2" t="s">
        <v>1566</v>
      </c>
      <c r="F190" s="3" t="s">
        <v>58</v>
      </c>
      <c r="G190" s="3" t="s">
        <v>59</v>
      </c>
      <c r="H190" s="3" t="s">
        <v>58</v>
      </c>
      <c r="I190" s="3" t="s">
        <v>103</v>
      </c>
      <c r="J190" s="3" t="s">
        <v>60</v>
      </c>
      <c r="K190" s="2" t="s">
        <v>1567</v>
      </c>
      <c r="L190" s="2" t="s">
        <v>1568</v>
      </c>
      <c r="M190" s="3" t="s">
        <v>330</v>
      </c>
      <c r="N190" s="2" t="s">
        <v>1038</v>
      </c>
      <c r="O190" s="3" t="s">
        <v>64</v>
      </c>
      <c r="P190" s="3" t="s">
        <v>911</v>
      </c>
      <c r="Q190" s="2" t="s">
        <v>1569</v>
      </c>
      <c r="R190" s="3" t="s">
        <v>912</v>
      </c>
      <c r="S190" s="4">
        <v>17</v>
      </c>
      <c r="T190" s="4">
        <v>17</v>
      </c>
      <c r="U190" s="5" t="s">
        <v>1570</v>
      </c>
      <c r="V190" s="5" t="s">
        <v>1570</v>
      </c>
      <c r="W190" s="5" t="s">
        <v>1340</v>
      </c>
      <c r="X190" s="5" t="s">
        <v>1340</v>
      </c>
      <c r="Y190" s="4">
        <v>72</v>
      </c>
      <c r="Z190" s="4">
        <v>59</v>
      </c>
      <c r="AA190" s="4">
        <v>156</v>
      </c>
      <c r="AB190" s="4">
        <v>1</v>
      </c>
      <c r="AC190" s="4">
        <v>2</v>
      </c>
      <c r="AD190" s="4">
        <v>1</v>
      </c>
      <c r="AE190" s="4">
        <v>5</v>
      </c>
      <c r="AF190" s="4">
        <v>1</v>
      </c>
      <c r="AG190" s="4">
        <v>2</v>
      </c>
      <c r="AH190" s="4">
        <v>0</v>
      </c>
      <c r="AI190" s="4">
        <v>1</v>
      </c>
      <c r="AJ190" s="4">
        <v>1</v>
      </c>
      <c r="AK190" s="4">
        <v>3</v>
      </c>
      <c r="AL190" s="4">
        <v>0</v>
      </c>
      <c r="AM190" s="4">
        <v>1</v>
      </c>
      <c r="AN190" s="4">
        <v>0</v>
      </c>
      <c r="AO190" s="4">
        <v>0</v>
      </c>
      <c r="AP190" s="3" t="s">
        <v>58</v>
      </c>
      <c r="AQ190" s="3" t="s">
        <v>58</v>
      </c>
      <c r="AS190" s="6" t="str">
        <f>HYPERLINK("https://creighton-primo.hosted.exlibrisgroup.com/primo-explore/search?tab=default_tab&amp;search_scope=EVERYTHING&amp;vid=01CRU&amp;lang=en_US&amp;offset=0&amp;query=any,contains,991000757569702656","Catalog Record")</f>
        <v>Catalog Record</v>
      </c>
      <c r="AT190" s="6" t="str">
        <f>HYPERLINK("http://www.worldcat.org/oclc/9620489","WorldCat Record")</f>
        <v>WorldCat Record</v>
      </c>
    </row>
    <row r="191" spans="1:46" ht="30" customHeight="1" x14ac:dyDescent="0.25">
      <c r="A191" s="8" t="s">
        <v>58</v>
      </c>
      <c r="B191" s="2" t="s">
        <v>1571</v>
      </c>
      <c r="C191" s="2" t="s">
        <v>1572</v>
      </c>
      <c r="D191" s="2" t="s">
        <v>1573</v>
      </c>
      <c r="F191" s="3" t="s">
        <v>58</v>
      </c>
      <c r="G191" s="3" t="s">
        <v>59</v>
      </c>
      <c r="H191" s="3" t="s">
        <v>58</v>
      </c>
      <c r="I191" s="3" t="s">
        <v>58</v>
      </c>
      <c r="J191" s="3" t="s">
        <v>60</v>
      </c>
      <c r="K191" s="2" t="s">
        <v>1574</v>
      </c>
      <c r="L191" s="2" t="s">
        <v>1575</v>
      </c>
      <c r="M191" s="3" t="s">
        <v>330</v>
      </c>
      <c r="N191" s="2" t="s">
        <v>1038</v>
      </c>
      <c r="O191" s="3" t="s">
        <v>64</v>
      </c>
      <c r="P191" s="3" t="s">
        <v>84</v>
      </c>
      <c r="R191" s="3" t="s">
        <v>912</v>
      </c>
      <c r="S191" s="4">
        <v>28</v>
      </c>
      <c r="T191" s="4">
        <v>28</v>
      </c>
      <c r="U191" s="5" t="s">
        <v>1576</v>
      </c>
      <c r="V191" s="5" t="s">
        <v>1576</v>
      </c>
      <c r="W191" s="5" t="s">
        <v>1340</v>
      </c>
      <c r="X191" s="5" t="s">
        <v>1340</v>
      </c>
      <c r="Y191" s="4">
        <v>81</v>
      </c>
      <c r="Z191" s="4">
        <v>32</v>
      </c>
      <c r="AA191" s="4">
        <v>122</v>
      </c>
      <c r="AB191" s="4">
        <v>1</v>
      </c>
      <c r="AC191" s="4">
        <v>3</v>
      </c>
      <c r="AD191" s="4">
        <v>1</v>
      </c>
      <c r="AE191" s="4">
        <v>4</v>
      </c>
      <c r="AF191" s="4">
        <v>0</v>
      </c>
      <c r="AG191" s="4">
        <v>1</v>
      </c>
      <c r="AH191" s="4">
        <v>0</v>
      </c>
      <c r="AI191" s="4">
        <v>0</v>
      </c>
      <c r="AJ191" s="4">
        <v>1</v>
      </c>
      <c r="AK191" s="4">
        <v>1</v>
      </c>
      <c r="AL191" s="4">
        <v>0</v>
      </c>
      <c r="AM191" s="4">
        <v>2</v>
      </c>
      <c r="AN191" s="4">
        <v>0</v>
      </c>
      <c r="AO191" s="4">
        <v>0</v>
      </c>
      <c r="AP191" s="3" t="s">
        <v>58</v>
      </c>
      <c r="AQ191" s="3" t="s">
        <v>58</v>
      </c>
      <c r="AS191" s="6" t="str">
        <f>HYPERLINK("https://creighton-primo.hosted.exlibrisgroup.com/primo-explore/search?tab=default_tab&amp;search_scope=EVERYTHING&amp;vid=01CRU&amp;lang=en_US&amp;offset=0&amp;query=any,contains,991000757629702656","Catalog Record")</f>
        <v>Catalog Record</v>
      </c>
      <c r="AT191" s="6" t="str">
        <f>HYPERLINK("http://www.worldcat.org/oclc/10628642","WorldCat Record")</f>
        <v>WorldCat Record</v>
      </c>
    </row>
    <row r="192" spans="1:46" ht="30" customHeight="1" x14ac:dyDescent="0.25">
      <c r="A192" s="8" t="s">
        <v>58</v>
      </c>
      <c r="B192" s="2" t="s">
        <v>1577</v>
      </c>
      <c r="C192" s="2" t="s">
        <v>1578</v>
      </c>
      <c r="D192" s="2" t="s">
        <v>1579</v>
      </c>
      <c r="F192" s="3" t="s">
        <v>58</v>
      </c>
      <c r="G192" s="3" t="s">
        <v>59</v>
      </c>
      <c r="H192" s="3" t="s">
        <v>58</v>
      </c>
      <c r="I192" s="3" t="s">
        <v>103</v>
      </c>
      <c r="J192" s="3" t="s">
        <v>60</v>
      </c>
      <c r="K192" s="2" t="s">
        <v>544</v>
      </c>
      <c r="L192" s="2" t="s">
        <v>1010</v>
      </c>
      <c r="M192" s="3" t="s">
        <v>313</v>
      </c>
      <c r="N192" s="2" t="s">
        <v>1580</v>
      </c>
      <c r="O192" s="3" t="s">
        <v>64</v>
      </c>
      <c r="P192" s="3" t="s">
        <v>911</v>
      </c>
      <c r="R192" s="3" t="s">
        <v>912</v>
      </c>
      <c r="S192" s="4">
        <v>25</v>
      </c>
      <c r="T192" s="4">
        <v>25</v>
      </c>
      <c r="U192" s="5" t="s">
        <v>1581</v>
      </c>
      <c r="V192" s="5" t="s">
        <v>1581</v>
      </c>
      <c r="W192" s="5" t="s">
        <v>1340</v>
      </c>
      <c r="X192" s="5" t="s">
        <v>1340</v>
      </c>
      <c r="Y192" s="4">
        <v>366</v>
      </c>
      <c r="Z192" s="4">
        <v>257</v>
      </c>
      <c r="AA192" s="4">
        <v>1161</v>
      </c>
      <c r="AB192" s="4">
        <v>1</v>
      </c>
      <c r="AC192" s="4">
        <v>11</v>
      </c>
      <c r="AD192" s="4">
        <v>6</v>
      </c>
      <c r="AE192" s="4">
        <v>38</v>
      </c>
      <c r="AF192" s="4">
        <v>2</v>
      </c>
      <c r="AG192" s="4">
        <v>13</v>
      </c>
      <c r="AH192" s="4">
        <v>1</v>
      </c>
      <c r="AI192" s="4">
        <v>7</v>
      </c>
      <c r="AJ192" s="4">
        <v>5</v>
      </c>
      <c r="AK192" s="4">
        <v>18</v>
      </c>
      <c r="AL192" s="4">
        <v>0</v>
      </c>
      <c r="AM192" s="4">
        <v>7</v>
      </c>
      <c r="AN192" s="4">
        <v>0</v>
      </c>
      <c r="AO192" s="4">
        <v>0</v>
      </c>
      <c r="AP192" s="3" t="s">
        <v>58</v>
      </c>
      <c r="AQ192" s="3" t="s">
        <v>103</v>
      </c>
      <c r="AR192" s="6" t="str">
        <f>HYPERLINK("http://catalog.hathitrust.org/Record/005135589","HathiTrust Record")</f>
        <v>HathiTrust Record</v>
      </c>
      <c r="AS192" s="6" t="str">
        <f>HYPERLINK("https://creighton-primo.hosted.exlibrisgroup.com/primo-explore/search?tab=default_tab&amp;search_scope=EVERYTHING&amp;vid=01CRU&amp;lang=en_US&amp;offset=0&amp;query=any,contains,991000757699702656","Catalog Record")</f>
        <v>Catalog Record</v>
      </c>
      <c r="AT192" s="6" t="str">
        <f>HYPERLINK("http://www.worldcat.org/oclc/11971037","WorldCat Record")</f>
        <v>WorldCat Record</v>
      </c>
    </row>
    <row r="193" spans="1:46" ht="30" customHeight="1" x14ac:dyDescent="0.25">
      <c r="A193" s="8" t="s">
        <v>58</v>
      </c>
      <c r="B193" s="2" t="s">
        <v>1582</v>
      </c>
      <c r="C193" s="2" t="s">
        <v>1583</v>
      </c>
      <c r="D193" s="2" t="s">
        <v>1584</v>
      </c>
      <c r="F193" s="3" t="s">
        <v>58</v>
      </c>
      <c r="G193" s="3" t="s">
        <v>59</v>
      </c>
      <c r="H193" s="3" t="s">
        <v>58</v>
      </c>
      <c r="I193" s="3" t="s">
        <v>58</v>
      </c>
      <c r="J193" s="3" t="s">
        <v>60</v>
      </c>
      <c r="K193" s="2" t="s">
        <v>1585</v>
      </c>
      <c r="L193" s="2" t="s">
        <v>1586</v>
      </c>
      <c r="M193" s="3" t="s">
        <v>1187</v>
      </c>
      <c r="N193" s="2" t="s">
        <v>1208</v>
      </c>
      <c r="O193" s="3" t="s">
        <v>64</v>
      </c>
      <c r="P193" s="3" t="s">
        <v>911</v>
      </c>
      <c r="R193" s="3" t="s">
        <v>912</v>
      </c>
      <c r="S193" s="4">
        <v>32</v>
      </c>
      <c r="T193" s="4">
        <v>32</v>
      </c>
      <c r="U193" s="5" t="s">
        <v>1587</v>
      </c>
      <c r="V193" s="5" t="s">
        <v>1587</v>
      </c>
      <c r="W193" s="5" t="s">
        <v>1588</v>
      </c>
      <c r="X193" s="5" t="s">
        <v>1588</v>
      </c>
      <c r="Y193" s="4">
        <v>334</v>
      </c>
      <c r="Z193" s="4">
        <v>236</v>
      </c>
      <c r="AA193" s="4">
        <v>243</v>
      </c>
      <c r="AB193" s="4">
        <v>2</v>
      </c>
      <c r="AC193" s="4">
        <v>2</v>
      </c>
      <c r="AD193" s="4">
        <v>6</v>
      </c>
      <c r="AE193" s="4">
        <v>6</v>
      </c>
      <c r="AF193" s="4">
        <v>1</v>
      </c>
      <c r="AG193" s="4">
        <v>1</v>
      </c>
      <c r="AH193" s="4">
        <v>3</v>
      </c>
      <c r="AI193" s="4">
        <v>3</v>
      </c>
      <c r="AJ193" s="4">
        <v>3</v>
      </c>
      <c r="AK193" s="4">
        <v>3</v>
      </c>
      <c r="AL193" s="4">
        <v>1</v>
      </c>
      <c r="AM193" s="4">
        <v>1</v>
      </c>
      <c r="AN193" s="4">
        <v>0</v>
      </c>
      <c r="AO193" s="4">
        <v>0</v>
      </c>
      <c r="AP193" s="3" t="s">
        <v>58</v>
      </c>
      <c r="AQ193" s="3" t="s">
        <v>103</v>
      </c>
      <c r="AR193" s="6" t="str">
        <f>HYPERLINK("http://catalog.hathitrust.org/Record/000848312","HathiTrust Record")</f>
        <v>HathiTrust Record</v>
      </c>
      <c r="AS193" s="6" t="str">
        <f>HYPERLINK("https://creighton-primo.hosted.exlibrisgroup.com/primo-explore/search?tab=default_tab&amp;search_scope=EVERYTHING&amp;vid=01CRU&amp;lang=en_US&amp;offset=0&amp;query=any,contains,991001173459702656","Catalog Record")</f>
        <v>Catalog Record</v>
      </c>
      <c r="AT193" s="6" t="str">
        <f>HYPERLINK("http://www.worldcat.org/oclc/15017289","WorldCat Record")</f>
        <v>WorldCat Record</v>
      </c>
    </row>
    <row r="194" spans="1:46" ht="30" customHeight="1" x14ac:dyDescent="0.25">
      <c r="A194" s="8" t="s">
        <v>58</v>
      </c>
      <c r="B194" s="2" t="s">
        <v>1589</v>
      </c>
      <c r="C194" s="2" t="s">
        <v>1590</v>
      </c>
      <c r="D194" s="2" t="s">
        <v>1591</v>
      </c>
      <c r="F194" s="3" t="s">
        <v>58</v>
      </c>
      <c r="G194" s="3" t="s">
        <v>59</v>
      </c>
      <c r="H194" s="3" t="s">
        <v>58</v>
      </c>
      <c r="I194" s="3" t="s">
        <v>103</v>
      </c>
      <c r="J194" s="3" t="s">
        <v>60</v>
      </c>
      <c r="K194" s="2" t="s">
        <v>1592</v>
      </c>
      <c r="L194" s="2" t="s">
        <v>1593</v>
      </c>
      <c r="M194" s="3" t="s">
        <v>766</v>
      </c>
      <c r="N194" s="2" t="s">
        <v>950</v>
      </c>
      <c r="O194" s="3" t="s">
        <v>64</v>
      </c>
      <c r="P194" s="3" t="s">
        <v>1346</v>
      </c>
      <c r="R194" s="3" t="s">
        <v>912</v>
      </c>
      <c r="S194" s="4">
        <v>49</v>
      </c>
      <c r="T194" s="4">
        <v>49</v>
      </c>
      <c r="U194" s="5" t="s">
        <v>1594</v>
      </c>
      <c r="V194" s="5" t="s">
        <v>1594</v>
      </c>
      <c r="W194" s="5" t="s">
        <v>1595</v>
      </c>
      <c r="X194" s="5" t="s">
        <v>1595</v>
      </c>
      <c r="Y194" s="4">
        <v>244</v>
      </c>
      <c r="Z194" s="4">
        <v>173</v>
      </c>
      <c r="AA194" s="4">
        <v>459</v>
      </c>
      <c r="AB194" s="4">
        <v>2</v>
      </c>
      <c r="AC194" s="4">
        <v>2</v>
      </c>
      <c r="AD194" s="4">
        <v>3</v>
      </c>
      <c r="AE194" s="4">
        <v>9</v>
      </c>
      <c r="AF194" s="4">
        <v>1</v>
      </c>
      <c r="AG194" s="4">
        <v>5</v>
      </c>
      <c r="AH194" s="4">
        <v>0</v>
      </c>
      <c r="AI194" s="4">
        <v>1</v>
      </c>
      <c r="AJ194" s="4">
        <v>2</v>
      </c>
      <c r="AK194" s="4">
        <v>4</v>
      </c>
      <c r="AL194" s="4">
        <v>1</v>
      </c>
      <c r="AM194" s="4">
        <v>1</v>
      </c>
      <c r="AN194" s="4">
        <v>0</v>
      </c>
      <c r="AO194" s="4">
        <v>0</v>
      </c>
      <c r="AP194" s="3" t="s">
        <v>58</v>
      </c>
      <c r="AQ194" s="3" t="s">
        <v>103</v>
      </c>
      <c r="AR194" s="6" t="str">
        <f>HYPERLINK("http://catalog.hathitrust.org/Record/002545565","HathiTrust Record")</f>
        <v>HathiTrust Record</v>
      </c>
      <c r="AS194" s="6" t="str">
        <f>HYPERLINK("https://creighton-primo.hosted.exlibrisgroup.com/primo-explore/search?tab=default_tab&amp;search_scope=EVERYTHING&amp;vid=01CRU&amp;lang=en_US&amp;offset=0&amp;query=any,contains,991001305939702656","Catalog Record")</f>
        <v>Catalog Record</v>
      </c>
      <c r="AT194" s="6" t="str">
        <f>HYPERLINK("http://www.worldcat.org/oclc/27227952","WorldCat Record")</f>
        <v>WorldCat Record</v>
      </c>
    </row>
    <row r="195" spans="1:46" ht="30" customHeight="1" x14ac:dyDescent="0.25">
      <c r="A195" s="8" t="s">
        <v>58</v>
      </c>
      <c r="B195" s="2" t="s">
        <v>1596</v>
      </c>
      <c r="C195" s="2" t="s">
        <v>1597</v>
      </c>
      <c r="D195" s="2" t="s">
        <v>1598</v>
      </c>
      <c r="F195" s="3" t="s">
        <v>58</v>
      </c>
      <c r="G195" s="3" t="s">
        <v>59</v>
      </c>
      <c r="H195" s="3" t="s">
        <v>58</v>
      </c>
      <c r="I195" s="3" t="s">
        <v>103</v>
      </c>
      <c r="J195" s="3" t="s">
        <v>60</v>
      </c>
      <c r="K195" s="2" t="s">
        <v>1592</v>
      </c>
      <c r="L195" s="2" t="s">
        <v>1599</v>
      </c>
      <c r="M195" s="3" t="s">
        <v>721</v>
      </c>
      <c r="N195" s="2" t="s">
        <v>1600</v>
      </c>
      <c r="O195" s="3" t="s">
        <v>64</v>
      </c>
      <c r="P195" s="3" t="s">
        <v>911</v>
      </c>
      <c r="R195" s="3" t="s">
        <v>912</v>
      </c>
      <c r="S195" s="4">
        <v>146</v>
      </c>
      <c r="T195" s="4">
        <v>146</v>
      </c>
      <c r="U195" s="5" t="s">
        <v>1601</v>
      </c>
      <c r="V195" s="5" t="s">
        <v>1601</v>
      </c>
      <c r="W195" s="5" t="s">
        <v>1602</v>
      </c>
      <c r="X195" s="5" t="s">
        <v>1602</v>
      </c>
      <c r="Y195" s="4">
        <v>240</v>
      </c>
      <c r="Z195" s="4">
        <v>191</v>
      </c>
      <c r="AA195" s="4">
        <v>459</v>
      </c>
      <c r="AB195" s="4">
        <v>1</v>
      </c>
      <c r="AC195" s="4">
        <v>2</v>
      </c>
      <c r="AD195" s="4">
        <v>2</v>
      </c>
      <c r="AE195" s="4">
        <v>9</v>
      </c>
      <c r="AF195" s="4">
        <v>1</v>
      </c>
      <c r="AG195" s="4">
        <v>5</v>
      </c>
      <c r="AH195" s="4">
        <v>0</v>
      </c>
      <c r="AI195" s="4">
        <v>1</v>
      </c>
      <c r="AJ195" s="4">
        <v>1</v>
      </c>
      <c r="AK195" s="4">
        <v>4</v>
      </c>
      <c r="AL195" s="4">
        <v>0</v>
      </c>
      <c r="AM195" s="4">
        <v>1</v>
      </c>
      <c r="AN195" s="4">
        <v>0</v>
      </c>
      <c r="AO195" s="4">
        <v>0</v>
      </c>
      <c r="AP195" s="3" t="s">
        <v>58</v>
      </c>
      <c r="AQ195" s="3" t="s">
        <v>103</v>
      </c>
      <c r="AR195" s="6" t="str">
        <f>HYPERLINK("http://catalog.hathitrust.org/Record/002966865","HathiTrust Record")</f>
        <v>HathiTrust Record</v>
      </c>
      <c r="AS195" s="6" t="str">
        <f>HYPERLINK("https://creighton-primo.hosted.exlibrisgroup.com/primo-explore/search?tab=default_tab&amp;search_scope=EVERYTHING&amp;vid=01CRU&amp;lang=en_US&amp;offset=0&amp;query=any,contains,991000832909702656","Catalog Record")</f>
        <v>Catalog Record</v>
      </c>
      <c r="AT195" s="6" t="str">
        <f>HYPERLINK("http://www.worldcat.org/oclc/32209125","WorldCat Record")</f>
        <v>WorldCat Record</v>
      </c>
    </row>
    <row r="196" spans="1:46" ht="30" customHeight="1" x14ac:dyDescent="0.25">
      <c r="A196" s="8" t="s">
        <v>58</v>
      </c>
      <c r="B196" s="2" t="s">
        <v>1603</v>
      </c>
      <c r="C196" s="2" t="s">
        <v>1604</v>
      </c>
      <c r="D196" s="2" t="s">
        <v>1605</v>
      </c>
      <c r="F196" s="3" t="s">
        <v>58</v>
      </c>
      <c r="G196" s="3" t="s">
        <v>59</v>
      </c>
      <c r="H196" s="3" t="s">
        <v>58</v>
      </c>
      <c r="I196" s="3" t="s">
        <v>103</v>
      </c>
      <c r="J196" s="3" t="s">
        <v>60</v>
      </c>
      <c r="K196" s="2" t="s">
        <v>1592</v>
      </c>
      <c r="L196" s="2" t="s">
        <v>1606</v>
      </c>
      <c r="M196" s="3" t="s">
        <v>146</v>
      </c>
      <c r="N196" s="2" t="s">
        <v>1208</v>
      </c>
      <c r="O196" s="3" t="s">
        <v>64</v>
      </c>
      <c r="P196" s="3" t="s">
        <v>1346</v>
      </c>
      <c r="Q196" s="2" t="s">
        <v>1607</v>
      </c>
      <c r="R196" s="3" t="s">
        <v>912</v>
      </c>
      <c r="S196" s="4">
        <v>121</v>
      </c>
      <c r="T196" s="4">
        <v>121</v>
      </c>
      <c r="U196" s="5" t="s">
        <v>1601</v>
      </c>
      <c r="V196" s="5" t="s">
        <v>1601</v>
      </c>
      <c r="W196" s="5" t="s">
        <v>1608</v>
      </c>
      <c r="X196" s="5" t="s">
        <v>1608</v>
      </c>
      <c r="Y196" s="4">
        <v>271</v>
      </c>
      <c r="Z196" s="4">
        <v>193</v>
      </c>
      <c r="AA196" s="4">
        <v>459</v>
      </c>
      <c r="AB196" s="4">
        <v>1</v>
      </c>
      <c r="AC196" s="4">
        <v>2</v>
      </c>
      <c r="AD196" s="4">
        <v>2</v>
      </c>
      <c r="AE196" s="4">
        <v>9</v>
      </c>
      <c r="AF196" s="4">
        <v>2</v>
      </c>
      <c r="AG196" s="4">
        <v>5</v>
      </c>
      <c r="AH196" s="4">
        <v>0</v>
      </c>
      <c r="AI196" s="4">
        <v>1</v>
      </c>
      <c r="AJ196" s="4">
        <v>1</v>
      </c>
      <c r="AK196" s="4">
        <v>4</v>
      </c>
      <c r="AL196" s="4">
        <v>0</v>
      </c>
      <c r="AM196" s="4">
        <v>1</v>
      </c>
      <c r="AN196" s="4">
        <v>0</v>
      </c>
      <c r="AO196" s="4">
        <v>0</v>
      </c>
      <c r="AP196" s="3" t="s">
        <v>58</v>
      </c>
      <c r="AQ196" s="3" t="s">
        <v>103</v>
      </c>
      <c r="AR196" s="6" t="str">
        <f>HYPERLINK("http://catalog.hathitrust.org/Record/003290543","HathiTrust Record")</f>
        <v>HathiTrust Record</v>
      </c>
      <c r="AS196" s="6" t="str">
        <f>HYPERLINK("https://creighton-primo.hosted.exlibrisgroup.com/primo-explore/search?tab=default_tab&amp;search_scope=EVERYTHING&amp;vid=01CRU&amp;lang=en_US&amp;offset=0&amp;query=any,contains,991000825399702656","Catalog Record")</f>
        <v>Catalog Record</v>
      </c>
      <c r="AT196" s="6" t="str">
        <f>HYPERLINK("http://www.worldcat.org/oclc/39396367","WorldCat Record")</f>
        <v>WorldCat Record</v>
      </c>
    </row>
    <row r="197" spans="1:46" ht="30" customHeight="1" x14ac:dyDescent="0.25">
      <c r="A197" s="8" t="s">
        <v>58</v>
      </c>
      <c r="B197" s="2" t="s">
        <v>1609</v>
      </c>
      <c r="C197" s="2" t="s">
        <v>1610</v>
      </c>
      <c r="D197" s="2" t="s">
        <v>1611</v>
      </c>
      <c r="F197" s="3" t="s">
        <v>58</v>
      </c>
      <c r="G197" s="3" t="s">
        <v>59</v>
      </c>
      <c r="H197" s="3" t="s">
        <v>58</v>
      </c>
      <c r="I197" s="3" t="s">
        <v>103</v>
      </c>
      <c r="J197" s="3" t="s">
        <v>60</v>
      </c>
      <c r="K197" s="2" t="s">
        <v>1592</v>
      </c>
      <c r="L197" s="2" t="s">
        <v>1612</v>
      </c>
      <c r="M197" s="3" t="s">
        <v>1114</v>
      </c>
      <c r="N197" s="2" t="s">
        <v>461</v>
      </c>
      <c r="O197" s="3" t="s">
        <v>64</v>
      </c>
      <c r="P197" s="3" t="s">
        <v>133</v>
      </c>
      <c r="R197" s="3" t="s">
        <v>912</v>
      </c>
      <c r="S197" s="4">
        <v>49</v>
      </c>
      <c r="T197" s="4">
        <v>49</v>
      </c>
      <c r="U197" s="5" t="s">
        <v>1613</v>
      </c>
      <c r="V197" s="5" t="s">
        <v>1613</v>
      </c>
      <c r="W197" s="5" t="s">
        <v>1614</v>
      </c>
      <c r="X197" s="5" t="s">
        <v>1614</v>
      </c>
      <c r="Y197" s="4">
        <v>210</v>
      </c>
      <c r="Z197" s="4">
        <v>147</v>
      </c>
      <c r="AA197" s="4">
        <v>313</v>
      </c>
      <c r="AB197" s="4">
        <v>2</v>
      </c>
      <c r="AC197" s="4">
        <v>5</v>
      </c>
      <c r="AD197" s="4">
        <v>3</v>
      </c>
      <c r="AE197" s="4">
        <v>9</v>
      </c>
      <c r="AF197" s="4">
        <v>0</v>
      </c>
      <c r="AG197" s="4">
        <v>3</v>
      </c>
      <c r="AH197" s="4">
        <v>1</v>
      </c>
      <c r="AI197" s="4">
        <v>1</v>
      </c>
      <c r="AJ197" s="4">
        <v>1</v>
      </c>
      <c r="AK197" s="4">
        <v>3</v>
      </c>
      <c r="AL197" s="4">
        <v>1</v>
      </c>
      <c r="AM197" s="4">
        <v>3</v>
      </c>
      <c r="AN197" s="4">
        <v>0</v>
      </c>
      <c r="AO197" s="4">
        <v>0</v>
      </c>
      <c r="AP197" s="3" t="s">
        <v>58</v>
      </c>
      <c r="AQ197" s="3" t="s">
        <v>103</v>
      </c>
      <c r="AR197" s="6" t="str">
        <f>HYPERLINK("http://catalog.hathitrust.org/Record/003818436","HathiTrust Record")</f>
        <v>HathiTrust Record</v>
      </c>
      <c r="AS197" s="6" t="str">
        <f>HYPERLINK("https://creighton-primo.hosted.exlibrisgroup.com/primo-explore/search?tab=default_tab&amp;search_scope=EVERYTHING&amp;vid=01CRU&amp;lang=en_US&amp;offset=0&amp;query=any,contains,991000354779702656","Catalog Record")</f>
        <v>Catalog Record</v>
      </c>
      <c r="AT197" s="6" t="str">
        <f>HYPERLINK("http://www.worldcat.org/oclc/51304387","WorldCat Record")</f>
        <v>WorldCat Record</v>
      </c>
    </row>
    <row r="198" spans="1:46" ht="30" customHeight="1" x14ac:dyDescent="0.25">
      <c r="A198" s="8" t="s">
        <v>58</v>
      </c>
      <c r="B198" s="2" t="s">
        <v>1615</v>
      </c>
      <c r="C198" s="2" t="s">
        <v>1616</v>
      </c>
      <c r="D198" s="2" t="s">
        <v>1617</v>
      </c>
      <c r="F198" s="3" t="s">
        <v>58</v>
      </c>
      <c r="G198" s="3" t="s">
        <v>59</v>
      </c>
      <c r="H198" s="3" t="s">
        <v>58</v>
      </c>
      <c r="I198" s="3" t="s">
        <v>58</v>
      </c>
      <c r="J198" s="3" t="s">
        <v>60</v>
      </c>
      <c r="K198" s="2" t="s">
        <v>1618</v>
      </c>
      <c r="L198" s="2" t="s">
        <v>1619</v>
      </c>
      <c r="M198" s="3" t="s">
        <v>1180</v>
      </c>
      <c r="O198" s="3" t="s">
        <v>64</v>
      </c>
      <c r="P198" s="3" t="s">
        <v>911</v>
      </c>
      <c r="R198" s="3" t="s">
        <v>912</v>
      </c>
      <c r="S198" s="4">
        <v>17</v>
      </c>
      <c r="T198" s="4">
        <v>17</v>
      </c>
      <c r="U198" s="5" t="s">
        <v>1620</v>
      </c>
      <c r="V198" s="5" t="s">
        <v>1620</v>
      </c>
      <c r="W198" s="5" t="s">
        <v>1340</v>
      </c>
      <c r="X198" s="5" t="s">
        <v>1340</v>
      </c>
      <c r="Y198" s="4">
        <v>153</v>
      </c>
      <c r="Z198" s="4">
        <v>105</v>
      </c>
      <c r="AA198" s="4">
        <v>188</v>
      </c>
      <c r="AB198" s="4">
        <v>2</v>
      </c>
      <c r="AC198" s="4">
        <v>4</v>
      </c>
      <c r="AD198" s="4">
        <v>3</v>
      </c>
      <c r="AE198" s="4">
        <v>8</v>
      </c>
      <c r="AF198" s="4">
        <v>2</v>
      </c>
      <c r="AG198" s="4">
        <v>4</v>
      </c>
      <c r="AH198" s="4">
        <v>0</v>
      </c>
      <c r="AI198" s="4">
        <v>0</v>
      </c>
      <c r="AJ198" s="4">
        <v>1</v>
      </c>
      <c r="AK198" s="4">
        <v>3</v>
      </c>
      <c r="AL198" s="4">
        <v>1</v>
      </c>
      <c r="AM198" s="4">
        <v>3</v>
      </c>
      <c r="AN198" s="4">
        <v>0</v>
      </c>
      <c r="AO198" s="4">
        <v>0</v>
      </c>
      <c r="AP198" s="3" t="s">
        <v>58</v>
      </c>
      <c r="AQ198" s="3" t="s">
        <v>103</v>
      </c>
      <c r="AR198" s="6" t="str">
        <f>HYPERLINK("http://catalog.hathitrust.org/Record/000146348","HathiTrust Record")</f>
        <v>HathiTrust Record</v>
      </c>
      <c r="AS198" s="6" t="str">
        <f>HYPERLINK("https://creighton-primo.hosted.exlibrisgroup.com/primo-explore/search?tab=default_tab&amp;search_scope=EVERYTHING&amp;vid=01CRU&amp;lang=en_US&amp;offset=0&amp;query=any,contains,991000757809702656","Catalog Record")</f>
        <v>Catalog Record</v>
      </c>
      <c r="AT198" s="6" t="str">
        <f>HYPERLINK("http://www.worldcat.org/oclc/6330954","WorldCat Record")</f>
        <v>WorldCat Record</v>
      </c>
    </row>
    <row r="199" spans="1:46" ht="30" customHeight="1" x14ac:dyDescent="0.25">
      <c r="A199" s="8" t="s">
        <v>58</v>
      </c>
      <c r="B199" s="2" t="s">
        <v>1621</v>
      </c>
      <c r="C199" s="2" t="s">
        <v>1622</v>
      </c>
      <c r="D199" s="2" t="s">
        <v>1623</v>
      </c>
      <c r="F199" s="3" t="s">
        <v>58</v>
      </c>
      <c r="G199" s="3" t="s">
        <v>59</v>
      </c>
      <c r="H199" s="3" t="s">
        <v>58</v>
      </c>
      <c r="I199" s="3" t="s">
        <v>58</v>
      </c>
      <c r="J199" s="3" t="s">
        <v>60</v>
      </c>
      <c r="K199" s="2" t="s">
        <v>618</v>
      </c>
      <c r="L199" s="2" t="s">
        <v>1624</v>
      </c>
      <c r="M199" s="3" t="s">
        <v>706</v>
      </c>
      <c r="O199" s="3" t="s">
        <v>64</v>
      </c>
      <c r="P199" s="3" t="s">
        <v>65</v>
      </c>
      <c r="R199" s="3" t="s">
        <v>912</v>
      </c>
      <c r="S199" s="4">
        <v>25</v>
      </c>
      <c r="T199" s="4">
        <v>25</v>
      </c>
      <c r="U199" s="5" t="s">
        <v>1625</v>
      </c>
      <c r="V199" s="5" t="s">
        <v>1625</v>
      </c>
      <c r="W199" s="5" t="s">
        <v>1626</v>
      </c>
      <c r="X199" s="5" t="s">
        <v>1626</v>
      </c>
      <c r="Y199" s="4">
        <v>320</v>
      </c>
      <c r="Z199" s="4">
        <v>209</v>
      </c>
      <c r="AA199" s="4">
        <v>211</v>
      </c>
      <c r="AB199" s="4">
        <v>2</v>
      </c>
      <c r="AC199" s="4">
        <v>2</v>
      </c>
      <c r="AD199" s="4">
        <v>8</v>
      </c>
      <c r="AE199" s="4">
        <v>8</v>
      </c>
      <c r="AF199" s="4">
        <v>1</v>
      </c>
      <c r="AG199" s="4">
        <v>1</v>
      </c>
      <c r="AH199" s="4">
        <v>3</v>
      </c>
      <c r="AI199" s="4">
        <v>3</v>
      </c>
      <c r="AJ199" s="4">
        <v>4</v>
      </c>
      <c r="AK199" s="4">
        <v>4</v>
      </c>
      <c r="AL199" s="4">
        <v>1</v>
      </c>
      <c r="AM199" s="4">
        <v>1</v>
      </c>
      <c r="AN199" s="4">
        <v>0</v>
      </c>
      <c r="AO199" s="4">
        <v>0</v>
      </c>
      <c r="AP199" s="3" t="s">
        <v>58</v>
      </c>
      <c r="AQ199" s="3" t="s">
        <v>103</v>
      </c>
      <c r="AR199" s="6" t="str">
        <f>HYPERLINK("http://catalog.hathitrust.org/Record/000845589","HathiTrust Record")</f>
        <v>HathiTrust Record</v>
      </c>
      <c r="AS199" s="6" t="str">
        <f>HYPERLINK("https://creighton-primo.hosted.exlibrisgroup.com/primo-explore/search?tab=default_tab&amp;search_scope=EVERYTHING&amp;vid=01CRU&amp;lang=en_US&amp;offset=0&amp;query=any,contains,991001339929702656","Catalog Record")</f>
        <v>Catalog Record</v>
      </c>
      <c r="AT199" s="6" t="str">
        <f>HYPERLINK("http://www.worldcat.org/oclc/16803043","WorldCat Record")</f>
        <v>WorldCat Record</v>
      </c>
    </row>
    <row r="200" spans="1:46" ht="30" customHeight="1" x14ac:dyDescent="0.25">
      <c r="A200" s="8" t="s">
        <v>58</v>
      </c>
      <c r="B200" s="2" t="s">
        <v>1627</v>
      </c>
      <c r="C200" s="2" t="s">
        <v>1628</v>
      </c>
      <c r="D200" s="2" t="s">
        <v>1629</v>
      </c>
      <c r="F200" s="3" t="s">
        <v>58</v>
      </c>
      <c r="G200" s="3" t="s">
        <v>59</v>
      </c>
      <c r="H200" s="3" t="s">
        <v>58</v>
      </c>
      <c r="I200" s="3" t="s">
        <v>58</v>
      </c>
      <c r="J200" s="3" t="s">
        <v>60</v>
      </c>
      <c r="K200" s="2" t="s">
        <v>1630</v>
      </c>
      <c r="L200" s="2" t="s">
        <v>1631</v>
      </c>
      <c r="M200" s="3" t="s">
        <v>1311</v>
      </c>
      <c r="O200" s="3" t="s">
        <v>64</v>
      </c>
      <c r="P200" s="3" t="s">
        <v>65</v>
      </c>
      <c r="R200" s="3" t="s">
        <v>912</v>
      </c>
      <c r="S200" s="4">
        <v>27</v>
      </c>
      <c r="T200" s="4">
        <v>27</v>
      </c>
      <c r="U200" s="5" t="s">
        <v>1632</v>
      </c>
      <c r="V200" s="5" t="s">
        <v>1632</v>
      </c>
      <c r="W200" s="5" t="s">
        <v>1633</v>
      </c>
      <c r="X200" s="5" t="s">
        <v>1633</v>
      </c>
      <c r="Y200" s="4">
        <v>109</v>
      </c>
      <c r="Z200" s="4">
        <v>80</v>
      </c>
      <c r="AA200" s="4">
        <v>85</v>
      </c>
      <c r="AB200" s="4">
        <v>2</v>
      </c>
      <c r="AC200" s="4">
        <v>2</v>
      </c>
      <c r="AD200" s="4">
        <v>3</v>
      </c>
      <c r="AE200" s="4">
        <v>3</v>
      </c>
      <c r="AF200" s="4">
        <v>1</v>
      </c>
      <c r="AG200" s="4">
        <v>1</v>
      </c>
      <c r="AH200" s="4">
        <v>0</v>
      </c>
      <c r="AI200" s="4">
        <v>0</v>
      </c>
      <c r="AJ200" s="4">
        <v>1</v>
      </c>
      <c r="AK200" s="4">
        <v>1</v>
      </c>
      <c r="AL200" s="4">
        <v>1</v>
      </c>
      <c r="AM200" s="4">
        <v>1</v>
      </c>
      <c r="AN200" s="4">
        <v>0</v>
      </c>
      <c r="AO200" s="4">
        <v>0</v>
      </c>
      <c r="AP200" s="3" t="s">
        <v>58</v>
      </c>
      <c r="AQ200" s="3" t="s">
        <v>58</v>
      </c>
      <c r="AS200" s="6" t="str">
        <f>HYPERLINK("https://creighton-primo.hosted.exlibrisgroup.com/primo-explore/search?tab=default_tab&amp;search_scope=EVERYTHING&amp;vid=01CRU&amp;lang=en_US&amp;offset=0&amp;query=any,contains,991000757759702656","Catalog Record")</f>
        <v>Catalog Record</v>
      </c>
      <c r="AT200" s="6" t="str">
        <f>HYPERLINK("http://www.worldcat.org/oclc/53286739","WorldCat Record")</f>
        <v>WorldCat Record</v>
      </c>
    </row>
    <row r="201" spans="1:46" ht="30" customHeight="1" x14ac:dyDescent="0.25">
      <c r="A201" s="8" t="s">
        <v>58</v>
      </c>
      <c r="B201" s="2" t="s">
        <v>1634</v>
      </c>
      <c r="C201" s="2" t="s">
        <v>1635</v>
      </c>
      <c r="D201" s="2" t="s">
        <v>1636</v>
      </c>
      <c r="F201" s="3" t="s">
        <v>58</v>
      </c>
      <c r="G201" s="3" t="s">
        <v>59</v>
      </c>
      <c r="H201" s="3" t="s">
        <v>58</v>
      </c>
      <c r="I201" s="3" t="s">
        <v>58</v>
      </c>
      <c r="J201" s="3" t="s">
        <v>60</v>
      </c>
      <c r="K201" s="2" t="s">
        <v>1178</v>
      </c>
      <c r="L201" s="2" t="s">
        <v>1637</v>
      </c>
      <c r="M201" s="3" t="s">
        <v>560</v>
      </c>
      <c r="N201" s="2" t="s">
        <v>162</v>
      </c>
      <c r="O201" s="3" t="s">
        <v>64</v>
      </c>
      <c r="P201" s="3" t="s">
        <v>117</v>
      </c>
      <c r="R201" s="3" t="s">
        <v>912</v>
      </c>
      <c r="S201" s="4">
        <v>4</v>
      </c>
      <c r="T201" s="4">
        <v>4</v>
      </c>
      <c r="U201" s="5" t="s">
        <v>1638</v>
      </c>
      <c r="V201" s="5" t="s">
        <v>1638</v>
      </c>
      <c r="W201" s="5" t="s">
        <v>1633</v>
      </c>
      <c r="X201" s="5" t="s">
        <v>1633</v>
      </c>
      <c r="Y201" s="4">
        <v>159</v>
      </c>
      <c r="Z201" s="4">
        <v>108</v>
      </c>
      <c r="AA201" s="4">
        <v>110</v>
      </c>
      <c r="AB201" s="4">
        <v>1</v>
      </c>
      <c r="AC201" s="4">
        <v>1</v>
      </c>
      <c r="AD201" s="4">
        <v>3</v>
      </c>
      <c r="AE201" s="4">
        <v>3</v>
      </c>
      <c r="AF201" s="4">
        <v>2</v>
      </c>
      <c r="AG201" s="4">
        <v>2</v>
      </c>
      <c r="AH201" s="4">
        <v>1</v>
      </c>
      <c r="AI201" s="4">
        <v>1</v>
      </c>
      <c r="AJ201" s="4">
        <v>1</v>
      </c>
      <c r="AK201" s="4">
        <v>1</v>
      </c>
      <c r="AL201" s="4">
        <v>0</v>
      </c>
      <c r="AM201" s="4">
        <v>0</v>
      </c>
      <c r="AN201" s="4">
        <v>0</v>
      </c>
      <c r="AO201" s="4">
        <v>0</v>
      </c>
      <c r="AP201" s="3" t="s">
        <v>58</v>
      </c>
      <c r="AQ201" s="3" t="s">
        <v>103</v>
      </c>
      <c r="AR201" s="6" t="str">
        <f>HYPERLINK("http://catalog.hathitrust.org/Record/000325798","HathiTrust Record")</f>
        <v>HathiTrust Record</v>
      </c>
      <c r="AS201" s="6" t="str">
        <f>HYPERLINK("https://creighton-primo.hosted.exlibrisgroup.com/primo-explore/search?tab=default_tab&amp;search_scope=EVERYTHING&amp;vid=01CRU&amp;lang=en_US&amp;offset=0&amp;query=any,contains,991000757859702656","Catalog Record")</f>
        <v>Catalog Record</v>
      </c>
      <c r="AT201" s="6" t="str">
        <f>HYPERLINK("http://www.worldcat.org/oclc/10411544","WorldCat Record")</f>
        <v>WorldCat Record</v>
      </c>
    </row>
    <row r="202" spans="1:46" ht="30" customHeight="1" x14ac:dyDescent="0.25">
      <c r="A202" s="8" t="s">
        <v>58</v>
      </c>
      <c r="B202" s="2" t="s">
        <v>1639</v>
      </c>
      <c r="C202" s="2" t="s">
        <v>1640</v>
      </c>
      <c r="D202" s="2" t="s">
        <v>1641</v>
      </c>
      <c r="F202" s="3" t="s">
        <v>58</v>
      </c>
      <c r="G202" s="3" t="s">
        <v>59</v>
      </c>
      <c r="H202" s="3" t="s">
        <v>58</v>
      </c>
      <c r="I202" s="3" t="s">
        <v>103</v>
      </c>
      <c r="J202" s="3" t="s">
        <v>60</v>
      </c>
      <c r="K202" s="2" t="s">
        <v>1642</v>
      </c>
      <c r="L202" s="2" t="s">
        <v>1643</v>
      </c>
      <c r="M202" s="3" t="s">
        <v>490</v>
      </c>
      <c r="N202" s="2" t="s">
        <v>331</v>
      </c>
      <c r="O202" s="3" t="s">
        <v>64</v>
      </c>
      <c r="P202" s="3" t="s">
        <v>84</v>
      </c>
      <c r="R202" s="3" t="s">
        <v>912</v>
      </c>
      <c r="S202" s="4">
        <v>105</v>
      </c>
      <c r="T202" s="4">
        <v>105</v>
      </c>
      <c r="U202" s="5" t="s">
        <v>1644</v>
      </c>
      <c r="V202" s="5" t="s">
        <v>1644</v>
      </c>
      <c r="W202" s="5" t="s">
        <v>1645</v>
      </c>
      <c r="X202" s="5" t="s">
        <v>1645</v>
      </c>
      <c r="Y202" s="4">
        <v>257</v>
      </c>
      <c r="Z202" s="4">
        <v>115</v>
      </c>
      <c r="AA202" s="4">
        <v>193</v>
      </c>
      <c r="AB202" s="4">
        <v>1</v>
      </c>
      <c r="AC202" s="4">
        <v>3</v>
      </c>
      <c r="AD202" s="4">
        <v>3</v>
      </c>
      <c r="AE202" s="4">
        <v>7</v>
      </c>
      <c r="AF202" s="4">
        <v>1</v>
      </c>
      <c r="AG202" s="4">
        <v>3</v>
      </c>
      <c r="AH202" s="4">
        <v>1</v>
      </c>
      <c r="AI202" s="4">
        <v>1</v>
      </c>
      <c r="AJ202" s="4">
        <v>2</v>
      </c>
      <c r="AK202" s="4">
        <v>2</v>
      </c>
      <c r="AL202" s="4">
        <v>0</v>
      </c>
      <c r="AM202" s="4">
        <v>2</v>
      </c>
      <c r="AN202" s="4">
        <v>0</v>
      </c>
      <c r="AO202" s="4">
        <v>0</v>
      </c>
      <c r="AP202" s="3" t="s">
        <v>58</v>
      </c>
      <c r="AQ202" s="3" t="s">
        <v>103</v>
      </c>
      <c r="AR202" s="6" t="str">
        <f>HYPERLINK("http://catalog.hathitrust.org/Record/003102679","HathiTrust Record")</f>
        <v>HathiTrust Record</v>
      </c>
      <c r="AS202" s="6" t="str">
        <f>HYPERLINK("https://creighton-primo.hosted.exlibrisgroup.com/primo-explore/search?tab=default_tab&amp;search_scope=EVERYTHING&amp;vid=01CRU&amp;lang=en_US&amp;offset=0&amp;query=any,contains,991001260509702656","Catalog Record")</f>
        <v>Catalog Record</v>
      </c>
      <c r="AT202" s="6" t="str">
        <f>HYPERLINK("http://www.worldcat.org/oclc/35652355","WorldCat Record")</f>
        <v>WorldCat Record</v>
      </c>
    </row>
    <row r="203" spans="1:46" ht="30" customHeight="1" x14ac:dyDescent="0.25">
      <c r="A203" s="8" t="s">
        <v>58</v>
      </c>
      <c r="B203" s="2" t="s">
        <v>1646</v>
      </c>
      <c r="C203" s="2" t="s">
        <v>1647</v>
      </c>
      <c r="D203" s="2" t="s">
        <v>1648</v>
      </c>
      <c r="F203" s="3" t="s">
        <v>58</v>
      </c>
      <c r="G203" s="3" t="s">
        <v>59</v>
      </c>
      <c r="H203" s="3" t="s">
        <v>58</v>
      </c>
      <c r="I203" s="3" t="s">
        <v>58</v>
      </c>
      <c r="J203" s="3" t="s">
        <v>60</v>
      </c>
      <c r="K203" s="2" t="s">
        <v>1649</v>
      </c>
      <c r="L203" s="2" t="s">
        <v>1606</v>
      </c>
      <c r="M203" s="3" t="s">
        <v>146</v>
      </c>
      <c r="N203" s="2" t="s">
        <v>331</v>
      </c>
      <c r="O203" s="3" t="s">
        <v>64</v>
      </c>
      <c r="P203" s="3" t="s">
        <v>1346</v>
      </c>
      <c r="R203" s="3" t="s">
        <v>912</v>
      </c>
      <c r="S203" s="4">
        <v>97</v>
      </c>
      <c r="T203" s="4">
        <v>97</v>
      </c>
      <c r="U203" s="5" t="s">
        <v>1650</v>
      </c>
      <c r="V203" s="5" t="s">
        <v>1650</v>
      </c>
      <c r="W203" s="5" t="s">
        <v>1651</v>
      </c>
      <c r="X203" s="5" t="s">
        <v>1651</v>
      </c>
      <c r="Y203" s="4">
        <v>169</v>
      </c>
      <c r="Z203" s="4">
        <v>128</v>
      </c>
      <c r="AA203" s="4">
        <v>325</v>
      </c>
      <c r="AB203" s="4">
        <v>1</v>
      </c>
      <c r="AC203" s="4">
        <v>3</v>
      </c>
      <c r="AD203" s="4">
        <v>4</v>
      </c>
      <c r="AE203" s="4">
        <v>14</v>
      </c>
      <c r="AF203" s="4">
        <v>3</v>
      </c>
      <c r="AG203" s="4">
        <v>6</v>
      </c>
      <c r="AH203" s="4">
        <v>0</v>
      </c>
      <c r="AI203" s="4">
        <v>2</v>
      </c>
      <c r="AJ203" s="4">
        <v>3</v>
      </c>
      <c r="AK203" s="4">
        <v>8</v>
      </c>
      <c r="AL203" s="4">
        <v>0</v>
      </c>
      <c r="AM203" s="4">
        <v>2</v>
      </c>
      <c r="AN203" s="4">
        <v>0</v>
      </c>
      <c r="AO203" s="4">
        <v>0</v>
      </c>
      <c r="AP203" s="3" t="s">
        <v>58</v>
      </c>
      <c r="AQ203" s="3" t="s">
        <v>103</v>
      </c>
      <c r="AR203" s="6" t="str">
        <f>HYPERLINK("http://catalog.hathitrust.org/Record/003945647","HathiTrust Record")</f>
        <v>HathiTrust Record</v>
      </c>
      <c r="AS203" s="6" t="str">
        <f>HYPERLINK("https://creighton-primo.hosted.exlibrisgroup.com/primo-explore/search?tab=default_tab&amp;search_scope=EVERYTHING&amp;vid=01CRU&amp;lang=en_US&amp;offset=0&amp;query=any,contains,991000863499702656","Catalog Record")</f>
        <v>Catalog Record</v>
      </c>
      <c r="AT203" s="6" t="str">
        <f>HYPERLINK("http://www.worldcat.org/oclc/37586572","WorldCat Record")</f>
        <v>WorldCat Record</v>
      </c>
    </row>
    <row r="204" spans="1:46" ht="30" customHeight="1" x14ac:dyDescent="0.25">
      <c r="A204" s="8" t="s">
        <v>58</v>
      </c>
      <c r="B204" s="2" t="s">
        <v>1652</v>
      </c>
      <c r="C204" s="2" t="s">
        <v>1653</v>
      </c>
      <c r="D204" s="2" t="s">
        <v>1654</v>
      </c>
      <c r="F204" s="3" t="s">
        <v>58</v>
      </c>
      <c r="G204" s="3" t="s">
        <v>59</v>
      </c>
      <c r="H204" s="3" t="s">
        <v>58</v>
      </c>
      <c r="I204" s="3" t="s">
        <v>103</v>
      </c>
      <c r="J204" s="3" t="s">
        <v>60</v>
      </c>
      <c r="K204" s="2" t="s">
        <v>1655</v>
      </c>
      <c r="L204" s="2" t="s">
        <v>1656</v>
      </c>
      <c r="M204" s="3" t="s">
        <v>1180</v>
      </c>
      <c r="N204" s="2" t="s">
        <v>984</v>
      </c>
      <c r="O204" s="3" t="s">
        <v>64</v>
      </c>
      <c r="P204" s="3" t="s">
        <v>911</v>
      </c>
      <c r="R204" s="3" t="s">
        <v>912</v>
      </c>
      <c r="S204" s="4">
        <v>41</v>
      </c>
      <c r="T204" s="4">
        <v>41</v>
      </c>
      <c r="U204" s="5" t="s">
        <v>1657</v>
      </c>
      <c r="V204" s="5" t="s">
        <v>1657</v>
      </c>
      <c r="W204" s="5" t="s">
        <v>1633</v>
      </c>
      <c r="X204" s="5" t="s">
        <v>1633</v>
      </c>
      <c r="Y204" s="4">
        <v>492</v>
      </c>
      <c r="Z204" s="4">
        <v>390</v>
      </c>
      <c r="AA204" s="4">
        <v>1031</v>
      </c>
      <c r="AB204" s="4">
        <v>2</v>
      </c>
      <c r="AC204" s="4">
        <v>8</v>
      </c>
      <c r="AD204" s="4">
        <v>11</v>
      </c>
      <c r="AE204" s="4">
        <v>32</v>
      </c>
      <c r="AF204" s="4">
        <v>3</v>
      </c>
      <c r="AG204" s="4">
        <v>15</v>
      </c>
      <c r="AH204" s="4">
        <v>3</v>
      </c>
      <c r="AI204" s="4">
        <v>6</v>
      </c>
      <c r="AJ204" s="4">
        <v>6</v>
      </c>
      <c r="AK204" s="4">
        <v>13</v>
      </c>
      <c r="AL204" s="4">
        <v>1</v>
      </c>
      <c r="AM204" s="4">
        <v>5</v>
      </c>
      <c r="AN204" s="4">
        <v>0</v>
      </c>
      <c r="AO204" s="4">
        <v>0</v>
      </c>
      <c r="AP204" s="3" t="s">
        <v>58</v>
      </c>
      <c r="AQ204" s="3" t="s">
        <v>103</v>
      </c>
      <c r="AR204" s="6" t="str">
        <f>HYPERLINK("http://catalog.hathitrust.org/Record/000182185","HathiTrust Record")</f>
        <v>HathiTrust Record</v>
      </c>
      <c r="AS204" s="6" t="str">
        <f>HYPERLINK("https://creighton-primo.hosted.exlibrisgroup.com/primo-explore/search?tab=default_tab&amp;search_scope=EVERYTHING&amp;vid=01CRU&amp;lang=en_US&amp;offset=0&amp;query=any,contains,991000757979702656","Catalog Record")</f>
        <v>Catalog Record</v>
      </c>
      <c r="AT204" s="6" t="str">
        <f>HYPERLINK("http://www.worldcat.org/oclc/7555683","WorldCat Record")</f>
        <v>WorldCat Record</v>
      </c>
    </row>
    <row r="205" spans="1:46" ht="30" customHeight="1" x14ac:dyDescent="0.25">
      <c r="A205" s="8" t="s">
        <v>58</v>
      </c>
      <c r="B205" s="2" t="s">
        <v>1658</v>
      </c>
      <c r="C205" s="2" t="s">
        <v>1659</v>
      </c>
      <c r="D205" s="2" t="s">
        <v>1660</v>
      </c>
      <c r="F205" s="3" t="s">
        <v>58</v>
      </c>
      <c r="G205" s="3" t="s">
        <v>59</v>
      </c>
      <c r="H205" s="3" t="s">
        <v>58</v>
      </c>
      <c r="I205" s="3" t="s">
        <v>58</v>
      </c>
      <c r="J205" s="3" t="s">
        <v>60</v>
      </c>
      <c r="K205" s="2" t="s">
        <v>1661</v>
      </c>
      <c r="L205" s="2" t="s">
        <v>1662</v>
      </c>
      <c r="M205" s="3" t="s">
        <v>766</v>
      </c>
      <c r="O205" s="3" t="s">
        <v>64</v>
      </c>
      <c r="P205" s="3" t="s">
        <v>911</v>
      </c>
      <c r="R205" s="3" t="s">
        <v>912</v>
      </c>
      <c r="S205" s="4">
        <v>70</v>
      </c>
      <c r="T205" s="4">
        <v>70</v>
      </c>
      <c r="U205" s="5" t="s">
        <v>1663</v>
      </c>
      <c r="V205" s="5" t="s">
        <v>1663</v>
      </c>
      <c r="W205" s="5" t="s">
        <v>1664</v>
      </c>
      <c r="X205" s="5" t="s">
        <v>1664</v>
      </c>
      <c r="Y205" s="4">
        <v>157</v>
      </c>
      <c r="Z205" s="4">
        <v>96</v>
      </c>
      <c r="AA205" s="4">
        <v>98</v>
      </c>
      <c r="AB205" s="4">
        <v>1</v>
      </c>
      <c r="AC205" s="4">
        <v>1</v>
      </c>
      <c r="AD205" s="4">
        <v>3</v>
      </c>
      <c r="AE205" s="4">
        <v>3</v>
      </c>
      <c r="AF205" s="4">
        <v>0</v>
      </c>
      <c r="AG205" s="4">
        <v>0</v>
      </c>
      <c r="AH205" s="4">
        <v>1</v>
      </c>
      <c r="AI205" s="4">
        <v>1</v>
      </c>
      <c r="AJ205" s="4">
        <v>3</v>
      </c>
      <c r="AK205" s="4">
        <v>3</v>
      </c>
      <c r="AL205" s="4">
        <v>0</v>
      </c>
      <c r="AM205" s="4">
        <v>0</v>
      </c>
      <c r="AN205" s="4">
        <v>0</v>
      </c>
      <c r="AO205" s="4">
        <v>0</v>
      </c>
      <c r="AP205" s="3" t="s">
        <v>58</v>
      </c>
      <c r="AQ205" s="3" t="s">
        <v>103</v>
      </c>
      <c r="AR205" s="6" t="str">
        <f>HYPERLINK("http://catalog.hathitrust.org/Record/002530702","HathiTrust Record")</f>
        <v>HathiTrust Record</v>
      </c>
      <c r="AS205" s="6" t="str">
        <f>HYPERLINK("https://creighton-primo.hosted.exlibrisgroup.com/primo-explore/search?tab=default_tab&amp;search_scope=EVERYTHING&amp;vid=01CRU&amp;lang=en_US&amp;offset=0&amp;query=any,contains,991001432229702656","Catalog Record")</f>
        <v>Catalog Record</v>
      </c>
      <c r="AT205" s="6" t="str">
        <f>HYPERLINK("http://www.worldcat.org/oclc/28293057","WorldCat Record")</f>
        <v>WorldCat Record</v>
      </c>
    </row>
    <row r="206" spans="1:46" ht="30" customHeight="1" x14ac:dyDescent="0.25">
      <c r="A206" s="8" t="s">
        <v>58</v>
      </c>
      <c r="B206" s="2" t="s">
        <v>1665</v>
      </c>
      <c r="C206" s="2" t="s">
        <v>1666</v>
      </c>
      <c r="D206" s="2" t="s">
        <v>1667</v>
      </c>
      <c r="F206" s="3" t="s">
        <v>58</v>
      </c>
      <c r="G206" s="3" t="s">
        <v>59</v>
      </c>
      <c r="H206" s="3" t="s">
        <v>58</v>
      </c>
      <c r="I206" s="3" t="s">
        <v>103</v>
      </c>
      <c r="J206" s="3" t="s">
        <v>60</v>
      </c>
      <c r="K206" s="2" t="s">
        <v>1668</v>
      </c>
      <c r="L206" s="2" t="s">
        <v>1669</v>
      </c>
      <c r="M206" s="3" t="s">
        <v>574</v>
      </c>
      <c r="N206" s="2" t="s">
        <v>950</v>
      </c>
      <c r="O206" s="3" t="s">
        <v>64</v>
      </c>
      <c r="P206" s="3" t="s">
        <v>911</v>
      </c>
      <c r="R206" s="3" t="s">
        <v>912</v>
      </c>
      <c r="S206" s="4">
        <v>102</v>
      </c>
      <c r="T206" s="4">
        <v>102</v>
      </c>
      <c r="U206" s="5" t="s">
        <v>1670</v>
      </c>
      <c r="V206" s="5" t="s">
        <v>1670</v>
      </c>
      <c r="W206" s="5" t="s">
        <v>1664</v>
      </c>
      <c r="X206" s="5" t="s">
        <v>1664</v>
      </c>
      <c r="Y206" s="4">
        <v>187</v>
      </c>
      <c r="Z206" s="4">
        <v>139</v>
      </c>
      <c r="AA206" s="4">
        <v>555</v>
      </c>
      <c r="AB206" s="4">
        <v>1</v>
      </c>
      <c r="AC206" s="4">
        <v>4</v>
      </c>
      <c r="AD206" s="4">
        <v>5</v>
      </c>
      <c r="AE206" s="4">
        <v>17</v>
      </c>
      <c r="AF206" s="4">
        <v>0</v>
      </c>
      <c r="AG206" s="4">
        <v>5</v>
      </c>
      <c r="AH206" s="4">
        <v>2</v>
      </c>
      <c r="AI206" s="4">
        <v>5</v>
      </c>
      <c r="AJ206" s="4">
        <v>5</v>
      </c>
      <c r="AK206" s="4">
        <v>8</v>
      </c>
      <c r="AL206" s="4">
        <v>0</v>
      </c>
      <c r="AM206" s="4">
        <v>2</v>
      </c>
      <c r="AN206" s="4">
        <v>0</v>
      </c>
      <c r="AO206" s="4">
        <v>0</v>
      </c>
      <c r="AP206" s="3" t="s">
        <v>58</v>
      </c>
      <c r="AQ206" s="3" t="s">
        <v>103</v>
      </c>
      <c r="AR206" s="6" t="str">
        <f>HYPERLINK("http://catalog.hathitrust.org/Record/002752609","HathiTrust Record")</f>
        <v>HathiTrust Record</v>
      </c>
      <c r="AS206" s="6" t="str">
        <f>HYPERLINK("https://creighton-primo.hosted.exlibrisgroup.com/primo-explore/search?tab=default_tab&amp;search_scope=EVERYTHING&amp;vid=01CRU&amp;lang=en_US&amp;offset=0&amp;query=any,contains,991001472319702656","Catalog Record")</f>
        <v>Catalog Record</v>
      </c>
      <c r="AT206" s="6" t="str">
        <f>HYPERLINK("http://www.worldcat.org/oclc/26256944","WorldCat Record")</f>
        <v>WorldCat Record</v>
      </c>
    </row>
    <row r="207" spans="1:46" ht="30" customHeight="1" x14ac:dyDescent="0.25">
      <c r="A207" s="8" t="s">
        <v>58</v>
      </c>
      <c r="B207" s="2" t="s">
        <v>1671</v>
      </c>
      <c r="C207" s="2" t="s">
        <v>1672</v>
      </c>
      <c r="D207" s="2" t="s">
        <v>1667</v>
      </c>
      <c r="F207" s="3" t="s">
        <v>58</v>
      </c>
      <c r="G207" s="3" t="s">
        <v>59</v>
      </c>
      <c r="H207" s="3" t="s">
        <v>58</v>
      </c>
      <c r="I207" s="3" t="s">
        <v>103</v>
      </c>
      <c r="J207" s="3" t="s">
        <v>60</v>
      </c>
      <c r="K207" s="2" t="s">
        <v>1668</v>
      </c>
      <c r="L207" s="2" t="s">
        <v>948</v>
      </c>
      <c r="M207" s="3" t="s">
        <v>949</v>
      </c>
      <c r="N207" s="2" t="s">
        <v>1208</v>
      </c>
      <c r="O207" s="3" t="s">
        <v>64</v>
      </c>
      <c r="P207" s="3" t="s">
        <v>65</v>
      </c>
      <c r="R207" s="3" t="s">
        <v>912</v>
      </c>
      <c r="S207" s="4">
        <v>12</v>
      </c>
      <c r="T207" s="4">
        <v>12</v>
      </c>
      <c r="U207" s="5" t="s">
        <v>1673</v>
      </c>
      <c r="V207" s="5" t="s">
        <v>1673</v>
      </c>
      <c r="W207" s="5" t="s">
        <v>1674</v>
      </c>
      <c r="X207" s="5" t="s">
        <v>1674</v>
      </c>
      <c r="Y207" s="4">
        <v>379</v>
      </c>
      <c r="Z207" s="4">
        <v>278</v>
      </c>
      <c r="AA207" s="4">
        <v>555</v>
      </c>
      <c r="AB207" s="4">
        <v>3</v>
      </c>
      <c r="AC207" s="4">
        <v>4</v>
      </c>
      <c r="AD207" s="4">
        <v>9</v>
      </c>
      <c r="AE207" s="4">
        <v>17</v>
      </c>
      <c r="AF207" s="4">
        <v>3</v>
      </c>
      <c r="AG207" s="4">
        <v>5</v>
      </c>
      <c r="AH207" s="4">
        <v>3</v>
      </c>
      <c r="AI207" s="4">
        <v>5</v>
      </c>
      <c r="AJ207" s="4">
        <v>3</v>
      </c>
      <c r="AK207" s="4">
        <v>8</v>
      </c>
      <c r="AL207" s="4">
        <v>1</v>
      </c>
      <c r="AM207" s="4">
        <v>2</v>
      </c>
      <c r="AN207" s="4">
        <v>0</v>
      </c>
      <c r="AO207" s="4">
        <v>0</v>
      </c>
      <c r="AP207" s="3" t="s">
        <v>58</v>
      </c>
      <c r="AQ207" s="3" t="s">
        <v>103</v>
      </c>
      <c r="AR207" s="6" t="str">
        <f>HYPERLINK("http://catalog.hathitrust.org/Record/004116006","HathiTrust Record")</f>
        <v>HathiTrust Record</v>
      </c>
      <c r="AS207" s="6" t="str">
        <f>HYPERLINK("https://creighton-primo.hosted.exlibrisgroup.com/primo-explore/search?tab=default_tab&amp;search_scope=EVERYTHING&amp;vid=01CRU&amp;lang=en_US&amp;offset=0&amp;query=any,contains,991000278039702656","Catalog Record")</f>
        <v>Catalog Record</v>
      </c>
      <c r="AT207" s="6" t="str">
        <f>HYPERLINK("http://www.worldcat.org/oclc/43286612","WorldCat Record")</f>
        <v>WorldCat Record</v>
      </c>
    </row>
    <row r="208" spans="1:46" ht="30" customHeight="1" x14ac:dyDescent="0.25">
      <c r="A208" s="8" t="s">
        <v>58</v>
      </c>
      <c r="B208" s="2" t="s">
        <v>1675</v>
      </c>
      <c r="C208" s="2" t="s">
        <v>1676</v>
      </c>
      <c r="D208" s="2" t="s">
        <v>1677</v>
      </c>
      <c r="F208" s="3" t="s">
        <v>58</v>
      </c>
      <c r="G208" s="3" t="s">
        <v>59</v>
      </c>
      <c r="H208" s="3" t="s">
        <v>58</v>
      </c>
      <c r="I208" s="3" t="s">
        <v>103</v>
      </c>
      <c r="J208" s="3" t="s">
        <v>60</v>
      </c>
      <c r="K208" s="2" t="s">
        <v>1668</v>
      </c>
      <c r="L208" s="2" t="s">
        <v>940</v>
      </c>
      <c r="M208" s="3" t="s">
        <v>941</v>
      </c>
      <c r="N208" s="2" t="s">
        <v>1678</v>
      </c>
      <c r="O208" s="3" t="s">
        <v>64</v>
      </c>
      <c r="P208" s="3" t="s">
        <v>65</v>
      </c>
      <c r="R208" s="3" t="s">
        <v>912</v>
      </c>
      <c r="S208" s="4">
        <v>16</v>
      </c>
      <c r="T208" s="4">
        <v>16</v>
      </c>
      <c r="U208" s="5" t="s">
        <v>1679</v>
      </c>
      <c r="V208" s="5" t="s">
        <v>1679</v>
      </c>
      <c r="W208" s="5" t="s">
        <v>1680</v>
      </c>
      <c r="X208" s="5" t="s">
        <v>1680</v>
      </c>
      <c r="Y208" s="4">
        <v>378</v>
      </c>
      <c r="Z208" s="4">
        <v>274</v>
      </c>
      <c r="AA208" s="4">
        <v>555</v>
      </c>
      <c r="AB208" s="4">
        <v>3</v>
      </c>
      <c r="AC208" s="4">
        <v>4</v>
      </c>
      <c r="AD208" s="4">
        <v>11</v>
      </c>
      <c r="AE208" s="4">
        <v>17</v>
      </c>
      <c r="AF208" s="4">
        <v>2</v>
      </c>
      <c r="AG208" s="4">
        <v>5</v>
      </c>
      <c r="AH208" s="4">
        <v>3</v>
      </c>
      <c r="AI208" s="4">
        <v>5</v>
      </c>
      <c r="AJ208" s="4">
        <v>5</v>
      </c>
      <c r="AK208" s="4">
        <v>8</v>
      </c>
      <c r="AL208" s="4">
        <v>2</v>
      </c>
      <c r="AM208" s="4">
        <v>2</v>
      </c>
      <c r="AN208" s="4">
        <v>0</v>
      </c>
      <c r="AO208" s="4">
        <v>0</v>
      </c>
      <c r="AP208" s="3" t="s">
        <v>58</v>
      </c>
      <c r="AQ208" s="3" t="s">
        <v>58</v>
      </c>
      <c r="AS208" s="6" t="str">
        <f>HYPERLINK("https://creighton-primo.hosted.exlibrisgroup.com/primo-explore/search?tab=default_tab&amp;search_scope=EVERYTHING&amp;vid=01CRU&amp;lang=en_US&amp;offset=0&amp;query=any,contains,991000399899702656","Catalog Record")</f>
        <v>Catalog Record</v>
      </c>
      <c r="AT208" s="6" t="str">
        <f>HYPERLINK("http://www.worldcat.org/oclc/54501240","WorldCat Record")</f>
        <v>WorldCat Record</v>
      </c>
    </row>
    <row r="209" spans="1:46" ht="30" customHeight="1" x14ac:dyDescent="0.25">
      <c r="A209" s="8" t="s">
        <v>58</v>
      </c>
      <c r="B209" s="2" t="s">
        <v>1681</v>
      </c>
      <c r="C209" s="2" t="s">
        <v>1682</v>
      </c>
      <c r="D209" s="2" t="s">
        <v>1683</v>
      </c>
      <c r="F209" s="3" t="s">
        <v>58</v>
      </c>
      <c r="G209" s="3" t="s">
        <v>59</v>
      </c>
      <c r="H209" s="3" t="s">
        <v>58</v>
      </c>
      <c r="I209" s="3" t="s">
        <v>103</v>
      </c>
      <c r="J209" s="3" t="s">
        <v>60</v>
      </c>
      <c r="K209" s="2" t="s">
        <v>1655</v>
      </c>
      <c r="L209" s="2" t="s">
        <v>1684</v>
      </c>
      <c r="M209" s="3" t="s">
        <v>706</v>
      </c>
      <c r="N209" s="2" t="s">
        <v>1685</v>
      </c>
      <c r="O209" s="3" t="s">
        <v>64</v>
      </c>
      <c r="P209" s="3" t="s">
        <v>65</v>
      </c>
      <c r="R209" s="3" t="s">
        <v>912</v>
      </c>
      <c r="S209" s="4">
        <v>120</v>
      </c>
      <c r="T209" s="4">
        <v>120</v>
      </c>
      <c r="U209" s="5" t="s">
        <v>1686</v>
      </c>
      <c r="V209" s="5" t="s">
        <v>1686</v>
      </c>
      <c r="W209" s="5" t="s">
        <v>1687</v>
      </c>
      <c r="X209" s="5" t="s">
        <v>1687</v>
      </c>
      <c r="Y209" s="4">
        <v>375</v>
      </c>
      <c r="Z209" s="4">
        <v>287</v>
      </c>
      <c r="AA209" s="4">
        <v>1031</v>
      </c>
      <c r="AB209" s="4">
        <v>3</v>
      </c>
      <c r="AC209" s="4">
        <v>8</v>
      </c>
      <c r="AD209" s="4">
        <v>9</v>
      </c>
      <c r="AE209" s="4">
        <v>32</v>
      </c>
      <c r="AF209" s="4">
        <v>4</v>
      </c>
      <c r="AG209" s="4">
        <v>15</v>
      </c>
      <c r="AH209" s="4">
        <v>1</v>
      </c>
      <c r="AI209" s="4">
        <v>6</v>
      </c>
      <c r="AJ209" s="4">
        <v>3</v>
      </c>
      <c r="AK209" s="4">
        <v>13</v>
      </c>
      <c r="AL209" s="4">
        <v>2</v>
      </c>
      <c r="AM209" s="4">
        <v>5</v>
      </c>
      <c r="AN209" s="4">
        <v>0</v>
      </c>
      <c r="AO209" s="4">
        <v>0</v>
      </c>
      <c r="AP209" s="3" t="s">
        <v>58</v>
      </c>
      <c r="AQ209" s="3" t="s">
        <v>103</v>
      </c>
      <c r="AR209" s="6" t="str">
        <f>HYPERLINK("http://catalog.hathitrust.org/Record/000942065","HathiTrust Record")</f>
        <v>HathiTrust Record</v>
      </c>
      <c r="AS209" s="6" t="str">
        <f>HYPERLINK("https://creighton-primo.hosted.exlibrisgroup.com/primo-explore/search?tab=default_tab&amp;search_scope=EVERYTHING&amp;vid=01CRU&amp;lang=en_US&amp;offset=0&amp;query=any,contains,991001105439702656","Catalog Record")</f>
        <v>Catalog Record</v>
      </c>
      <c r="AT209" s="6" t="str">
        <f>HYPERLINK("http://www.worldcat.org/oclc/18162770","WorldCat Record")</f>
        <v>WorldCat Record</v>
      </c>
    </row>
    <row r="210" spans="1:46" ht="30" customHeight="1" x14ac:dyDescent="0.25">
      <c r="A210" s="8" t="s">
        <v>58</v>
      </c>
      <c r="B210" s="2" t="s">
        <v>1688</v>
      </c>
      <c r="C210" s="2" t="s">
        <v>1689</v>
      </c>
      <c r="D210" s="2" t="s">
        <v>1690</v>
      </c>
      <c r="F210" s="3" t="s">
        <v>58</v>
      </c>
      <c r="G210" s="3" t="s">
        <v>59</v>
      </c>
      <c r="H210" s="3" t="s">
        <v>58</v>
      </c>
      <c r="I210" s="3" t="s">
        <v>103</v>
      </c>
      <c r="J210" s="3" t="s">
        <v>60</v>
      </c>
      <c r="K210" s="2" t="s">
        <v>1691</v>
      </c>
      <c r="L210" s="2" t="s">
        <v>1692</v>
      </c>
      <c r="M210" s="3" t="s">
        <v>83</v>
      </c>
      <c r="N210" s="2" t="s">
        <v>331</v>
      </c>
      <c r="O210" s="3" t="s">
        <v>64</v>
      </c>
      <c r="P210" s="3" t="s">
        <v>315</v>
      </c>
      <c r="R210" s="3" t="s">
        <v>912</v>
      </c>
      <c r="S210" s="4">
        <v>94</v>
      </c>
      <c r="T210" s="4">
        <v>94</v>
      </c>
      <c r="U210" s="5" t="s">
        <v>1679</v>
      </c>
      <c r="V210" s="5" t="s">
        <v>1679</v>
      </c>
      <c r="W210" s="5" t="s">
        <v>1203</v>
      </c>
      <c r="X210" s="5" t="s">
        <v>1203</v>
      </c>
      <c r="Y210" s="4">
        <v>236</v>
      </c>
      <c r="Z210" s="4">
        <v>159</v>
      </c>
      <c r="AA210" s="4">
        <v>585</v>
      </c>
      <c r="AB210" s="4">
        <v>1</v>
      </c>
      <c r="AC210" s="4">
        <v>6</v>
      </c>
      <c r="AD210" s="4">
        <v>6</v>
      </c>
      <c r="AE210" s="4">
        <v>19</v>
      </c>
      <c r="AF210" s="4">
        <v>2</v>
      </c>
      <c r="AG210" s="4">
        <v>7</v>
      </c>
      <c r="AH210" s="4">
        <v>0</v>
      </c>
      <c r="AI210" s="4">
        <v>3</v>
      </c>
      <c r="AJ210" s="4">
        <v>5</v>
      </c>
      <c r="AK210" s="4">
        <v>10</v>
      </c>
      <c r="AL210" s="4">
        <v>0</v>
      </c>
      <c r="AM210" s="4">
        <v>4</v>
      </c>
      <c r="AN210" s="4">
        <v>0</v>
      </c>
      <c r="AO210" s="4">
        <v>0</v>
      </c>
      <c r="AP210" s="3" t="s">
        <v>58</v>
      </c>
      <c r="AQ210" s="3" t="s">
        <v>103</v>
      </c>
      <c r="AR210" s="6" t="str">
        <f>HYPERLINK("http://catalog.hathitrust.org/Record/002911853","HathiTrust Record")</f>
        <v>HathiTrust Record</v>
      </c>
      <c r="AS210" s="6" t="str">
        <f>HYPERLINK("https://creighton-primo.hosted.exlibrisgroup.com/primo-explore/search?tab=default_tab&amp;search_scope=EVERYTHING&amp;vid=01CRU&amp;lang=en_US&amp;offset=0&amp;query=any,contains,991001119619702656","Catalog Record")</f>
        <v>Catalog Record</v>
      </c>
      <c r="AT210" s="6" t="str">
        <f>HYPERLINK("http://www.worldcat.org/oclc/29030228","WorldCat Record")</f>
        <v>WorldCat Record</v>
      </c>
    </row>
    <row r="211" spans="1:46" ht="30" customHeight="1" x14ac:dyDescent="0.25">
      <c r="A211" s="8" t="s">
        <v>58</v>
      </c>
      <c r="B211" s="2" t="s">
        <v>1693</v>
      </c>
      <c r="C211" s="2" t="s">
        <v>1694</v>
      </c>
      <c r="D211" s="2" t="s">
        <v>1695</v>
      </c>
      <c r="F211" s="3" t="s">
        <v>58</v>
      </c>
      <c r="G211" s="3" t="s">
        <v>59</v>
      </c>
      <c r="H211" s="3" t="s">
        <v>58</v>
      </c>
      <c r="I211" s="3" t="s">
        <v>58</v>
      </c>
      <c r="J211" s="3" t="s">
        <v>60</v>
      </c>
      <c r="K211" s="2" t="s">
        <v>1696</v>
      </c>
      <c r="L211" s="2" t="s">
        <v>1697</v>
      </c>
      <c r="M211" s="3" t="s">
        <v>359</v>
      </c>
      <c r="N211" s="2" t="s">
        <v>1698</v>
      </c>
      <c r="O211" s="3" t="s">
        <v>64</v>
      </c>
      <c r="P211" s="3" t="s">
        <v>911</v>
      </c>
      <c r="R211" s="3" t="s">
        <v>912</v>
      </c>
      <c r="S211" s="4">
        <v>106</v>
      </c>
      <c r="T211" s="4">
        <v>106</v>
      </c>
      <c r="U211" s="5" t="s">
        <v>1699</v>
      </c>
      <c r="V211" s="5" t="s">
        <v>1699</v>
      </c>
      <c r="W211" s="5" t="s">
        <v>1700</v>
      </c>
      <c r="X211" s="5" t="s">
        <v>1700</v>
      </c>
      <c r="Y211" s="4">
        <v>333</v>
      </c>
      <c r="Z211" s="4">
        <v>262</v>
      </c>
      <c r="AA211" s="4">
        <v>270</v>
      </c>
      <c r="AB211" s="4">
        <v>2</v>
      </c>
      <c r="AC211" s="4">
        <v>2</v>
      </c>
      <c r="AD211" s="4">
        <v>10</v>
      </c>
      <c r="AE211" s="4">
        <v>10</v>
      </c>
      <c r="AF211" s="4">
        <v>3</v>
      </c>
      <c r="AG211" s="4">
        <v>3</v>
      </c>
      <c r="AH211" s="4">
        <v>2</v>
      </c>
      <c r="AI211" s="4">
        <v>2</v>
      </c>
      <c r="AJ211" s="4">
        <v>5</v>
      </c>
      <c r="AK211" s="4">
        <v>5</v>
      </c>
      <c r="AL211" s="4">
        <v>1</v>
      </c>
      <c r="AM211" s="4">
        <v>1</v>
      </c>
      <c r="AN211" s="4">
        <v>0</v>
      </c>
      <c r="AO211" s="4">
        <v>0</v>
      </c>
      <c r="AP211" s="3" t="s">
        <v>58</v>
      </c>
      <c r="AQ211" s="3" t="s">
        <v>103</v>
      </c>
      <c r="AR211" s="6" t="str">
        <f>HYPERLINK("http://catalog.hathitrust.org/Record/000370890","HathiTrust Record")</f>
        <v>HathiTrust Record</v>
      </c>
      <c r="AS211" s="6" t="str">
        <f>HYPERLINK("https://creighton-primo.hosted.exlibrisgroup.com/primo-explore/search?tab=default_tab&amp;search_scope=EVERYTHING&amp;vid=01CRU&amp;lang=en_US&amp;offset=0&amp;query=any,contains,991000746699702656","Catalog Record")</f>
        <v>Catalog Record</v>
      </c>
      <c r="AT211" s="6" t="str">
        <f>HYPERLINK("http://www.worldcat.org/oclc/11550642","WorldCat Record")</f>
        <v>WorldCat Record</v>
      </c>
    </row>
    <row r="212" spans="1:46" ht="30" customHeight="1" x14ac:dyDescent="0.25">
      <c r="A212" s="8" t="s">
        <v>58</v>
      </c>
      <c r="B212" s="2" t="s">
        <v>1701</v>
      </c>
      <c r="C212" s="2" t="s">
        <v>1702</v>
      </c>
      <c r="D212" s="2" t="s">
        <v>1703</v>
      </c>
      <c r="F212" s="3" t="s">
        <v>58</v>
      </c>
      <c r="G212" s="3" t="s">
        <v>59</v>
      </c>
      <c r="H212" s="3" t="s">
        <v>58</v>
      </c>
      <c r="I212" s="3" t="s">
        <v>58</v>
      </c>
      <c r="J212" s="3" t="s">
        <v>60</v>
      </c>
      <c r="K212" s="2" t="s">
        <v>1704</v>
      </c>
      <c r="L212" s="2" t="s">
        <v>1705</v>
      </c>
      <c r="M212" s="3" t="s">
        <v>205</v>
      </c>
      <c r="N212" s="2" t="s">
        <v>1160</v>
      </c>
      <c r="O212" s="3" t="s">
        <v>64</v>
      </c>
      <c r="P212" s="3" t="s">
        <v>1069</v>
      </c>
      <c r="R212" s="3" t="s">
        <v>912</v>
      </c>
      <c r="S212" s="4">
        <v>30</v>
      </c>
      <c r="T212" s="4">
        <v>30</v>
      </c>
      <c r="U212" s="5" t="s">
        <v>1706</v>
      </c>
      <c r="V212" s="5" t="s">
        <v>1706</v>
      </c>
      <c r="W212" s="5" t="s">
        <v>1707</v>
      </c>
      <c r="X212" s="5" t="s">
        <v>1707</v>
      </c>
      <c r="Y212" s="4">
        <v>137</v>
      </c>
      <c r="Z212" s="4">
        <v>112</v>
      </c>
      <c r="AA212" s="4">
        <v>119</v>
      </c>
      <c r="AB212" s="4">
        <v>2</v>
      </c>
      <c r="AC212" s="4">
        <v>2</v>
      </c>
      <c r="AD212" s="4">
        <v>5</v>
      </c>
      <c r="AE212" s="4">
        <v>5</v>
      </c>
      <c r="AF212" s="4">
        <v>1</v>
      </c>
      <c r="AG212" s="4">
        <v>1</v>
      </c>
      <c r="AH212" s="4">
        <v>1</v>
      </c>
      <c r="AI212" s="4">
        <v>1</v>
      </c>
      <c r="AJ212" s="4">
        <v>2</v>
      </c>
      <c r="AK212" s="4">
        <v>2</v>
      </c>
      <c r="AL212" s="4">
        <v>1</v>
      </c>
      <c r="AM212" s="4">
        <v>1</v>
      </c>
      <c r="AN212" s="4">
        <v>0</v>
      </c>
      <c r="AO212" s="4">
        <v>0</v>
      </c>
      <c r="AP212" s="3" t="s">
        <v>58</v>
      </c>
      <c r="AQ212" s="3" t="s">
        <v>103</v>
      </c>
      <c r="AR212" s="6" t="str">
        <f>HYPERLINK("http://catalog.hathitrust.org/Record/001553027","HathiTrust Record")</f>
        <v>HathiTrust Record</v>
      </c>
      <c r="AS212" s="6" t="str">
        <f>HYPERLINK("https://creighton-primo.hosted.exlibrisgroup.com/primo-explore/search?tab=default_tab&amp;search_scope=EVERYTHING&amp;vid=01CRU&amp;lang=en_US&amp;offset=0&amp;query=any,contains,991000796759702656","Catalog Record")</f>
        <v>Catalog Record</v>
      </c>
      <c r="AT212" s="6" t="str">
        <f>HYPERLINK("http://www.worldcat.org/oclc/1134754","WorldCat Record")</f>
        <v>WorldCat Record</v>
      </c>
    </row>
    <row r="213" spans="1:46" ht="30" customHeight="1" x14ac:dyDescent="0.25">
      <c r="A213" s="8" t="s">
        <v>58</v>
      </c>
      <c r="B213" s="2" t="s">
        <v>1708</v>
      </c>
      <c r="C213" s="2" t="s">
        <v>1709</v>
      </c>
      <c r="D213" s="2" t="s">
        <v>1710</v>
      </c>
      <c r="F213" s="3" t="s">
        <v>58</v>
      </c>
      <c r="G213" s="3" t="s">
        <v>59</v>
      </c>
      <c r="H213" s="3" t="s">
        <v>58</v>
      </c>
      <c r="I213" s="3" t="s">
        <v>58</v>
      </c>
      <c r="J213" s="3" t="s">
        <v>60</v>
      </c>
      <c r="K213" s="2" t="s">
        <v>1711</v>
      </c>
      <c r="L213" s="2" t="s">
        <v>1712</v>
      </c>
      <c r="M213" s="3" t="s">
        <v>1128</v>
      </c>
      <c r="O213" s="3" t="s">
        <v>64</v>
      </c>
      <c r="P213" s="3" t="s">
        <v>84</v>
      </c>
      <c r="R213" s="3" t="s">
        <v>912</v>
      </c>
      <c r="S213" s="4">
        <v>17</v>
      </c>
      <c r="T213" s="4">
        <v>17</v>
      </c>
      <c r="U213" s="5" t="s">
        <v>1713</v>
      </c>
      <c r="V213" s="5" t="s">
        <v>1713</v>
      </c>
      <c r="W213" s="5" t="s">
        <v>1714</v>
      </c>
      <c r="X213" s="5" t="s">
        <v>1714</v>
      </c>
      <c r="Y213" s="4">
        <v>216</v>
      </c>
      <c r="Z213" s="4">
        <v>183</v>
      </c>
      <c r="AA213" s="4">
        <v>223</v>
      </c>
      <c r="AB213" s="4">
        <v>2</v>
      </c>
      <c r="AC213" s="4">
        <v>3</v>
      </c>
      <c r="AD213" s="4">
        <v>11</v>
      </c>
      <c r="AE213" s="4">
        <v>12</v>
      </c>
      <c r="AF213" s="4">
        <v>5</v>
      </c>
      <c r="AG213" s="4">
        <v>5</v>
      </c>
      <c r="AH213" s="4">
        <v>2</v>
      </c>
      <c r="AI213" s="4">
        <v>2</v>
      </c>
      <c r="AJ213" s="4">
        <v>6</v>
      </c>
      <c r="AK213" s="4">
        <v>6</v>
      </c>
      <c r="AL213" s="4">
        <v>1</v>
      </c>
      <c r="AM213" s="4">
        <v>2</v>
      </c>
      <c r="AN213" s="4">
        <v>0</v>
      </c>
      <c r="AO213" s="4">
        <v>0</v>
      </c>
      <c r="AP213" s="3" t="s">
        <v>58</v>
      </c>
      <c r="AQ213" s="3" t="s">
        <v>58</v>
      </c>
      <c r="AS213" s="6" t="str">
        <f>HYPERLINK("https://creighton-primo.hosted.exlibrisgroup.com/primo-explore/search?tab=default_tab&amp;search_scope=EVERYTHING&amp;vid=01CRU&amp;lang=en_US&amp;offset=0&amp;query=any,contains,991000325689702656","Catalog Record")</f>
        <v>Catalog Record</v>
      </c>
      <c r="AT213" s="6" t="str">
        <f>HYPERLINK("http://www.worldcat.org/oclc/40347416","WorldCat Record")</f>
        <v>WorldCat Record</v>
      </c>
    </row>
    <row r="214" spans="1:46" ht="30" customHeight="1" x14ac:dyDescent="0.25">
      <c r="A214" s="8" t="s">
        <v>58</v>
      </c>
      <c r="B214" s="2" t="s">
        <v>1715</v>
      </c>
      <c r="C214" s="2" t="s">
        <v>1716</v>
      </c>
      <c r="D214" s="2" t="s">
        <v>1717</v>
      </c>
      <c r="F214" s="3" t="s">
        <v>58</v>
      </c>
      <c r="G214" s="3" t="s">
        <v>59</v>
      </c>
      <c r="H214" s="3" t="s">
        <v>58</v>
      </c>
      <c r="I214" s="3" t="s">
        <v>58</v>
      </c>
      <c r="J214" s="3" t="s">
        <v>60</v>
      </c>
      <c r="K214" s="2" t="s">
        <v>1718</v>
      </c>
      <c r="L214" s="2" t="s">
        <v>1719</v>
      </c>
      <c r="M214" s="3" t="s">
        <v>298</v>
      </c>
      <c r="O214" s="3" t="s">
        <v>64</v>
      </c>
      <c r="P214" s="3" t="s">
        <v>432</v>
      </c>
      <c r="R214" s="3" t="s">
        <v>912</v>
      </c>
      <c r="S214" s="4">
        <v>33</v>
      </c>
      <c r="T214" s="4">
        <v>33</v>
      </c>
      <c r="U214" s="5" t="s">
        <v>1720</v>
      </c>
      <c r="V214" s="5" t="s">
        <v>1720</v>
      </c>
      <c r="W214" s="5" t="s">
        <v>1700</v>
      </c>
      <c r="X214" s="5" t="s">
        <v>1700</v>
      </c>
      <c r="Y214" s="4">
        <v>1056</v>
      </c>
      <c r="Z214" s="4">
        <v>867</v>
      </c>
      <c r="AA214" s="4">
        <v>874</v>
      </c>
      <c r="AB214" s="4">
        <v>8</v>
      </c>
      <c r="AC214" s="4">
        <v>8</v>
      </c>
      <c r="AD214" s="4">
        <v>25</v>
      </c>
      <c r="AE214" s="4">
        <v>25</v>
      </c>
      <c r="AF214" s="4">
        <v>8</v>
      </c>
      <c r="AG214" s="4">
        <v>8</v>
      </c>
      <c r="AH214" s="4">
        <v>2</v>
      </c>
      <c r="AI214" s="4">
        <v>2</v>
      </c>
      <c r="AJ214" s="4">
        <v>12</v>
      </c>
      <c r="AK214" s="4">
        <v>12</v>
      </c>
      <c r="AL214" s="4">
        <v>6</v>
      </c>
      <c r="AM214" s="4">
        <v>6</v>
      </c>
      <c r="AN214" s="4">
        <v>0</v>
      </c>
      <c r="AO214" s="4">
        <v>0</v>
      </c>
      <c r="AP214" s="3" t="s">
        <v>58</v>
      </c>
      <c r="AQ214" s="3" t="s">
        <v>58</v>
      </c>
      <c r="AS214" s="6" t="str">
        <f>HYPERLINK("https://creighton-primo.hosted.exlibrisgroup.com/primo-explore/search?tab=default_tab&amp;search_scope=EVERYTHING&amp;vid=01CRU&amp;lang=en_US&amp;offset=0&amp;query=any,contains,991000746749702656","Catalog Record")</f>
        <v>Catalog Record</v>
      </c>
      <c r="AT214" s="6" t="str">
        <f>HYPERLINK("http://www.worldcat.org/oclc/4493023","WorldCat Record")</f>
        <v>WorldCat Record</v>
      </c>
    </row>
    <row r="215" spans="1:46" ht="30" customHeight="1" x14ac:dyDescent="0.25">
      <c r="A215" s="8" t="s">
        <v>58</v>
      </c>
      <c r="B215" s="2" t="s">
        <v>1721</v>
      </c>
      <c r="C215" s="2" t="s">
        <v>1722</v>
      </c>
      <c r="D215" s="2" t="s">
        <v>1723</v>
      </c>
      <c r="F215" s="3" t="s">
        <v>58</v>
      </c>
      <c r="G215" s="3" t="s">
        <v>59</v>
      </c>
      <c r="H215" s="3" t="s">
        <v>58</v>
      </c>
      <c r="I215" s="3" t="s">
        <v>103</v>
      </c>
      <c r="J215" s="3" t="s">
        <v>60</v>
      </c>
      <c r="K215" s="2" t="s">
        <v>1724</v>
      </c>
      <c r="L215" s="2" t="s">
        <v>1725</v>
      </c>
      <c r="M215" s="3" t="s">
        <v>1311</v>
      </c>
      <c r="N215" s="2" t="s">
        <v>404</v>
      </c>
      <c r="O215" s="3" t="s">
        <v>64</v>
      </c>
      <c r="P215" s="3" t="s">
        <v>133</v>
      </c>
      <c r="R215" s="3" t="s">
        <v>912</v>
      </c>
      <c r="S215" s="4">
        <v>9</v>
      </c>
      <c r="T215" s="4">
        <v>9</v>
      </c>
      <c r="U215" s="5" t="s">
        <v>1726</v>
      </c>
      <c r="V215" s="5" t="s">
        <v>1726</v>
      </c>
      <c r="W215" s="5" t="s">
        <v>1700</v>
      </c>
      <c r="X215" s="5" t="s">
        <v>1700</v>
      </c>
      <c r="Y215" s="4">
        <v>385</v>
      </c>
      <c r="Z215" s="4">
        <v>292</v>
      </c>
      <c r="AA215" s="4">
        <v>664</v>
      </c>
      <c r="AB215" s="4">
        <v>1</v>
      </c>
      <c r="AC215" s="4">
        <v>7</v>
      </c>
      <c r="AD215" s="4">
        <v>9</v>
      </c>
      <c r="AE215" s="4">
        <v>23</v>
      </c>
      <c r="AF215" s="4">
        <v>4</v>
      </c>
      <c r="AG215" s="4">
        <v>8</v>
      </c>
      <c r="AH215" s="4">
        <v>2</v>
      </c>
      <c r="AI215" s="4">
        <v>4</v>
      </c>
      <c r="AJ215" s="4">
        <v>6</v>
      </c>
      <c r="AK215" s="4">
        <v>10</v>
      </c>
      <c r="AL215" s="4">
        <v>0</v>
      </c>
      <c r="AM215" s="4">
        <v>5</v>
      </c>
      <c r="AN215" s="4">
        <v>0</v>
      </c>
      <c r="AO215" s="4">
        <v>0</v>
      </c>
      <c r="AP215" s="3" t="s">
        <v>58</v>
      </c>
      <c r="AQ215" s="3" t="s">
        <v>103</v>
      </c>
      <c r="AR215" s="6" t="str">
        <f>HYPERLINK("http://catalog.hathitrust.org/Record/000254265","HathiTrust Record")</f>
        <v>HathiTrust Record</v>
      </c>
      <c r="AS215" s="6" t="str">
        <f>HYPERLINK("https://creighton-primo.hosted.exlibrisgroup.com/primo-explore/search?tab=default_tab&amp;search_scope=EVERYTHING&amp;vid=01CRU&amp;lang=en_US&amp;offset=0&amp;query=any,contains,991000746799702656","Catalog Record")</f>
        <v>Catalog Record</v>
      </c>
      <c r="AT215" s="6" t="str">
        <f>HYPERLINK("http://www.worldcat.org/oclc/3089933","WorldCat Record")</f>
        <v>WorldCat Record</v>
      </c>
    </row>
    <row r="216" spans="1:46" ht="30" customHeight="1" x14ac:dyDescent="0.25">
      <c r="A216" s="8" t="s">
        <v>58</v>
      </c>
      <c r="B216" s="2" t="s">
        <v>1727</v>
      </c>
      <c r="C216" s="2" t="s">
        <v>1728</v>
      </c>
      <c r="D216" s="2" t="s">
        <v>1729</v>
      </c>
      <c r="F216" s="3" t="s">
        <v>58</v>
      </c>
      <c r="G216" s="3" t="s">
        <v>59</v>
      </c>
      <c r="H216" s="3" t="s">
        <v>58</v>
      </c>
      <c r="I216" s="3" t="s">
        <v>103</v>
      </c>
      <c r="J216" s="3" t="s">
        <v>60</v>
      </c>
      <c r="K216" s="2" t="s">
        <v>1730</v>
      </c>
      <c r="L216" s="2" t="s">
        <v>1017</v>
      </c>
      <c r="M216" s="3" t="s">
        <v>881</v>
      </c>
      <c r="N216" s="2" t="s">
        <v>331</v>
      </c>
      <c r="O216" s="3" t="s">
        <v>64</v>
      </c>
      <c r="P216" s="3" t="s">
        <v>911</v>
      </c>
      <c r="R216" s="3" t="s">
        <v>912</v>
      </c>
      <c r="S216" s="4">
        <v>74</v>
      </c>
      <c r="T216" s="4">
        <v>74</v>
      </c>
      <c r="U216" s="5" t="s">
        <v>1731</v>
      </c>
      <c r="V216" s="5" t="s">
        <v>1731</v>
      </c>
      <c r="W216" s="5" t="s">
        <v>1732</v>
      </c>
      <c r="X216" s="5" t="s">
        <v>1732</v>
      </c>
      <c r="Y216" s="4">
        <v>270</v>
      </c>
      <c r="Z216" s="4">
        <v>174</v>
      </c>
      <c r="AA216" s="4">
        <v>488</v>
      </c>
      <c r="AB216" s="4">
        <v>2</v>
      </c>
      <c r="AC216" s="4">
        <v>4</v>
      </c>
      <c r="AD216" s="4">
        <v>2</v>
      </c>
      <c r="AE216" s="4">
        <v>13</v>
      </c>
      <c r="AF216" s="4">
        <v>0</v>
      </c>
      <c r="AG216" s="4">
        <v>3</v>
      </c>
      <c r="AH216" s="4">
        <v>1</v>
      </c>
      <c r="AI216" s="4">
        <v>4</v>
      </c>
      <c r="AJ216" s="4">
        <v>1</v>
      </c>
      <c r="AK216" s="4">
        <v>6</v>
      </c>
      <c r="AL216" s="4">
        <v>0</v>
      </c>
      <c r="AM216" s="4">
        <v>2</v>
      </c>
      <c r="AN216" s="4">
        <v>0</v>
      </c>
      <c r="AO216" s="4">
        <v>0</v>
      </c>
      <c r="AP216" s="3" t="s">
        <v>58</v>
      </c>
      <c r="AQ216" s="3" t="s">
        <v>103</v>
      </c>
      <c r="AR216" s="6" t="str">
        <f>HYPERLINK("http://catalog.hathitrust.org/Record/001105420","HathiTrust Record")</f>
        <v>HathiTrust Record</v>
      </c>
      <c r="AS216" s="6" t="str">
        <f>HYPERLINK("https://creighton-primo.hosted.exlibrisgroup.com/primo-explore/search?tab=default_tab&amp;search_scope=EVERYTHING&amp;vid=01CRU&amp;lang=en_US&amp;offset=0&amp;query=any,contains,991001368089702656","Catalog Record")</f>
        <v>Catalog Record</v>
      </c>
      <c r="AT216" s="6" t="str">
        <f>HYPERLINK("http://www.worldcat.org/oclc/18351645","WorldCat Record")</f>
        <v>WorldCat Record</v>
      </c>
    </row>
    <row r="217" spans="1:46" ht="30" customHeight="1" x14ac:dyDescent="0.25">
      <c r="A217" s="8" t="s">
        <v>58</v>
      </c>
      <c r="B217" s="2" t="s">
        <v>1733</v>
      </c>
      <c r="C217" s="2" t="s">
        <v>1734</v>
      </c>
      <c r="D217" s="2" t="s">
        <v>1735</v>
      </c>
      <c r="F217" s="3" t="s">
        <v>58</v>
      </c>
      <c r="G217" s="3" t="s">
        <v>59</v>
      </c>
      <c r="H217" s="3" t="s">
        <v>58</v>
      </c>
      <c r="I217" s="3" t="s">
        <v>103</v>
      </c>
      <c r="J217" s="3" t="s">
        <v>60</v>
      </c>
      <c r="K217" s="2" t="s">
        <v>1730</v>
      </c>
      <c r="L217" s="2" t="s">
        <v>1736</v>
      </c>
      <c r="M217" s="3" t="s">
        <v>721</v>
      </c>
      <c r="N217" s="2" t="s">
        <v>1038</v>
      </c>
      <c r="O217" s="3" t="s">
        <v>64</v>
      </c>
      <c r="P217" s="3" t="s">
        <v>315</v>
      </c>
      <c r="R217" s="3" t="s">
        <v>912</v>
      </c>
      <c r="S217" s="4">
        <v>102</v>
      </c>
      <c r="T217" s="4">
        <v>102</v>
      </c>
      <c r="U217" s="5" t="s">
        <v>1737</v>
      </c>
      <c r="V217" s="5" t="s">
        <v>1737</v>
      </c>
      <c r="W217" s="5" t="s">
        <v>1738</v>
      </c>
      <c r="X217" s="5" t="s">
        <v>1738</v>
      </c>
      <c r="Y217" s="4">
        <v>297</v>
      </c>
      <c r="Z217" s="4">
        <v>183</v>
      </c>
      <c r="AA217" s="4">
        <v>488</v>
      </c>
      <c r="AB217" s="4">
        <v>2</v>
      </c>
      <c r="AC217" s="4">
        <v>4</v>
      </c>
      <c r="AD217" s="4">
        <v>7</v>
      </c>
      <c r="AE217" s="4">
        <v>13</v>
      </c>
      <c r="AF217" s="4">
        <v>3</v>
      </c>
      <c r="AG217" s="4">
        <v>3</v>
      </c>
      <c r="AH217" s="4">
        <v>2</v>
      </c>
      <c r="AI217" s="4">
        <v>4</v>
      </c>
      <c r="AJ217" s="4">
        <v>3</v>
      </c>
      <c r="AK217" s="4">
        <v>6</v>
      </c>
      <c r="AL217" s="4">
        <v>1</v>
      </c>
      <c r="AM217" s="4">
        <v>2</v>
      </c>
      <c r="AN217" s="4">
        <v>0</v>
      </c>
      <c r="AO217" s="4">
        <v>0</v>
      </c>
      <c r="AP217" s="3" t="s">
        <v>58</v>
      </c>
      <c r="AQ217" s="3" t="s">
        <v>103</v>
      </c>
      <c r="AR217" s="6" t="str">
        <f>HYPERLINK("http://catalog.hathitrust.org/Record/002932475","HathiTrust Record")</f>
        <v>HathiTrust Record</v>
      </c>
      <c r="AS217" s="6" t="str">
        <f>HYPERLINK("https://creighton-primo.hosted.exlibrisgroup.com/primo-explore/search?tab=default_tab&amp;search_scope=EVERYTHING&amp;vid=01CRU&amp;lang=en_US&amp;offset=0&amp;query=any,contains,991001336009702656","Catalog Record")</f>
        <v>Catalog Record</v>
      </c>
      <c r="AT217" s="6" t="str">
        <f>HYPERLINK("http://www.worldcat.org/oclc/30112653","WorldCat Record")</f>
        <v>WorldCat Record</v>
      </c>
    </row>
    <row r="218" spans="1:46" ht="30" customHeight="1" x14ac:dyDescent="0.25">
      <c r="A218" s="8" t="s">
        <v>58</v>
      </c>
      <c r="B218" s="2" t="s">
        <v>1739</v>
      </c>
      <c r="C218" s="2" t="s">
        <v>1740</v>
      </c>
      <c r="D218" s="2" t="s">
        <v>1741</v>
      </c>
      <c r="F218" s="3" t="s">
        <v>58</v>
      </c>
      <c r="G218" s="3" t="s">
        <v>59</v>
      </c>
      <c r="H218" s="3" t="s">
        <v>58</v>
      </c>
      <c r="I218" s="3" t="s">
        <v>58</v>
      </c>
      <c r="J218" s="3" t="s">
        <v>60</v>
      </c>
      <c r="K218" s="2" t="s">
        <v>1742</v>
      </c>
      <c r="L218" s="2" t="s">
        <v>1743</v>
      </c>
      <c r="M218" s="3" t="s">
        <v>1744</v>
      </c>
      <c r="O218" s="3" t="s">
        <v>64</v>
      </c>
      <c r="P218" s="3" t="s">
        <v>1745</v>
      </c>
      <c r="R218" s="3" t="s">
        <v>912</v>
      </c>
      <c r="S218" s="4">
        <v>40</v>
      </c>
      <c r="T218" s="4">
        <v>40</v>
      </c>
      <c r="U218" s="5" t="s">
        <v>1746</v>
      </c>
      <c r="V218" s="5" t="s">
        <v>1746</v>
      </c>
      <c r="W218" s="5" t="s">
        <v>1747</v>
      </c>
      <c r="X218" s="5" t="s">
        <v>1747</v>
      </c>
      <c r="Y218" s="4">
        <v>29</v>
      </c>
      <c r="Z218" s="4">
        <v>26</v>
      </c>
      <c r="AA218" s="4">
        <v>66</v>
      </c>
      <c r="AB218" s="4">
        <v>1</v>
      </c>
      <c r="AC218" s="4">
        <v>1</v>
      </c>
      <c r="AD218" s="4">
        <v>0</v>
      </c>
      <c r="AE218" s="4">
        <v>0</v>
      </c>
      <c r="AF218" s="4">
        <v>0</v>
      </c>
      <c r="AG218" s="4">
        <v>0</v>
      </c>
      <c r="AH218" s="4">
        <v>0</v>
      </c>
      <c r="AI218" s="4">
        <v>0</v>
      </c>
      <c r="AJ218" s="4">
        <v>0</v>
      </c>
      <c r="AK218" s="4">
        <v>0</v>
      </c>
      <c r="AL218" s="4">
        <v>0</v>
      </c>
      <c r="AM218" s="4">
        <v>0</v>
      </c>
      <c r="AN218" s="4">
        <v>0</v>
      </c>
      <c r="AO218" s="4">
        <v>0</v>
      </c>
      <c r="AP218" s="3" t="s">
        <v>58</v>
      </c>
      <c r="AQ218" s="3" t="s">
        <v>103</v>
      </c>
      <c r="AR218" s="6" t="str">
        <f>HYPERLINK("http://catalog.hathitrust.org/Record/002076130","HathiTrust Record")</f>
        <v>HathiTrust Record</v>
      </c>
      <c r="AS218" s="6" t="str">
        <f>HYPERLINK("https://creighton-primo.hosted.exlibrisgroup.com/primo-explore/search?tab=default_tab&amp;search_scope=EVERYTHING&amp;vid=01CRU&amp;lang=en_US&amp;offset=0&amp;query=any,contains,991000796799702656","Catalog Record")</f>
        <v>Catalog Record</v>
      </c>
      <c r="AT218" s="6" t="str">
        <f>HYPERLINK("http://www.worldcat.org/oclc/3283586","WorldCat Record")</f>
        <v>WorldCat Record</v>
      </c>
    </row>
    <row r="219" spans="1:46" ht="30" customHeight="1" x14ac:dyDescent="0.25">
      <c r="A219" s="8" t="s">
        <v>58</v>
      </c>
      <c r="B219" s="2" t="s">
        <v>1748</v>
      </c>
      <c r="C219" s="2" t="s">
        <v>1749</v>
      </c>
      <c r="D219" s="2" t="s">
        <v>1750</v>
      </c>
      <c r="F219" s="3" t="s">
        <v>58</v>
      </c>
      <c r="G219" s="3" t="s">
        <v>59</v>
      </c>
      <c r="H219" s="3" t="s">
        <v>58</v>
      </c>
      <c r="I219" s="3" t="s">
        <v>103</v>
      </c>
      <c r="J219" s="3" t="s">
        <v>60</v>
      </c>
      <c r="K219" s="2" t="s">
        <v>603</v>
      </c>
      <c r="L219" s="2" t="s">
        <v>1751</v>
      </c>
      <c r="M219" s="3" t="s">
        <v>1187</v>
      </c>
      <c r="N219" s="2" t="s">
        <v>331</v>
      </c>
      <c r="O219" s="3" t="s">
        <v>64</v>
      </c>
      <c r="P219" s="3" t="s">
        <v>605</v>
      </c>
      <c r="R219" s="3" t="s">
        <v>912</v>
      </c>
      <c r="S219" s="4">
        <v>90</v>
      </c>
      <c r="T219" s="4">
        <v>90</v>
      </c>
      <c r="U219" s="5" t="s">
        <v>1752</v>
      </c>
      <c r="V219" s="5" t="s">
        <v>1752</v>
      </c>
      <c r="W219" s="5" t="s">
        <v>1700</v>
      </c>
      <c r="X219" s="5" t="s">
        <v>1700</v>
      </c>
      <c r="Y219" s="4">
        <v>341</v>
      </c>
      <c r="Z219" s="4">
        <v>187</v>
      </c>
      <c r="AA219" s="4">
        <v>295</v>
      </c>
      <c r="AB219" s="4">
        <v>2</v>
      </c>
      <c r="AC219" s="4">
        <v>4</v>
      </c>
      <c r="AD219" s="4">
        <v>4</v>
      </c>
      <c r="AE219" s="4">
        <v>7</v>
      </c>
      <c r="AF219" s="4">
        <v>1</v>
      </c>
      <c r="AG219" s="4">
        <v>2</v>
      </c>
      <c r="AH219" s="4">
        <v>0</v>
      </c>
      <c r="AI219" s="4">
        <v>0</v>
      </c>
      <c r="AJ219" s="4">
        <v>3</v>
      </c>
      <c r="AK219" s="4">
        <v>4</v>
      </c>
      <c r="AL219" s="4">
        <v>1</v>
      </c>
      <c r="AM219" s="4">
        <v>2</v>
      </c>
      <c r="AN219" s="4">
        <v>0</v>
      </c>
      <c r="AO219" s="4">
        <v>0</v>
      </c>
      <c r="AP219" s="3" t="s">
        <v>58</v>
      </c>
      <c r="AQ219" s="3" t="s">
        <v>103</v>
      </c>
      <c r="AR219" s="6" t="str">
        <f>HYPERLINK("http://catalog.hathitrust.org/Record/000822060","HathiTrust Record")</f>
        <v>HathiTrust Record</v>
      </c>
      <c r="AS219" s="6" t="str">
        <f>HYPERLINK("https://creighton-primo.hosted.exlibrisgroup.com/primo-explore/search?tab=default_tab&amp;search_scope=EVERYTHING&amp;vid=01CRU&amp;lang=en_US&amp;offset=0&amp;query=any,contains,991001264509702656","Catalog Record")</f>
        <v>Catalog Record</v>
      </c>
      <c r="AT219" s="6" t="str">
        <f>HYPERLINK("http://www.worldcat.org/oclc/13902596","WorldCat Record")</f>
        <v>WorldCat Record</v>
      </c>
    </row>
    <row r="220" spans="1:46" ht="30" customHeight="1" x14ac:dyDescent="0.25">
      <c r="A220" s="8" t="s">
        <v>58</v>
      </c>
      <c r="B220" s="2" t="s">
        <v>1753</v>
      </c>
      <c r="C220" s="2" t="s">
        <v>1754</v>
      </c>
      <c r="D220" s="2" t="s">
        <v>1566</v>
      </c>
      <c r="F220" s="3" t="s">
        <v>58</v>
      </c>
      <c r="G220" s="3" t="s">
        <v>59</v>
      </c>
      <c r="H220" s="3" t="s">
        <v>58</v>
      </c>
      <c r="I220" s="3" t="s">
        <v>103</v>
      </c>
      <c r="J220" s="3" t="s">
        <v>60</v>
      </c>
      <c r="K220" s="2" t="s">
        <v>1567</v>
      </c>
      <c r="L220" s="2" t="s">
        <v>1755</v>
      </c>
      <c r="M220" s="3" t="s">
        <v>1031</v>
      </c>
      <c r="N220" s="2" t="s">
        <v>934</v>
      </c>
      <c r="O220" s="3" t="s">
        <v>64</v>
      </c>
      <c r="P220" s="3" t="s">
        <v>911</v>
      </c>
      <c r="Q220" s="2" t="s">
        <v>1569</v>
      </c>
      <c r="R220" s="3" t="s">
        <v>912</v>
      </c>
      <c r="S220" s="4">
        <v>11</v>
      </c>
      <c r="T220" s="4">
        <v>11</v>
      </c>
      <c r="U220" s="5" t="s">
        <v>1756</v>
      </c>
      <c r="V220" s="5" t="s">
        <v>1756</v>
      </c>
      <c r="W220" s="5" t="s">
        <v>1541</v>
      </c>
      <c r="X220" s="5" t="s">
        <v>1541</v>
      </c>
      <c r="Y220" s="4">
        <v>95</v>
      </c>
      <c r="Z220" s="4">
        <v>69</v>
      </c>
      <c r="AA220" s="4">
        <v>156</v>
      </c>
      <c r="AB220" s="4">
        <v>1</v>
      </c>
      <c r="AC220" s="4">
        <v>2</v>
      </c>
      <c r="AD220" s="4">
        <v>3</v>
      </c>
      <c r="AE220" s="4">
        <v>5</v>
      </c>
      <c r="AF220" s="4">
        <v>1</v>
      </c>
      <c r="AG220" s="4">
        <v>2</v>
      </c>
      <c r="AH220" s="4">
        <v>1</v>
      </c>
      <c r="AI220" s="4">
        <v>1</v>
      </c>
      <c r="AJ220" s="4">
        <v>2</v>
      </c>
      <c r="AK220" s="4">
        <v>3</v>
      </c>
      <c r="AL220" s="4">
        <v>0</v>
      </c>
      <c r="AM220" s="4">
        <v>1</v>
      </c>
      <c r="AN220" s="4">
        <v>0</v>
      </c>
      <c r="AO220" s="4">
        <v>0</v>
      </c>
      <c r="AP220" s="3" t="s">
        <v>58</v>
      </c>
      <c r="AQ220" s="3" t="s">
        <v>103</v>
      </c>
      <c r="AR220" s="6" t="str">
        <f>HYPERLINK("http://catalog.hathitrust.org/Record/001817909","HathiTrust Record")</f>
        <v>HathiTrust Record</v>
      </c>
      <c r="AS220" s="6" t="str">
        <f>HYPERLINK("https://creighton-primo.hosted.exlibrisgroup.com/primo-explore/search?tab=default_tab&amp;search_scope=EVERYTHING&amp;vid=01CRU&amp;lang=en_US&amp;offset=0&amp;query=any,contains,991001452209702656","Catalog Record")</f>
        <v>Catalog Record</v>
      </c>
      <c r="AT220" s="6" t="str">
        <f>HYPERLINK("http://www.worldcat.org/oclc/19981204","WorldCat Record")</f>
        <v>WorldCat Record</v>
      </c>
    </row>
    <row r="221" spans="1:46" ht="30" customHeight="1" x14ac:dyDescent="0.25">
      <c r="A221" s="8" t="s">
        <v>58</v>
      </c>
      <c r="B221" s="2" t="s">
        <v>1757</v>
      </c>
      <c r="C221" s="2" t="s">
        <v>1758</v>
      </c>
      <c r="D221" s="2" t="s">
        <v>1759</v>
      </c>
      <c r="F221" s="3" t="s">
        <v>58</v>
      </c>
      <c r="G221" s="3" t="s">
        <v>59</v>
      </c>
      <c r="H221" s="3" t="s">
        <v>58</v>
      </c>
      <c r="I221" s="3" t="s">
        <v>58</v>
      </c>
      <c r="J221" s="3" t="s">
        <v>1141</v>
      </c>
      <c r="L221" s="2" t="s">
        <v>1760</v>
      </c>
      <c r="M221" s="3" t="s">
        <v>1114</v>
      </c>
      <c r="O221" s="3" t="s">
        <v>64</v>
      </c>
      <c r="P221" s="3" t="s">
        <v>432</v>
      </c>
      <c r="R221" s="3" t="s">
        <v>912</v>
      </c>
      <c r="S221" s="4">
        <v>0</v>
      </c>
      <c r="T221" s="4">
        <v>0</v>
      </c>
      <c r="U221" s="5" t="s">
        <v>1761</v>
      </c>
      <c r="V221" s="5" t="s">
        <v>1761</v>
      </c>
      <c r="W221" s="5" t="s">
        <v>1761</v>
      </c>
      <c r="X221" s="5" t="s">
        <v>1761</v>
      </c>
      <c r="Y221" s="4">
        <v>151</v>
      </c>
      <c r="Z221" s="4">
        <v>136</v>
      </c>
      <c r="AA221" s="4">
        <v>1555</v>
      </c>
      <c r="AB221" s="4">
        <v>1</v>
      </c>
      <c r="AC221" s="4">
        <v>36</v>
      </c>
      <c r="AD221" s="4">
        <v>2</v>
      </c>
      <c r="AE221" s="4">
        <v>50</v>
      </c>
      <c r="AF221" s="4">
        <v>0</v>
      </c>
      <c r="AG221" s="4">
        <v>14</v>
      </c>
      <c r="AH221" s="4">
        <v>1</v>
      </c>
      <c r="AI221" s="4">
        <v>10</v>
      </c>
      <c r="AJ221" s="4">
        <v>2</v>
      </c>
      <c r="AK221" s="4">
        <v>15</v>
      </c>
      <c r="AL221" s="4">
        <v>0</v>
      </c>
      <c r="AM221" s="4">
        <v>16</v>
      </c>
      <c r="AN221" s="4">
        <v>0</v>
      </c>
      <c r="AO221" s="4">
        <v>2</v>
      </c>
      <c r="AP221" s="3" t="s">
        <v>58</v>
      </c>
      <c r="AQ221" s="3" t="s">
        <v>103</v>
      </c>
      <c r="AR221" s="6" t="str">
        <f>HYPERLINK("http://catalog.hathitrust.org/Record/005033531","HathiTrust Record")</f>
        <v>HathiTrust Record</v>
      </c>
      <c r="AS221" s="6" t="str">
        <f>HYPERLINK("https://creighton-primo.hosted.exlibrisgroup.com/primo-explore/search?tab=default_tab&amp;search_scope=EVERYTHING&amp;vid=01CRU&amp;lang=en_US&amp;offset=0&amp;query=any,contains,991000411089702656","Catalog Record")</f>
        <v>Catalog Record</v>
      </c>
      <c r="AT221" s="6" t="str">
        <f>HYPERLINK("http://www.worldcat.org/oclc/53477927","WorldCat Record")</f>
        <v>WorldCat Record</v>
      </c>
    </row>
    <row r="222" spans="1:46" ht="30" customHeight="1" x14ac:dyDescent="0.25">
      <c r="A222" s="8" t="s">
        <v>58</v>
      </c>
      <c r="B222" s="2" t="s">
        <v>1762</v>
      </c>
      <c r="C222" s="2" t="s">
        <v>1763</v>
      </c>
      <c r="D222" s="2" t="s">
        <v>1764</v>
      </c>
      <c r="F222" s="3" t="s">
        <v>58</v>
      </c>
      <c r="G222" s="3" t="s">
        <v>59</v>
      </c>
      <c r="H222" s="3" t="s">
        <v>58</v>
      </c>
      <c r="I222" s="3" t="s">
        <v>58</v>
      </c>
      <c r="J222" s="3" t="s">
        <v>60</v>
      </c>
      <c r="K222" s="2" t="s">
        <v>1765</v>
      </c>
      <c r="L222" s="2" t="s">
        <v>1766</v>
      </c>
      <c r="M222" s="3" t="s">
        <v>560</v>
      </c>
      <c r="O222" s="3" t="s">
        <v>64</v>
      </c>
      <c r="P222" s="3" t="s">
        <v>605</v>
      </c>
      <c r="R222" s="3" t="s">
        <v>912</v>
      </c>
      <c r="S222" s="4">
        <v>17</v>
      </c>
      <c r="T222" s="4">
        <v>17</v>
      </c>
      <c r="U222" s="5" t="s">
        <v>1767</v>
      </c>
      <c r="V222" s="5" t="s">
        <v>1767</v>
      </c>
      <c r="W222" s="5" t="s">
        <v>1707</v>
      </c>
      <c r="X222" s="5" t="s">
        <v>1707</v>
      </c>
      <c r="Y222" s="4">
        <v>148</v>
      </c>
      <c r="Z222" s="4">
        <v>74</v>
      </c>
      <c r="AA222" s="4">
        <v>75</v>
      </c>
      <c r="AB222" s="4">
        <v>2</v>
      </c>
      <c r="AC222" s="4">
        <v>2</v>
      </c>
      <c r="AD222" s="4">
        <v>2</v>
      </c>
      <c r="AE222" s="4">
        <v>2</v>
      </c>
      <c r="AF222" s="4">
        <v>1</v>
      </c>
      <c r="AG222" s="4">
        <v>1</v>
      </c>
      <c r="AH222" s="4">
        <v>0</v>
      </c>
      <c r="AI222" s="4">
        <v>0</v>
      </c>
      <c r="AJ222" s="4">
        <v>1</v>
      </c>
      <c r="AK222" s="4">
        <v>1</v>
      </c>
      <c r="AL222" s="4">
        <v>1</v>
      </c>
      <c r="AM222" s="4">
        <v>1</v>
      </c>
      <c r="AN222" s="4">
        <v>0</v>
      </c>
      <c r="AO222" s="4">
        <v>0</v>
      </c>
      <c r="AP222" s="3" t="s">
        <v>58</v>
      </c>
      <c r="AQ222" s="3" t="s">
        <v>103</v>
      </c>
      <c r="AR222" s="6" t="str">
        <f>HYPERLINK("http://catalog.hathitrust.org/Record/000433252","HathiTrust Record")</f>
        <v>HathiTrust Record</v>
      </c>
      <c r="AS222" s="6" t="str">
        <f>HYPERLINK("https://creighton-primo.hosted.exlibrisgroup.com/primo-explore/search?tab=default_tab&amp;search_scope=EVERYTHING&amp;vid=01CRU&amp;lang=en_US&amp;offset=0&amp;query=any,contains,991000796829702656","Catalog Record")</f>
        <v>Catalog Record</v>
      </c>
      <c r="AT222" s="6" t="str">
        <f>HYPERLINK("http://www.worldcat.org/oclc/10277454","WorldCat Record")</f>
        <v>WorldCat Record</v>
      </c>
    </row>
    <row r="223" spans="1:46" ht="30" customHeight="1" x14ac:dyDescent="0.25">
      <c r="A223" s="8" t="s">
        <v>58</v>
      </c>
      <c r="B223" s="2" t="s">
        <v>1768</v>
      </c>
      <c r="C223" s="2" t="s">
        <v>1769</v>
      </c>
      <c r="D223" s="2" t="s">
        <v>1770</v>
      </c>
      <c r="F223" s="3" t="s">
        <v>58</v>
      </c>
      <c r="G223" s="3" t="s">
        <v>59</v>
      </c>
      <c r="H223" s="3" t="s">
        <v>58</v>
      </c>
      <c r="I223" s="3" t="s">
        <v>58</v>
      </c>
      <c r="J223" s="3" t="s">
        <v>60</v>
      </c>
      <c r="L223" s="2" t="s">
        <v>1771</v>
      </c>
      <c r="M223" s="3" t="s">
        <v>1031</v>
      </c>
      <c r="N223" s="2" t="s">
        <v>331</v>
      </c>
      <c r="O223" s="3" t="s">
        <v>64</v>
      </c>
      <c r="P223" s="3" t="s">
        <v>605</v>
      </c>
      <c r="R223" s="3" t="s">
        <v>912</v>
      </c>
      <c r="S223" s="4">
        <v>8</v>
      </c>
      <c r="T223" s="4">
        <v>8</v>
      </c>
      <c r="U223" s="5" t="s">
        <v>1772</v>
      </c>
      <c r="V223" s="5" t="s">
        <v>1772</v>
      </c>
      <c r="W223" s="5" t="s">
        <v>1773</v>
      </c>
      <c r="X223" s="5" t="s">
        <v>1773</v>
      </c>
      <c r="Y223" s="4">
        <v>111</v>
      </c>
      <c r="Z223" s="4">
        <v>53</v>
      </c>
      <c r="AA223" s="4">
        <v>96</v>
      </c>
      <c r="AB223" s="4">
        <v>2</v>
      </c>
      <c r="AC223" s="4">
        <v>2</v>
      </c>
      <c r="AD223" s="4">
        <v>0</v>
      </c>
      <c r="AE223" s="4">
        <v>0</v>
      </c>
      <c r="AF223" s="4">
        <v>0</v>
      </c>
      <c r="AG223" s="4">
        <v>0</v>
      </c>
      <c r="AH223" s="4">
        <v>0</v>
      </c>
      <c r="AI223" s="4">
        <v>0</v>
      </c>
      <c r="AJ223" s="4">
        <v>0</v>
      </c>
      <c r="AK223" s="4">
        <v>0</v>
      </c>
      <c r="AL223" s="4">
        <v>0</v>
      </c>
      <c r="AM223" s="4">
        <v>0</v>
      </c>
      <c r="AN223" s="4">
        <v>0</v>
      </c>
      <c r="AO223" s="4">
        <v>0</v>
      </c>
      <c r="AP223" s="3" t="s">
        <v>58</v>
      </c>
      <c r="AQ223" s="3" t="s">
        <v>103</v>
      </c>
      <c r="AR223" s="6" t="str">
        <f>HYPERLINK("http://catalog.hathitrust.org/Record/002424217","HathiTrust Record")</f>
        <v>HathiTrust Record</v>
      </c>
      <c r="AS223" s="6" t="str">
        <f>HYPERLINK("https://creighton-primo.hosted.exlibrisgroup.com/primo-explore/search?tab=default_tab&amp;search_scope=EVERYTHING&amp;vid=01CRU&amp;lang=en_US&amp;offset=0&amp;query=any,contains,991000820679702656","Catalog Record")</f>
        <v>Catalog Record</v>
      </c>
      <c r="AT223" s="6" t="str">
        <f>HYPERLINK("http://www.worldcat.org/oclc/21562488","WorldCat Record")</f>
        <v>WorldCat Record</v>
      </c>
    </row>
    <row r="224" spans="1:46" ht="30" customHeight="1" x14ac:dyDescent="0.25">
      <c r="A224" s="8" t="s">
        <v>58</v>
      </c>
      <c r="B224" s="2" t="s">
        <v>1774</v>
      </c>
      <c r="C224" s="2" t="s">
        <v>1775</v>
      </c>
      <c r="D224" s="2" t="s">
        <v>1776</v>
      </c>
      <c r="F224" s="3" t="s">
        <v>58</v>
      </c>
      <c r="G224" s="3" t="s">
        <v>59</v>
      </c>
      <c r="H224" s="3" t="s">
        <v>58</v>
      </c>
      <c r="I224" s="3" t="s">
        <v>58</v>
      </c>
      <c r="J224" s="3" t="s">
        <v>60</v>
      </c>
      <c r="L224" s="2" t="s">
        <v>1777</v>
      </c>
      <c r="M224" s="3" t="s">
        <v>374</v>
      </c>
      <c r="O224" s="3" t="s">
        <v>64</v>
      </c>
      <c r="P224" s="3" t="s">
        <v>1115</v>
      </c>
      <c r="Q224" s="2" t="s">
        <v>1778</v>
      </c>
      <c r="R224" s="3" t="s">
        <v>912</v>
      </c>
      <c r="S224" s="4">
        <v>22</v>
      </c>
      <c r="T224" s="4">
        <v>22</v>
      </c>
      <c r="U224" s="5" t="s">
        <v>1779</v>
      </c>
      <c r="V224" s="5" t="s">
        <v>1779</v>
      </c>
      <c r="W224" s="5" t="s">
        <v>1780</v>
      </c>
      <c r="X224" s="5" t="s">
        <v>1780</v>
      </c>
      <c r="Y224" s="4">
        <v>216</v>
      </c>
      <c r="Z224" s="4">
        <v>141</v>
      </c>
      <c r="AA224" s="4">
        <v>213</v>
      </c>
      <c r="AB224" s="4">
        <v>1</v>
      </c>
      <c r="AC224" s="4">
        <v>3</v>
      </c>
      <c r="AD224" s="4">
        <v>3</v>
      </c>
      <c r="AE224" s="4">
        <v>7</v>
      </c>
      <c r="AF224" s="4">
        <v>0</v>
      </c>
      <c r="AG224" s="4">
        <v>1</v>
      </c>
      <c r="AH224" s="4">
        <v>0</v>
      </c>
      <c r="AI224" s="4">
        <v>1</v>
      </c>
      <c r="AJ224" s="4">
        <v>3</v>
      </c>
      <c r="AK224" s="4">
        <v>4</v>
      </c>
      <c r="AL224" s="4">
        <v>0</v>
      </c>
      <c r="AM224" s="4">
        <v>2</v>
      </c>
      <c r="AN224" s="4">
        <v>0</v>
      </c>
      <c r="AO224" s="4">
        <v>0</v>
      </c>
      <c r="AP224" s="3" t="s">
        <v>58</v>
      </c>
      <c r="AQ224" s="3" t="s">
        <v>103</v>
      </c>
      <c r="AR224" s="6" t="str">
        <f>HYPERLINK("http://catalog.hathitrust.org/Record/003062801","HathiTrust Record")</f>
        <v>HathiTrust Record</v>
      </c>
      <c r="AS224" s="6" t="str">
        <f>HYPERLINK("https://creighton-primo.hosted.exlibrisgroup.com/primo-explore/search?tab=default_tab&amp;search_scope=EVERYTHING&amp;vid=01CRU&amp;lang=en_US&amp;offset=0&amp;query=any,contains,991001249799702656","Catalog Record")</f>
        <v>Catalog Record</v>
      </c>
      <c r="AT224" s="6" t="str">
        <f>HYPERLINK("http://www.worldcat.org/oclc/34121059","WorldCat Record")</f>
        <v>WorldCat Record</v>
      </c>
    </row>
    <row r="225" spans="1:46" ht="30" customHeight="1" x14ac:dyDescent="0.25">
      <c r="A225" s="8" t="s">
        <v>58</v>
      </c>
      <c r="B225" s="2" t="s">
        <v>1781</v>
      </c>
      <c r="C225" s="2" t="s">
        <v>1782</v>
      </c>
      <c r="D225" s="2" t="s">
        <v>1783</v>
      </c>
      <c r="F225" s="3" t="s">
        <v>58</v>
      </c>
      <c r="G225" s="3" t="s">
        <v>59</v>
      </c>
      <c r="H225" s="3" t="s">
        <v>58</v>
      </c>
      <c r="I225" s="3" t="s">
        <v>58</v>
      </c>
      <c r="J225" s="3" t="s">
        <v>60</v>
      </c>
      <c r="K225" s="2" t="s">
        <v>1784</v>
      </c>
      <c r="L225" s="2" t="s">
        <v>1785</v>
      </c>
      <c r="M225" s="3" t="s">
        <v>1128</v>
      </c>
      <c r="N225" s="2" t="s">
        <v>1038</v>
      </c>
      <c r="O225" s="3" t="s">
        <v>64</v>
      </c>
      <c r="P225" s="3" t="s">
        <v>84</v>
      </c>
      <c r="R225" s="3" t="s">
        <v>912</v>
      </c>
      <c r="S225" s="4">
        <v>8</v>
      </c>
      <c r="T225" s="4">
        <v>8</v>
      </c>
      <c r="U225" s="5" t="s">
        <v>1786</v>
      </c>
      <c r="V225" s="5" t="s">
        <v>1786</v>
      </c>
      <c r="W225" s="5" t="s">
        <v>1787</v>
      </c>
      <c r="X225" s="5" t="s">
        <v>1787</v>
      </c>
      <c r="Y225" s="4">
        <v>140</v>
      </c>
      <c r="Z225" s="4">
        <v>96</v>
      </c>
      <c r="AA225" s="4">
        <v>465</v>
      </c>
      <c r="AB225" s="4">
        <v>1</v>
      </c>
      <c r="AC225" s="4">
        <v>5</v>
      </c>
      <c r="AD225" s="4">
        <v>2</v>
      </c>
      <c r="AE225" s="4">
        <v>15</v>
      </c>
      <c r="AF225" s="4">
        <v>0</v>
      </c>
      <c r="AG225" s="4">
        <v>3</v>
      </c>
      <c r="AH225" s="4">
        <v>1</v>
      </c>
      <c r="AI225" s="4">
        <v>2</v>
      </c>
      <c r="AJ225" s="4">
        <v>2</v>
      </c>
      <c r="AK225" s="4">
        <v>8</v>
      </c>
      <c r="AL225" s="4">
        <v>0</v>
      </c>
      <c r="AM225" s="4">
        <v>4</v>
      </c>
      <c r="AN225" s="4">
        <v>0</v>
      </c>
      <c r="AO225" s="4">
        <v>0</v>
      </c>
      <c r="AP225" s="3" t="s">
        <v>58</v>
      </c>
      <c r="AQ225" s="3" t="s">
        <v>58</v>
      </c>
      <c r="AS225" s="6" t="str">
        <f>HYPERLINK("https://creighton-primo.hosted.exlibrisgroup.com/primo-explore/search?tab=default_tab&amp;search_scope=EVERYTHING&amp;vid=01CRU&amp;lang=en_US&amp;offset=0&amp;query=any,contains,991001443209702656","Catalog Record")</f>
        <v>Catalog Record</v>
      </c>
      <c r="AT225" s="6" t="str">
        <f>HYPERLINK("http://www.worldcat.org/oclc/40347296","WorldCat Record")</f>
        <v>WorldCat Record</v>
      </c>
    </row>
    <row r="226" spans="1:46" ht="30" customHeight="1" x14ac:dyDescent="0.25">
      <c r="A226" s="8" t="s">
        <v>58</v>
      </c>
      <c r="B226" s="2" t="s">
        <v>1788</v>
      </c>
      <c r="C226" s="2" t="s">
        <v>1789</v>
      </c>
      <c r="D226" s="2" t="s">
        <v>1790</v>
      </c>
      <c r="F226" s="3" t="s">
        <v>58</v>
      </c>
      <c r="G226" s="3" t="s">
        <v>59</v>
      </c>
      <c r="H226" s="3" t="s">
        <v>58</v>
      </c>
      <c r="I226" s="3" t="s">
        <v>58</v>
      </c>
      <c r="J226" s="3" t="s">
        <v>60</v>
      </c>
      <c r="L226" s="2" t="s">
        <v>1791</v>
      </c>
      <c r="M226" s="3" t="s">
        <v>766</v>
      </c>
      <c r="O226" s="3" t="s">
        <v>64</v>
      </c>
      <c r="P226" s="3" t="s">
        <v>1115</v>
      </c>
      <c r="Q226" s="2" t="s">
        <v>1792</v>
      </c>
      <c r="R226" s="3" t="s">
        <v>912</v>
      </c>
      <c r="S226" s="4">
        <v>12</v>
      </c>
      <c r="T226" s="4">
        <v>12</v>
      </c>
      <c r="U226" s="5" t="s">
        <v>1793</v>
      </c>
      <c r="V226" s="5" t="s">
        <v>1793</v>
      </c>
      <c r="W226" s="5" t="s">
        <v>1794</v>
      </c>
      <c r="X226" s="5" t="s">
        <v>1794</v>
      </c>
      <c r="Y226" s="4">
        <v>182</v>
      </c>
      <c r="Z226" s="4">
        <v>107</v>
      </c>
      <c r="AA226" s="4">
        <v>180</v>
      </c>
      <c r="AB226" s="4">
        <v>1</v>
      </c>
      <c r="AC226" s="4">
        <v>3</v>
      </c>
      <c r="AD226" s="4">
        <v>1</v>
      </c>
      <c r="AE226" s="4">
        <v>5</v>
      </c>
      <c r="AF226" s="4">
        <v>0</v>
      </c>
      <c r="AG226" s="4">
        <v>1</v>
      </c>
      <c r="AH226" s="4">
        <v>0</v>
      </c>
      <c r="AI226" s="4">
        <v>1</v>
      </c>
      <c r="AJ226" s="4">
        <v>1</v>
      </c>
      <c r="AK226" s="4">
        <v>2</v>
      </c>
      <c r="AL226" s="4">
        <v>0</v>
      </c>
      <c r="AM226" s="4">
        <v>2</v>
      </c>
      <c r="AN226" s="4">
        <v>0</v>
      </c>
      <c r="AO226" s="4">
        <v>0</v>
      </c>
      <c r="AP226" s="3" t="s">
        <v>58</v>
      </c>
      <c r="AQ226" s="3" t="s">
        <v>58</v>
      </c>
      <c r="AS226" s="6" t="str">
        <f>HYPERLINK("https://creighton-primo.hosted.exlibrisgroup.com/primo-explore/search?tab=default_tab&amp;search_scope=EVERYTHING&amp;vid=01CRU&amp;lang=en_US&amp;offset=0&amp;query=any,contains,991001160659702656","Catalog Record")</f>
        <v>Catalog Record</v>
      </c>
      <c r="AT226" s="6" t="str">
        <f>HYPERLINK("http://www.worldcat.org/oclc/25592156","WorldCat Record")</f>
        <v>WorldCat Record</v>
      </c>
    </row>
    <row r="227" spans="1:46" ht="30" customHeight="1" x14ac:dyDescent="0.25">
      <c r="A227" s="8" t="s">
        <v>58</v>
      </c>
      <c r="B227" s="2" t="s">
        <v>1795</v>
      </c>
      <c r="C227" s="2" t="s">
        <v>1796</v>
      </c>
      <c r="D227" s="2" t="s">
        <v>1797</v>
      </c>
      <c r="F227" s="3" t="s">
        <v>58</v>
      </c>
      <c r="G227" s="3" t="s">
        <v>59</v>
      </c>
      <c r="H227" s="3" t="s">
        <v>58</v>
      </c>
      <c r="I227" s="3" t="s">
        <v>58</v>
      </c>
      <c r="J227" s="3" t="s">
        <v>60</v>
      </c>
      <c r="L227" s="2" t="s">
        <v>1798</v>
      </c>
      <c r="M227" s="3" t="s">
        <v>359</v>
      </c>
      <c r="O227" s="3" t="s">
        <v>64</v>
      </c>
      <c r="P227" s="3" t="s">
        <v>84</v>
      </c>
      <c r="R227" s="3" t="s">
        <v>912</v>
      </c>
      <c r="S227" s="4">
        <v>5</v>
      </c>
      <c r="T227" s="4">
        <v>5</v>
      </c>
      <c r="U227" s="5" t="s">
        <v>561</v>
      </c>
      <c r="V227" s="5" t="s">
        <v>561</v>
      </c>
      <c r="W227" s="5" t="s">
        <v>1313</v>
      </c>
      <c r="X227" s="5" t="s">
        <v>1313</v>
      </c>
      <c r="Y227" s="4">
        <v>122</v>
      </c>
      <c r="Z227" s="4">
        <v>92</v>
      </c>
      <c r="AA227" s="4">
        <v>139</v>
      </c>
      <c r="AB227" s="4">
        <v>1</v>
      </c>
      <c r="AC227" s="4">
        <v>2</v>
      </c>
      <c r="AD227" s="4">
        <v>3</v>
      </c>
      <c r="AE227" s="4">
        <v>7</v>
      </c>
      <c r="AF227" s="4">
        <v>0</v>
      </c>
      <c r="AG227" s="4">
        <v>2</v>
      </c>
      <c r="AH227" s="4">
        <v>2</v>
      </c>
      <c r="AI227" s="4">
        <v>4</v>
      </c>
      <c r="AJ227" s="4">
        <v>2</v>
      </c>
      <c r="AK227" s="4">
        <v>2</v>
      </c>
      <c r="AL227" s="4">
        <v>0</v>
      </c>
      <c r="AM227" s="4">
        <v>1</v>
      </c>
      <c r="AN227" s="4">
        <v>0</v>
      </c>
      <c r="AO227" s="4">
        <v>0</v>
      </c>
      <c r="AP227" s="3" t="s">
        <v>58</v>
      </c>
      <c r="AQ227" s="3" t="s">
        <v>103</v>
      </c>
      <c r="AR227" s="6" t="str">
        <f>HYPERLINK("http://catalog.hathitrust.org/Record/000462523","HathiTrust Record")</f>
        <v>HathiTrust Record</v>
      </c>
      <c r="AS227" s="6" t="str">
        <f>HYPERLINK("https://creighton-primo.hosted.exlibrisgroup.com/primo-explore/search?tab=default_tab&amp;search_scope=EVERYTHING&amp;vid=01CRU&amp;lang=en_US&amp;offset=0&amp;query=any,contains,991000797029702656","Catalog Record")</f>
        <v>Catalog Record</v>
      </c>
      <c r="AT227" s="6" t="str">
        <f>HYPERLINK("http://www.worldcat.org/oclc/11185964","WorldCat Record")</f>
        <v>WorldCat Record</v>
      </c>
    </row>
    <row r="228" spans="1:46" ht="30" customHeight="1" x14ac:dyDescent="0.25">
      <c r="A228" s="8" t="s">
        <v>58</v>
      </c>
      <c r="B228" s="2" t="s">
        <v>1799</v>
      </c>
      <c r="C228" s="2" t="s">
        <v>1800</v>
      </c>
      <c r="D228" s="2" t="s">
        <v>1801</v>
      </c>
      <c r="F228" s="3" t="s">
        <v>58</v>
      </c>
      <c r="G228" s="3" t="s">
        <v>59</v>
      </c>
      <c r="H228" s="3" t="s">
        <v>58</v>
      </c>
      <c r="I228" s="3" t="s">
        <v>58</v>
      </c>
      <c r="J228" s="3" t="s">
        <v>60</v>
      </c>
      <c r="L228" s="2" t="s">
        <v>1802</v>
      </c>
      <c r="M228" s="3" t="s">
        <v>560</v>
      </c>
      <c r="O228" s="3" t="s">
        <v>64</v>
      </c>
      <c r="P228" s="3" t="s">
        <v>911</v>
      </c>
      <c r="R228" s="3" t="s">
        <v>912</v>
      </c>
      <c r="S228" s="4">
        <v>31</v>
      </c>
      <c r="T228" s="4">
        <v>31</v>
      </c>
      <c r="U228" s="5" t="s">
        <v>1803</v>
      </c>
      <c r="V228" s="5" t="s">
        <v>1803</v>
      </c>
      <c r="W228" s="5" t="s">
        <v>1313</v>
      </c>
      <c r="X228" s="5" t="s">
        <v>1313</v>
      </c>
      <c r="Y228" s="4">
        <v>259</v>
      </c>
      <c r="Z228" s="4">
        <v>193</v>
      </c>
      <c r="AA228" s="4">
        <v>195</v>
      </c>
      <c r="AB228" s="4">
        <v>2</v>
      </c>
      <c r="AC228" s="4">
        <v>2</v>
      </c>
      <c r="AD228" s="4">
        <v>4</v>
      </c>
      <c r="AE228" s="4">
        <v>4</v>
      </c>
      <c r="AF228" s="4">
        <v>0</v>
      </c>
      <c r="AG228" s="4">
        <v>0</v>
      </c>
      <c r="AH228" s="4">
        <v>1</v>
      </c>
      <c r="AI228" s="4">
        <v>1</v>
      </c>
      <c r="AJ228" s="4">
        <v>2</v>
      </c>
      <c r="AK228" s="4">
        <v>2</v>
      </c>
      <c r="AL228" s="4">
        <v>1</v>
      </c>
      <c r="AM228" s="4">
        <v>1</v>
      </c>
      <c r="AN228" s="4">
        <v>0</v>
      </c>
      <c r="AO228" s="4">
        <v>0</v>
      </c>
      <c r="AP228" s="3" t="s">
        <v>58</v>
      </c>
      <c r="AQ228" s="3" t="s">
        <v>103</v>
      </c>
      <c r="AR228" s="6" t="str">
        <f>HYPERLINK("http://catalog.hathitrust.org/Record/000247226","HathiTrust Record")</f>
        <v>HathiTrust Record</v>
      </c>
      <c r="AS228" s="6" t="str">
        <f>HYPERLINK("https://creighton-primo.hosted.exlibrisgroup.com/primo-explore/search?tab=default_tab&amp;search_scope=EVERYTHING&amp;vid=01CRU&amp;lang=en_US&amp;offset=0&amp;query=any,contains,991000797139702656","Catalog Record")</f>
        <v>Catalog Record</v>
      </c>
      <c r="AT228" s="6" t="str">
        <f>HYPERLINK("http://www.worldcat.org/oclc/10071369","WorldCat Record")</f>
        <v>WorldCat Record</v>
      </c>
    </row>
    <row r="229" spans="1:46" ht="30" customHeight="1" x14ac:dyDescent="0.25">
      <c r="A229" s="8" t="s">
        <v>58</v>
      </c>
      <c r="B229" s="2" t="s">
        <v>1804</v>
      </c>
      <c r="C229" s="2" t="s">
        <v>1805</v>
      </c>
      <c r="D229" s="2" t="s">
        <v>1806</v>
      </c>
      <c r="F229" s="3" t="s">
        <v>58</v>
      </c>
      <c r="G229" s="3" t="s">
        <v>59</v>
      </c>
      <c r="H229" s="3" t="s">
        <v>58</v>
      </c>
      <c r="I229" s="3" t="s">
        <v>58</v>
      </c>
      <c r="J229" s="3" t="s">
        <v>60</v>
      </c>
      <c r="L229" s="2" t="s">
        <v>1807</v>
      </c>
      <c r="M229" s="3" t="s">
        <v>313</v>
      </c>
      <c r="O229" s="3" t="s">
        <v>64</v>
      </c>
      <c r="P229" s="3" t="s">
        <v>1548</v>
      </c>
      <c r="Q229" s="2" t="s">
        <v>1808</v>
      </c>
      <c r="R229" s="3" t="s">
        <v>912</v>
      </c>
      <c r="S229" s="4">
        <v>6</v>
      </c>
      <c r="T229" s="4">
        <v>6</v>
      </c>
      <c r="U229" s="5" t="s">
        <v>1809</v>
      </c>
      <c r="V229" s="5" t="s">
        <v>1809</v>
      </c>
      <c r="W229" s="5" t="s">
        <v>1810</v>
      </c>
      <c r="X229" s="5" t="s">
        <v>1810</v>
      </c>
      <c r="Y229" s="4">
        <v>236</v>
      </c>
      <c r="Z229" s="4">
        <v>189</v>
      </c>
      <c r="AA229" s="4">
        <v>238</v>
      </c>
      <c r="AB229" s="4">
        <v>3</v>
      </c>
      <c r="AC229" s="4">
        <v>3</v>
      </c>
      <c r="AD229" s="4">
        <v>8</v>
      </c>
      <c r="AE229" s="4">
        <v>11</v>
      </c>
      <c r="AF229" s="4">
        <v>1</v>
      </c>
      <c r="AG229" s="4">
        <v>3</v>
      </c>
      <c r="AH229" s="4">
        <v>2</v>
      </c>
      <c r="AI229" s="4">
        <v>4</v>
      </c>
      <c r="AJ229" s="4">
        <v>5</v>
      </c>
      <c r="AK229" s="4">
        <v>5</v>
      </c>
      <c r="AL229" s="4">
        <v>2</v>
      </c>
      <c r="AM229" s="4">
        <v>2</v>
      </c>
      <c r="AN229" s="4">
        <v>0</v>
      </c>
      <c r="AO229" s="4">
        <v>0</v>
      </c>
      <c r="AP229" s="3" t="s">
        <v>58</v>
      </c>
      <c r="AQ229" s="3" t="s">
        <v>103</v>
      </c>
      <c r="AR229" s="6" t="str">
        <f>HYPERLINK("http://catalog.hathitrust.org/Record/000481067","HathiTrust Record")</f>
        <v>HathiTrust Record</v>
      </c>
      <c r="AS229" s="6" t="str">
        <f>HYPERLINK("https://creighton-primo.hosted.exlibrisgroup.com/primo-explore/search?tab=default_tab&amp;search_scope=EVERYTHING&amp;vid=01CRU&amp;lang=en_US&amp;offset=0&amp;query=any,contains,991000797169702656","Catalog Record")</f>
        <v>Catalog Record</v>
      </c>
      <c r="AT229" s="6" t="str">
        <f>HYPERLINK("http://www.worldcat.org/oclc/13329096","WorldCat Record")</f>
        <v>WorldCat Record</v>
      </c>
    </row>
    <row r="230" spans="1:46" ht="30" customHeight="1" x14ac:dyDescent="0.25">
      <c r="A230" s="8" t="s">
        <v>58</v>
      </c>
      <c r="B230" s="2" t="s">
        <v>1811</v>
      </c>
      <c r="C230" s="2" t="s">
        <v>1812</v>
      </c>
      <c r="D230" s="2" t="s">
        <v>1813</v>
      </c>
      <c r="E230" s="3" t="s">
        <v>697</v>
      </c>
      <c r="F230" s="3" t="s">
        <v>103</v>
      </c>
      <c r="G230" s="3" t="s">
        <v>59</v>
      </c>
      <c r="H230" s="3" t="s">
        <v>58</v>
      </c>
      <c r="I230" s="3" t="s">
        <v>58</v>
      </c>
      <c r="J230" s="3" t="s">
        <v>60</v>
      </c>
      <c r="L230" s="2" t="s">
        <v>1814</v>
      </c>
      <c r="M230" s="3" t="s">
        <v>706</v>
      </c>
      <c r="O230" s="3" t="s">
        <v>64</v>
      </c>
      <c r="P230" s="3" t="s">
        <v>911</v>
      </c>
      <c r="R230" s="3" t="s">
        <v>912</v>
      </c>
      <c r="S230" s="4">
        <v>2</v>
      </c>
      <c r="T230" s="4">
        <v>8</v>
      </c>
      <c r="U230" s="5" t="s">
        <v>1815</v>
      </c>
      <c r="V230" s="5" t="s">
        <v>1816</v>
      </c>
      <c r="W230" s="5" t="s">
        <v>1817</v>
      </c>
      <c r="X230" s="5" t="s">
        <v>1817</v>
      </c>
      <c r="Y230" s="4">
        <v>179</v>
      </c>
      <c r="Z230" s="4">
        <v>146</v>
      </c>
      <c r="AA230" s="4">
        <v>148</v>
      </c>
      <c r="AB230" s="4">
        <v>2</v>
      </c>
      <c r="AC230" s="4">
        <v>2</v>
      </c>
      <c r="AD230" s="4">
        <v>5</v>
      </c>
      <c r="AE230" s="4">
        <v>5</v>
      </c>
      <c r="AF230" s="4">
        <v>0</v>
      </c>
      <c r="AG230" s="4">
        <v>0</v>
      </c>
      <c r="AH230" s="4">
        <v>1</v>
      </c>
      <c r="AI230" s="4">
        <v>1</v>
      </c>
      <c r="AJ230" s="4">
        <v>3</v>
      </c>
      <c r="AK230" s="4">
        <v>3</v>
      </c>
      <c r="AL230" s="4">
        <v>1</v>
      </c>
      <c r="AM230" s="4">
        <v>1</v>
      </c>
      <c r="AN230" s="4">
        <v>0</v>
      </c>
      <c r="AO230" s="4">
        <v>0</v>
      </c>
      <c r="AP230" s="3" t="s">
        <v>58</v>
      </c>
      <c r="AQ230" s="3" t="s">
        <v>58</v>
      </c>
      <c r="AS230" s="6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T230" s="6" t="str">
        <f>HYPERLINK("http://www.worldcat.org/oclc/16985819","WorldCat Record")</f>
        <v>WorldCat Record</v>
      </c>
    </row>
    <row r="231" spans="1:46" ht="30" customHeight="1" x14ac:dyDescent="0.25">
      <c r="A231" s="8" t="s">
        <v>58</v>
      </c>
      <c r="B231" s="2" t="s">
        <v>1811</v>
      </c>
      <c r="C231" s="2" t="s">
        <v>1812</v>
      </c>
      <c r="D231" s="2" t="s">
        <v>1813</v>
      </c>
      <c r="E231" s="3" t="s">
        <v>685</v>
      </c>
      <c r="F231" s="3" t="s">
        <v>103</v>
      </c>
      <c r="G231" s="3" t="s">
        <v>59</v>
      </c>
      <c r="H231" s="3" t="s">
        <v>58</v>
      </c>
      <c r="I231" s="3" t="s">
        <v>58</v>
      </c>
      <c r="J231" s="3" t="s">
        <v>60</v>
      </c>
      <c r="L231" s="2" t="s">
        <v>1814</v>
      </c>
      <c r="M231" s="3" t="s">
        <v>706</v>
      </c>
      <c r="O231" s="3" t="s">
        <v>64</v>
      </c>
      <c r="P231" s="3" t="s">
        <v>911</v>
      </c>
      <c r="R231" s="3" t="s">
        <v>912</v>
      </c>
      <c r="S231" s="4">
        <v>3</v>
      </c>
      <c r="T231" s="4">
        <v>8</v>
      </c>
      <c r="U231" s="5" t="s">
        <v>1816</v>
      </c>
      <c r="V231" s="5" t="s">
        <v>1816</v>
      </c>
      <c r="W231" s="5" t="s">
        <v>1817</v>
      </c>
      <c r="X231" s="5" t="s">
        <v>1817</v>
      </c>
      <c r="Y231" s="4">
        <v>179</v>
      </c>
      <c r="Z231" s="4">
        <v>146</v>
      </c>
      <c r="AA231" s="4">
        <v>148</v>
      </c>
      <c r="AB231" s="4">
        <v>2</v>
      </c>
      <c r="AC231" s="4">
        <v>2</v>
      </c>
      <c r="AD231" s="4">
        <v>5</v>
      </c>
      <c r="AE231" s="4">
        <v>5</v>
      </c>
      <c r="AF231" s="4">
        <v>0</v>
      </c>
      <c r="AG231" s="4">
        <v>0</v>
      </c>
      <c r="AH231" s="4">
        <v>1</v>
      </c>
      <c r="AI231" s="4">
        <v>1</v>
      </c>
      <c r="AJ231" s="4">
        <v>3</v>
      </c>
      <c r="AK231" s="4">
        <v>3</v>
      </c>
      <c r="AL231" s="4">
        <v>1</v>
      </c>
      <c r="AM231" s="4">
        <v>1</v>
      </c>
      <c r="AN231" s="4">
        <v>0</v>
      </c>
      <c r="AO231" s="4">
        <v>0</v>
      </c>
      <c r="AP231" s="3" t="s">
        <v>58</v>
      </c>
      <c r="AQ231" s="3" t="s">
        <v>58</v>
      </c>
      <c r="AS231" s="6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T231" s="6" t="str">
        <f>HYPERLINK("http://www.worldcat.org/oclc/16985819","WorldCat Record")</f>
        <v>WorldCat Record</v>
      </c>
    </row>
    <row r="232" spans="1:46" ht="30" customHeight="1" x14ac:dyDescent="0.25">
      <c r="A232" s="8" t="s">
        <v>58</v>
      </c>
      <c r="B232" s="2" t="s">
        <v>1811</v>
      </c>
      <c r="C232" s="2" t="s">
        <v>1812</v>
      </c>
      <c r="D232" s="2" t="s">
        <v>1813</v>
      </c>
      <c r="E232" s="3" t="s">
        <v>1333</v>
      </c>
      <c r="F232" s="3" t="s">
        <v>103</v>
      </c>
      <c r="G232" s="3" t="s">
        <v>59</v>
      </c>
      <c r="H232" s="3" t="s">
        <v>58</v>
      </c>
      <c r="I232" s="3" t="s">
        <v>58</v>
      </c>
      <c r="J232" s="3" t="s">
        <v>60</v>
      </c>
      <c r="L232" s="2" t="s">
        <v>1814</v>
      </c>
      <c r="M232" s="3" t="s">
        <v>706</v>
      </c>
      <c r="O232" s="3" t="s">
        <v>64</v>
      </c>
      <c r="P232" s="3" t="s">
        <v>911</v>
      </c>
      <c r="R232" s="3" t="s">
        <v>912</v>
      </c>
      <c r="S232" s="4">
        <v>3</v>
      </c>
      <c r="T232" s="4">
        <v>8</v>
      </c>
      <c r="U232" s="5" t="s">
        <v>1818</v>
      </c>
      <c r="V232" s="5" t="s">
        <v>1816</v>
      </c>
      <c r="W232" s="5" t="s">
        <v>1817</v>
      </c>
      <c r="X232" s="5" t="s">
        <v>1817</v>
      </c>
      <c r="Y232" s="4">
        <v>179</v>
      </c>
      <c r="Z232" s="4">
        <v>146</v>
      </c>
      <c r="AA232" s="4">
        <v>148</v>
      </c>
      <c r="AB232" s="4">
        <v>2</v>
      </c>
      <c r="AC232" s="4">
        <v>2</v>
      </c>
      <c r="AD232" s="4">
        <v>5</v>
      </c>
      <c r="AE232" s="4">
        <v>5</v>
      </c>
      <c r="AF232" s="4">
        <v>0</v>
      </c>
      <c r="AG232" s="4">
        <v>0</v>
      </c>
      <c r="AH232" s="4">
        <v>1</v>
      </c>
      <c r="AI232" s="4">
        <v>1</v>
      </c>
      <c r="AJ232" s="4">
        <v>3</v>
      </c>
      <c r="AK232" s="4">
        <v>3</v>
      </c>
      <c r="AL232" s="4">
        <v>1</v>
      </c>
      <c r="AM232" s="4">
        <v>1</v>
      </c>
      <c r="AN232" s="4">
        <v>0</v>
      </c>
      <c r="AO232" s="4">
        <v>0</v>
      </c>
      <c r="AP232" s="3" t="s">
        <v>58</v>
      </c>
      <c r="AQ232" s="3" t="s">
        <v>58</v>
      </c>
      <c r="AS232" s="6" t="str">
        <f>HYPERLINK("https://creighton-primo.hosted.exlibrisgroup.com/primo-explore/search?tab=default_tab&amp;search_scope=EVERYTHING&amp;vid=01CRU&amp;lang=en_US&amp;offset=0&amp;query=any,contains,991001117469702656","Catalog Record")</f>
        <v>Catalog Record</v>
      </c>
      <c r="AT232" s="6" t="str">
        <f>HYPERLINK("http://www.worldcat.org/oclc/16985819","WorldCat Record")</f>
        <v>WorldCat Record</v>
      </c>
    </row>
    <row r="233" spans="1:46" ht="30" customHeight="1" x14ac:dyDescent="0.25">
      <c r="A233" s="8" t="s">
        <v>58</v>
      </c>
      <c r="B233" s="2" t="s">
        <v>1819</v>
      </c>
      <c r="C233" s="2" t="s">
        <v>1820</v>
      </c>
      <c r="D233" s="2" t="s">
        <v>1821</v>
      </c>
      <c r="F233" s="3" t="s">
        <v>58</v>
      </c>
      <c r="G233" s="3" t="s">
        <v>59</v>
      </c>
      <c r="H233" s="3" t="s">
        <v>58</v>
      </c>
      <c r="I233" s="3" t="s">
        <v>58</v>
      </c>
      <c r="J233" s="3" t="s">
        <v>60</v>
      </c>
      <c r="L233" s="2" t="s">
        <v>1822</v>
      </c>
      <c r="M233" s="3" t="s">
        <v>941</v>
      </c>
      <c r="O233" s="3" t="s">
        <v>64</v>
      </c>
      <c r="P233" s="3" t="s">
        <v>1548</v>
      </c>
      <c r="R233" s="3" t="s">
        <v>912</v>
      </c>
      <c r="S233" s="4">
        <v>1</v>
      </c>
      <c r="T233" s="4">
        <v>1</v>
      </c>
      <c r="U233" s="5" t="s">
        <v>1823</v>
      </c>
      <c r="V233" s="5" t="s">
        <v>1823</v>
      </c>
      <c r="W233" s="5" t="s">
        <v>1823</v>
      </c>
      <c r="X233" s="5" t="s">
        <v>1823</v>
      </c>
      <c r="Y233" s="4">
        <v>98</v>
      </c>
      <c r="Z233" s="4">
        <v>67</v>
      </c>
      <c r="AA233" s="4">
        <v>95</v>
      </c>
      <c r="AB233" s="4">
        <v>2</v>
      </c>
      <c r="AC233" s="4">
        <v>2</v>
      </c>
      <c r="AD233" s="4">
        <v>3</v>
      </c>
      <c r="AE233" s="4">
        <v>3</v>
      </c>
      <c r="AF233" s="4">
        <v>1</v>
      </c>
      <c r="AG233" s="4">
        <v>1</v>
      </c>
      <c r="AH233" s="4">
        <v>1</v>
      </c>
      <c r="AI233" s="4">
        <v>1</v>
      </c>
      <c r="AJ233" s="4">
        <v>0</v>
      </c>
      <c r="AK233" s="4">
        <v>0</v>
      </c>
      <c r="AL233" s="4">
        <v>1</v>
      </c>
      <c r="AM233" s="4">
        <v>1</v>
      </c>
      <c r="AN233" s="4">
        <v>0</v>
      </c>
      <c r="AO233" s="4">
        <v>0</v>
      </c>
      <c r="AP233" s="3" t="s">
        <v>58</v>
      </c>
      <c r="AQ233" s="3" t="s">
        <v>58</v>
      </c>
      <c r="AS233" s="6" t="str">
        <f>HYPERLINK("https://creighton-primo.hosted.exlibrisgroup.com/primo-explore/search?tab=default_tab&amp;search_scope=EVERYTHING&amp;vid=01CRU&amp;lang=en_US&amp;offset=0&amp;query=any,contains,991000594689702656","Catalog Record")</f>
        <v>Catalog Record</v>
      </c>
      <c r="AT233" s="6" t="str">
        <f>HYPERLINK("http://www.worldcat.org/oclc/60551482","WorldCat Record")</f>
        <v>WorldCat Record</v>
      </c>
    </row>
    <row r="234" spans="1:46" ht="30" customHeight="1" x14ac:dyDescent="0.25">
      <c r="A234" s="8" t="s">
        <v>58</v>
      </c>
      <c r="B234" s="2" t="s">
        <v>1824</v>
      </c>
      <c r="C234" s="2" t="s">
        <v>1825</v>
      </c>
      <c r="D234" s="2" t="s">
        <v>1826</v>
      </c>
      <c r="F234" s="3" t="s">
        <v>58</v>
      </c>
      <c r="G234" s="3" t="s">
        <v>59</v>
      </c>
      <c r="H234" s="3" t="s">
        <v>58</v>
      </c>
      <c r="I234" s="3" t="s">
        <v>58</v>
      </c>
      <c r="J234" s="3" t="s">
        <v>60</v>
      </c>
      <c r="K234" s="2" t="s">
        <v>1827</v>
      </c>
      <c r="L234" s="2" t="s">
        <v>1828</v>
      </c>
      <c r="M234" s="3" t="s">
        <v>474</v>
      </c>
      <c r="O234" s="3" t="s">
        <v>64</v>
      </c>
      <c r="P234" s="3" t="s">
        <v>911</v>
      </c>
      <c r="Q234" s="2" t="s">
        <v>1829</v>
      </c>
      <c r="R234" s="3" t="s">
        <v>912</v>
      </c>
      <c r="S234" s="4">
        <v>3</v>
      </c>
      <c r="T234" s="4">
        <v>3</v>
      </c>
      <c r="U234" s="5" t="s">
        <v>1830</v>
      </c>
      <c r="V234" s="5" t="s">
        <v>1830</v>
      </c>
      <c r="W234" s="5" t="s">
        <v>1831</v>
      </c>
      <c r="X234" s="5" t="s">
        <v>1831</v>
      </c>
      <c r="Y234" s="4">
        <v>97</v>
      </c>
      <c r="Z234" s="4">
        <v>68</v>
      </c>
      <c r="AA234" s="4">
        <v>111</v>
      </c>
      <c r="AB234" s="4">
        <v>1</v>
      </c>
      <c r="AC234" s="4">
        <v>1</v>
      </c>
      <c r="AD234" s="4">
        <v>0</v>
      </c>
      <c r="AE234" s="4">
        <v>1</v>
      </c>
      <c r="AF234" s="4">
        <v>0</v>
      </c>
      <c r="AG234" s="4">
        <v>1</v>
      </c>
      <c r="AH234" s="4">
        <v>0</v>
      </c>
      <c r="AI234" s="4">
        <v>0</v>
      </c>
      <c r="AJ234" s="4">
        <v>0</v>
      </c>
      <c r="AK234" s="4">
        <v>1</v>
      </c>
      <c r="AL234" s="4">
        <v>0</v>
      </c>
      <c r="AM234" s="4">
        <v>0</v>
      </c>
      <c r="AN234" s="4">
        <v>0</v>
      </c>
      <c r="AO234" s="4">
        <v>0</v>
      </c>
      <c r="AP234" s="3" t="s">
        <v>58</v>
      </c>
      <c r="AQ234" s="3" t="s">
        <v>103</v>
      </c>
      <c r="AR234" s="6" t="str">
        <f>HYPERLINK("http://catalog.hathitrust.org/Record/002505660","HathiTrust Record")</f>
        <v>HathiTrust Record</v>
      </c>
      <c r="AS234" s="6" t="str">
        <f>HYPERLINK("https://creighton-primo.hosted.exlibrisgroup.com/primo-explore/search?tab=default_tab&amp;search_scope=EVERYTHING&amp;vid=01CRU&amp;lang=en_US&amp;offset=0&amp;query=any,contains,991001026309702656","Catalog Record")</f>
        <v>Catalog Record</v>
      </c>
      <c r="AT234" s="6" t="str">
        <f>HYPERLINK("http://www.worldcat.org/oclc/24010011","WorldCat Record")</f>
        <v>WorldCat Record</v>
      </c>
    </row>
    <row r="235" spans="1:46" ht="30" customHeight="1" x14ac:dyDescent="0.25">
      <c r="A235" s="8" t="s">
        <v>58</v>
      </c>
      <c r="B235" s="2" t="s">
        <v>1832</v>
      </c>
      <c r="C235" s="2" t="s">
        <v>1833</v>
      </c>
      <c r="D235" s="2" t="s">
        <v>1834</v>
      </c>
      <c r="F235" s="3" t="s">
        <v>58</v>
      </c>
      <c r="G235" s="3" t="s">
        <v>59</v>
      </c>
      <c r="H235" s="3" t="s">
        <v>58</v>
      </c>
      <c r="I235" s="3" t="s">
        <v>58</v>
      </c>
      <c r="J235" s="3" t="s">
        <v>60</v>
      </c>
      <c r="K235" s="2" t="s">
        <v>1835</v>
      </c>
      <c r="L235" s="2" t="s">
        <v>1836</v>
      </c>
      <c r="M235" s="3" t="s">
        <v>658</v>
      </c>
      <c r="O235" s="3" t="s">
        <v>64</v>
      </c>
      <c r="P235" s="3" t="s">
        <v>133</v>
      </c>
      <c r="R235" s="3" t="s">
        <v>912</v>
      </c>
      <c r="S235" s="4">
        <v>4</v>
      </c>
      <c r="T235" s="4">
        <v>4</v>
      </c>
      <c r="U235" s="5" t="s">
        <v>1837</v>
      </c>
      <c r="V235" s="5" t="s">
        <v>1837</v>
      </c>
      <c r="W235" s="5" t="s">
        <v>1313</v>
      </c>
      <c r="X235" s="5" t="s">
        <v>1313</v>
      </c>
      <c r="Y235" s="4">
        <v>201</v>
      </c>
      <c r="Z235" s="4">
        <v>145</v>
      </c>
      <c r="AA235" s="4">
        <v>152</v>
      </c>
      <c r="AB235" s="4">
        <v>1</v>
      </c>
      <c r="AC235" s="4">
        <v>1</v>
      </c>
      <c r="AD235" s="4">
        <v>3</v>
      </c>
      <c r="AE235" s="4">
        <v>3</v>
      </c>
      <c r="AF235" s="4">
        <v>0</v>
      </c>
      <c r="AG235" s="4">
        <v>0</v>
      </c>
      <c r="AH235" s="4">
        <v>2</v>
      </c>
      <c r="AI235" s="4">
        <v>2</v>
      </c>
      <c r="AJ235" s="4">
        <v>2</v>
      </c>
      <c r="AK235" s="4">
        <v>2</v>
      </c>
      <c r="AL235" s="4">
        <v>0</v>
      </c>
      <c r="AM235" s="4">
        <v>0</v>
      </c>
      <c r="AN235" s="4">
        <v>0</v>
      </c>
      <c r="AO235" s="4">
        <v>0</v>
      </c>
      <c r="AP235" s="3" t="s">
        <v>58</v>
      </c>
      <c r="AQ235" s="3" t="s">
        <v>103</v>
      </c>
      <c r="AR235" s="6" t="str">
        <f>HYPERLINK("http://catalog.hathitrust.org/Record/000092150","HathiTrust Record")</f>
        <v>HathiTrust Record</v>
      </c>
      <c r="AS235" s="6" t="str">
        <f>HYPERLINK("https://creighton-primo.hosted.exlibrisgroup.com/primo-explore/search?tab=default_tab&amp;search_scope=EVERYTHING&amp;vid=01CRU&amp;lang=en_US&amp;offset=0&amp;query=any,contains,991000797399702656","Catalog Record")</f>
        <v>Catalog Record</v>
      </c>
      <c r="AT235" s="6" t="str">
        <f>HYPERLINK("http://www.worldcat.org/oclc/3627688","WorldCat Record")</f>
        <v>WorldCat Record</v>
      </c>
    </row>
    <row r="236" spans="1:46" ht="30" customHeight="1" x14ac:dyDescent="0.25">
      <c r="A236" s="8" t="s">
        <v>58</v>
      </c>
      <c r="B236" s="2" t="s">
        <v>1838</v>
      </c>
      <c r="C236" s="2" t="s">
        <v>1839</v>
      </c>
      <c r="D236" s="2" t="s">
        <v>1840</v>
      </c>
      <c r="F236" s="3" t="s">
        <v>58</v>
      </c>
      <c r="G236" s="3" t="s">
        <v>59</v>
      </c>
      <c r="H236" s="3" t="s">
        <v>58</v>
      </c>
      <c r="I236" s="3" t="s">
        <v>103</v>
      </c>
      <c r="J236" s="3" t="s">
        <v>59</v>
      </c>
      <c r="K236" s="2" t="s">
        <v>1841</v>
      </c>
      <c r="L236" s="2" t="s">
        <v>1842</v>
      </c>
      <c r="M236" s="3" t="s">
        <v>359</v>
      </c>
      <c r="N236" s="2" t="s">
        <v>1843</v>
      </c>
      <c r="O236" s="3" t="s">
        <v>64</v>
      </c>
      <c r="P236" s="3" t="s">
        <v>117</v>
      </c>
      <c r="R236" s="3" t="s">
        <v>912</v>
      </c>
      <c r="S236" s="4">
        <v>90</v>
      </c>
      <c r="T236" s="4">
        <v>90</v>
      </c>
      <c r="U236" s="5" t="s">
        <v>1844</v>
      </c>
      <c r="V236" s="5" t="s">
        <v>1844</v>
      </c>
      <c r="W236" s="5" t="s">
        <v>1700</v>
      </c>
      <c r="X236" s="5" t="s">
        <v>1700</v>
      </c>
      <c r="Y236" s="4">
        <v>300</v>
      </c>
      <c r="Z236" s="4">
        <v>223</v>
      </c>
      <c r="AA236" s="4">
        <v>819</v>
      </c>
      <c r="AB236" s="4">
        <v>2</v>
      </c>
      <c r="AC236" s="4">
        <v>5</v>
      </c>
      <c r="AD236" s="4">
        <v>5</v>
      </c>
      <c r="AE236" s="4">
        <v>32</v>
      </c>
      <c r="AF236" s="4">
        <v>0</v>
      </c>
      <c r="AG236" s="4">
        <v>11</v>
      </c>
      <c r="AH236" s="4">
        <v>1</v>
      </c>
      <c r="AI236" s="4">
        <v>7</v>
      </c>
      <c r="AJ236" s="4">
        <v>4</v>
      </c>
      <c r="AK236" s="4">
        <v>15</v>
      </c>
      <c r="AL236" s="4">
        <v>1</v>
      </c>
      <c r="AM236" s="4">
        <v>3</v>
      </c>
      <c r="AN236" s="4">
        <v>0</v>
      </c>
      <c r="AO236" s="4">
        <v>1</v>
      </c>
      <c r="AP236" s="3" t="s">
        <v>58</v>
      </c>
      <c r="AQ236" s="3" t="s">
        <v>103</v>
      </c>
      <c r="AR236" s="6" t="str">
        <f>HYPERLINK("http://catalog.hathitrust.org/Record/000611041","HathiTrust Record")</f>
        <v>HathiTrust Record</v>
      </c>
      <c r="AS236" s="6" t="str">
        <f>HYPERLINK("https://creighton-primo.hosted.exlibrisgroup.com/primo-explore/search?tab=default_tab&amp;search_scope=EVERYTHING&amp;vid=01CRU&amp;lang=en_US&amp;offset=0&amp;query=any,contains,991000758069702656","Catalog Record")</f>
        <v>Catalog Record</v>
      </c>
      <c r="AT236" s="6" t="str">
        <f>HYPERLINK("http://www.worldcat.org/oclc/10751683","WorldCat Record")</f>
        <v>WorldCat Record</v>
      </c>
    </row>
    <row r="237" spans="1:46" ht="30" customHeight="1" x14ac:dyDescent="0.25">
      <c r="A237" s="8" t="s">
        <v>58</v>
      </c>
      <c r="B237" s="2" t="s">
        <v>1845</v>
      </c>
      <c r="C237" s="2" t="s">
        <v>1846</v>
      </c>
      <c r="D237" s="2" t="s">
        <v>1847</v>
      </c>
      <c r="E237" s="3" t="s">
        <v>1214</v>
      </c>
      <c r="F237" s="3" t="s">
        <v>58</v>
      </c>
      <c r="G237" s="3" t="s">
        <v>59</v>
      </c>
      <c r="H237" s="3" t="s">
        <v>58</v>
      </c>
      <c r="I237" s="3" t="s">
        <v>58</v>
      </c>
      <c r="J237" s="3" t="s">
        <v>60</v>
      </c>
      <c r="K237" s="2" t="s">
        <v>1848</v>
      </c>
      <c r="L237" s="2" t="s">
        <v>1842</v>
      </c>
      <c r="M237" s="3" t="s">
        <v>359</v>
      </c>
      <c r="O237" s="3" t="s">
        <v>64</v>
      </c>
      <c r="P237" s="3" t="s">
        <v>911</v>
      </c>
      <c r="R237" s="3" t="s">
        <v>912</v>
      </c>
      <c r="S237" s="4">
        <v>97</v>
      </c>
      <c r="T237" s="4">
        <v>97</v>
      </c>
      <c r="U237" s="5" t="s">
        <v>1540</v>
      </c>
      <c r="V237" s="5" t="s">
        <v>1540</v>
      </c>
      <c r="W237" s="5" t="s">
        <v>1849</v>
      </c>
      <c r="X237" s="5" t="s">
        <v>1849</v>
      </c>
      <c r="Y237" s="4">
        <v>50</v>
      </c>
      <c r="Z237" s="4">
        <v>28</v>
      </c>
      <c r="AA237" s="4">
        <v>28</v>
      </c>
      <c r="AB237" s="4">
        <v>1</v>
      </c>
      <c r="AC237" s="4">
        <v>1</v>
      </c>
      <c r="AD237" s="4">
        <v>0</v>
      </c>
      <c r="AE237" s="4">
        <v>0</v>
      </c>
      <c r="AF237" s="4">
        <v>0</v>
      </c>
      <c r="AG237" s="4">
        <v>0</v>
      </c>
      <c r="AH237" s="4">
        <v>0</v>
      </c>
      <c r="AI237" s="4">
        <v>0</v>
      </c>
      <c r="AJ237" s="4">
        <v>0</v>
      </c>
      <c r="AK237" s="4">
        <v>0</v>
      </c>
      <c r="AL237" s="4">
        <v>0</v>
      </c>
      <c r="AM237" s="4">
        <v>0</v>
      </c>
      <c r="AN237" s="4">
        <v>0</v>
      </c>
      <c r="AO237" s="4">
        <v>0</v>
      </c>
      <c r="AP237" s="3" t="s">
        <v>58</v>
      </c>
      <c r="AQ237" s="3" t="s">
        <v>58</v>
      </c>
      <c r="AS237" s="6" t="str">
        <f>HYPERLINK("https://creighton-primo.hosted.exlibrisgroup.com/primo-explore/search?tab=default_tab&amp;search_scope=EVERYTHING&amp;vid=01CRU&amp;lang=en_US&amp;offset=0&amp;query=any,contains,991001322709702656","Catalog Record")</f>
        <v>Catalog Record</v>
      </c>
      <c r="AT237" s="6" t="str">
        <f>HYPERLINK("http://www.worldcat.org/oclc/11548305","WorldCat Record")</f>
        <v>WorldCat Record</v>
      </c>
    </row>
    <row r="238" spans="1:46" ht="30" customHeight="1" x14ac:dyDescent="0.25">
      <c r="A238" s="8" t="s">
        <v>58</v>
      </c>
      <c r="B238" s="2" t="s">
        <v>1850</v>
      </c>
      <c r="C238" s="2" t="s">
        <v>1851</v>
      </c>
      <c r="D238" s="2" t="s">
        <v>1852</v>
      </c>
      <c r="F238" s="3" t="s">
        <v>58</v>
      </c>
      <c r="G238" s="3" t="s">
        <v>59</v>
      </c>
      <c r="H238" s="3" t="s">
        <v>58</v>
      </c>
      <c r="I238" s="3" t="s">
        <v>103</v>
      </c>
      <c r="J238" s="3" t="s">
        <v>59</v>
      </c>
      <c r="K238" s="2" t="s">
        <v>1841</v>
      </c>
      <c r="L238" s="2" t="s">
        <v>1853</v>
      </c>
      <c r="M238" s="3" t="s">
        <v>1031</v>
      </c>
      <c r="N238" s="2" t="s">
        <v>1854</v>
      </c>
      <c r="O238" s="3" t="s">
        <v>64</v>
      </c>
      <c r="P238" s="3" t="s">
        <v>911</v>
      </c>
      <c r="R238" s="3" t="s">
        <v>912</v>
      </c>
      <c r="S238" s="4">
        <v>145</v>
      </c>
      <c r="T238" s="4">
        <v>145</v>
      </c>
      <c r="U238" s="5" t="s">
        <v>1855</v>
      </c>
      <c r="V238" s="5" t="s">
        <v>1855</v>
      </c>
      <c r="W238" s="5" t="s">
        <v>1849</v>
      </c>
      <c r="X238" s="5" t="s">
        <v>1849</v>
      </c>
      <c r="Y238" s="4">
        <v>244</v>
      </c>
      <c r="Z238" s="4">
        <v>154</v>
      </c>
      <c r="AA238" s="4">
        <v>819</v>
      </c>
      <c r="AB238" s="4">
        <v>1</v>
      </c>
      <c r="AC238" s="4">
        <v>5</v>
      </c>
      <c r="AD238" s="4">
        <v>5</v>
      </c>
      <c r="AE238" s="4">
        <v>32</v>
      </c>
      <c r="AF238" s="4">
        <v>2</v>
      </c>
      <c r="AG238" s="4">
        <v>11</v>
      </c>
      <c r="AH238" s="4">
        <v>1</v>
      </c>
      <c r="AI238" s="4">
        <v>7</v>
      </c>
      <c r="AJ238" s="4">
        <v>4</v>
      </c>
      <c r="AK238" s="4">
        <v>15</v>
      </c>
      <c r="AL238" s="4">
        <v>0</v>
      </c>
      <c r="AM238" s="4">
        <v>3</v>
      </c>
      <c r="AN238" s="4">
        <v>0</v>
      </c>
      <c r="AO238" s="4">
        <v>1</v>
      </c>
      <c r="AP238" s="3" t="s">
        <v>58</v>
      </c>
      <c r="AQ238" s="3" t="s">
        <v>103</v>
      </c>
      <c r="AR238" s="6" t="str">
        <f>HYPERLINK("http://catalog.hathitrust.org/Record/002227735","HathiTrust Record")</f>
        <v>HathiTrust Record</v>
      </c>
      <c r="AS238" s="6" t="str">
        <f>HYPERLINK("https://creighton-primo.hosted.exlibrisgroup.com/primo-explore/search?tab=default_tab&amp;search_scope=EVERYTHING&amp;vid=01CRU&amp;lang=en_US&amp;offset=0&amp;query=any,contains,991001322749702656","Catalog Record")</f>
        <v>Catalog Record</v>
      </c>
      <c r="AT238" s="6" t="str">
        <f>HYPERLINK("http://www.worldcat.org/oclc/18960190","WorldCat Record")</f>
        <v>WorldCat Record</v>
      </c>
    </row>
    <row r="239" spans="1:46" ht="30" customHeight="1" x14ac:dyDescent="0.25">
      <c r="A239" s="8" t="s">
        <v>58</v>
      </c>
      <c r="B239" s="2" t="s">
        <v>1856</v>
      </c>
      <c r="C239" s="2" t="s">
        <v>1857</v>
      </c>
      <c r="D239" s="2" t="s">
        <v>748</v>
      </c>
      <c r="F239" s="3" t="s">
        <v>58</v>
      </c>
      <c r="G239" s="3" t="s">
        <v>59</v>
      </c>
      <c r="H239" s="3" t="s">
        <v>58</v>
      </c>
      <c r="I239" s="3" t="s">
        <v>103</v>
      </c>
      <c r="J239" s="3" t="s">
        <v>60</v>
      </c>
      <c r="K239" s="2" t="s">
        <v>749</v>
      </c>
      <c r="L239" s="2" t="s">
        <v>1858</v>
      </c>
      <c r="M239" s="3" t="s">
        <v>490</v>
      </c>
      <c r="N239" s="2" t="s">
        <v>331</v>
      </c>
      <c r="O239" s="3" t="s">
        <v>64</v>
      </c>
      <c r="P239" s="3" t="s">
        <v>133</v>
      </c>
      <c r="R239" s="3" t="s">
        <v>912</v>
      </c>
      <c r="S239" s="4">
        <v>25</v>
      </c>
      <c r="T239" s="4">
        <v>25</v>
      </c>
      <c r="U239" s="5" t="s">
        <v>1859</v>
      </c>
      <c r="V239" s="5" t="s">
        <v>1859</v>
      </c>
      <c r="W239" s="5" t="s">
        <v>1860</v>
      </c>
      <c r="X239" s="5" t="s">
        <v>1860</v>
      </c>
      <c r="Y239" s="4">
        <v>258</v>
      </c>
      <c r="Z239" s="4">
        <v>162</v>
      </c>
      <c r="AA239" s="4">
        <v>432</v>
      </c>
      <c r="AB239" s="4">
        <v>1</v>
      </c>
      <c r="AC239" s="4">
        <v>4</v>
      </c>
      <c r="AD239" s="4">
        <v>4</v>
      </c>
      <c r="AE239" s="4">
        <v>16</v>
      </c>
      <c r="AF239" s="4">
        <v>1</v>
      </c>
      <c r="AG239" s="4">
        <v>8</v>
      </c>
      <c r="AH239" s="4">
        <v>2</v>
      </c>
      <c r="AI239" s="4">
        <v>3</v>
      </c>
      <c r="AJ239" s="4">
        <v>3</v>
      </c>
      <c r="AK239" s="4">
        <v>6</v>
      </c>
      <c r="AL239" s="4">
        <v>0</v>
      </c>
      <c r="AM239" s="4">
        <v>2</v>
      </c>
      <c r="AN239" s="4">
        <v>0</v>
      </c>
      <c r="AO239" s="4">
        <v>0</v>
      </c>
      <c r="AP239" s="3" t="s">
        <v>58</v>
      </c>
      <c r="AQ239" s="3" t="s">
        <v>103</v>
      </c>
      <c r="AR239" s="6" t="str">
        <f>HYPERLINK("http://catalog.hathitrust.org/Record/003172756","HathiTrust Record")</f>
        <v>HathiTrust Record</v>
      </c>
      <c r="AS239" s="6" t="str">
        <f>HYPERLINK("https://creighton-primo.hosted.exlibrisgroup.com/primo-explore/search?tab=default_tab&amp;search_scope=EVERYTHING&amp;vid=01CRU&amp;lang=en_US&amp;offset=0&amp;query=any,contains,991000363649702656","Catalog Record")</f>
        <v>Catalog Record</v>
      </c>
      <c r="AT239" s="6" t="str">
        <f>HYPERLINK("http://www.worldcat.org/oclc/36598141","WorldCat Record")</f>
        <v>WorldCat Record</v>
      </c>
    </row>
    <row r="240" spans="1:46" ht="30" customHeight="1" x14ac:dyDescent="0.25">
      <c r="A240" s="8" t="s">
        <v>58</v>
      </c>
      <c r="B240" s="2" t="s">
        <v>1861</v>
      </c>
      <c r="C240" s="2" t="s">
        <v>1862</v>
      </c>
      <c r="D240" s="2" t="s">
        <v>1863</v>
      </c>
      <c r="F240" s="3" t="s">
        <v>58</v>
      </c>
      <c r="G240" s="3" t="s">
        <v>59</v>
      </c>
      <c r="H240" s="3" t="s">
        <v>58</v>
      </c>
      <c r="I240" s="3" t="s">
        <v>103</v>
      </c>
      <c r="J240" s="3" t="s">
        <v>59</v>
      </c>
      <c r="K240" s="2" t="s">
        <v>1134</v>
      </c>
      <c r="L240" s="2" t="s">
        <v>1864</v>
      </c>
      <c r="M240" s="3" t="s">
        <v>881</v>
      </c>
      <c r="N240" s="2" t="s">
        <v>1038</v>
      </c>
      <c r="O240" s="3" t="s">
        <v>64</v>
      </c>
      <c r="P240" s="3" t="s">
        <v>911</v>
      </c>
      <c r="R240" s="3" t="s">
        <v>912</v>
      </c>
      <c r="S240" s="4">
        <v>50</v>
      </c>
      <c r="T240" s="4">
        <v>50</v>
      </c>
      <c r="U240" s="5" t="s">
        <v>1865</v>
      </c>
      <c r="V240" s="5" t="s">
        <v>1865</v>
      </c>
      <c r="W240" s="5" t="s">
        <v>1866</v>
      </c>
      <c r="X240" s="5" t="s">
        <v>1866</v>
      </c>
      <c r="Y240" s="4">
        <v>267</v>
      </c>
      <c r="Z240" s="4">
        <v>202</v>
      </c>
      <c r="AA240" s="4">
        <v>1089</v>
      </c>
      <c r="AB240" s="4">
        <v>1</v>
      </c>
      <c r="AC240" s="4">
        <v>8</v>
      </c>
      <c r="AD240" s="4">
        <v>6</v>
      </c>
      <c r="AE240" s="4">
        <v>39</v>
      </c>
      <c r="AF240" s="4">
        <v>3</v>
      </c>
      <c r="AG240" s="4">
        <v>16</v>
      </c>
      <c r="AH240" s="4">
        <v>1</v>
      </c>
      <c r="AI240" s="4">
        <v>7</v>
      </c>
      <c r="AJ240" s="4">
        <v>3</v>
      </c>
      <c r="AK240" s="4">
        <v>14</v>
      </c>
      <c r="AL240" s="4">
        <v>0</v>
      </c>
      <c r="AM240" s="4">
        <v>7</v>
      </c>
      <c r="AN240" s="4">
        <v>0</v>
      </c>
      <c r="AO240" s="4">
        <v>1</v>
      </c>
      <c r="AP240" s="3" t="s">
        <v>58</v>
      </c>
      <c r="AQ240" s="3" t="s">
        <v>103</v>
      </c>
      <c r="AR240" s="6" t="str">
        <f>HYPERLINK("http://catalog.hathitrust.org/Record/001288589","HathiTrust Record")</f>
        <v>HathiTrust Record</v>
      </c>
      <c r="AS240" s="6" t="str">
        <f>HYPERLINK("https://creighton-primo.hosted.exlibrisgroup.com/primo-explore/search?tab=default_tab&amp;search_scope=EVERYTHING&amp;vid=01CRU&amp;lang=en_US&amp;offset=0&amp;query=any,contains,991001317159702656","Catalog Record")</f>
        <v>Catalog Record</v>
      </c>
      <c r="AT240" s="6" t="str">
        <f>HYPERLINK("http://www.worldcat.org/oclc/18715277","WorldCat Record")</f>
        <v>WorldCat Record</v>
      </c>
    </row>
    <row r="241" spans="1:46" ht="30" customHeight="1" x14ac:dyDescent="0.25">
      <c r="A241" s="8" t="s">
        <v>58</v>
      </c>
      <c r="B241" s="2" t="s">
        <v>1867</v>
      </c>
      <c r="C241" s="2" t="s">
        <v>1868</v>
      </c>
      <c r="D241" s="2" t="s">
        <v>1869</v>
      </c>
      <c r="F241" s="3" t="s">
        <v>58</v>
      </c>
      <c r="G241" s="3" t="s">
        <v>59</v>
      </c>
      <c r="H241" s="3" t="s">
        <v>58</v>
      </c>
      <c r="I241" s="3" t="s">
        <v>103</v>
      </c>
      <c r="J241" s="3" t="s">
        <v>59</v>
      </c>
      <c r="K241" s="2" t="s">
        <v>1134</v>
      </c>
      <c r="L241" s="2" t="s">
        <v>1870</v>
      </c>
      <c r="M241" s="3" t="s">
        <v>146</v>
      </c>
      <c r="N241" s="2" t="s">
        <v>882</v>
      </c>
      <c r="O241" s="3" t="s">
        <v>64</v>
      </c>
      <c r="P241" s="3" t="s">
        <v>65</v>
      </c>
      <c r="R241" s="3" t="s">
        <v>912</v>
      </c>
      <c r="S241" s="4">
        <v>43</v>
      </c>
      <c r="T241" s="4">
        <v>43</v>
      </c>
      <c r="U241" s="5" t="s">
        <v>1871</v>
      </c>
      <c r="V241" s="5" t="s">
        <v>1871</v>
      </c>
      <c r="W241" s="5" t="s">
        <v>1872</v>
      </c>
      <c r="X241" s="5" t="s">
        <v>1872</v>
      </c>
      <c r="Y241" s="4">
        <v>403</v>
      </c>
      <c r="Z241" s="4">
        <v>275</v>
      </c>
      <c r="AA241" s="4">
        <v>1158</v>
      </c>
      <c r="AB241" s="4">
        <v>2</v>
      </c>
      <c r="AC241" s="4">
        <v>7</v>
      </c>
      <c r="AD241" s="4">
        <v>11</v>
      </c>
      <c r="AE241" s="4">
        <v>39</v>
      </c>
      <c r="AF241" s="4">
        <v>7</v>
      </c>
      <c r="AG241" s="4">
        <v>19</v>
      </c>
      <c r="AH241" s="4">
        <v>2</v>
      </c>
      <c r="AI241" s="4">
        <v>6</v>
      </c>
      <c r="AJ241" s="4">
        <v>3</v>
      </c>
      <c r="AK241" s="4">
        <v>16</v>
      </c>
      <c r="AL241" s="4">
        <v>1</v>
      </c>
      <c r="AM241" s="4">
        <v>5</v>
      </c>
      <c r="AN241" s="4">
        <v>0</v>
      </c>
      <c r="AO241" s="4">
        <v>0</v>
      </c>
      <c r="AP241" s="3" t="s">
        <v>58</v>
      </c>
      <c r="AQ241" s="3" t="s">
        <v>103</v>
      </c>
      <c r="AR241" s="6" t="str">
        <f>HYPERLINK("http://catalog.hathitrust.org/Record/003252670","HathiTrust Record")</f>
        <v>HathiTrust Record</v>
      </c>
      <c r="AS241" s="6" t="str">
        <f>HYPERLINK("https://creighton-primo.hosted.exlibrisgroup.com/primo-explore/search?tab=default_tab&amp;search_scope=EVERYTHING&amp;vid=01CRU&amp;lang=en_US&amp;offset=0&amp;query=any,contains,991000741119702656","Catalog Record")</f>
        <v>Catalog Record</v>
      </c>
      <c r="AT241" s="6" t="str">
        <f>HYPERLINK("http://www.worldcat.org/oclc/37362321","WorldCat Record")</f>
        <v>WorldCat Record</v>
      </c>
    </row>
    <row r="242" spans="1:46" ht="30" customHeight="1" x14ac:dyDescent="0.25">
      <c r="A242" s="8" t="s">
        <v>58</v>
      </c>
      <c r="B242" s="2" t="s">
        <v>1873</v>
      </c>
      <c r="C242" s="2" t="s">
        <v>1874</v>
      </c>
      <c r="D242" s="2" t="s">
        <v>1875</v>
      </c>
      <c r="F242" s="3" t="s">
        <v>58</v>
      </c>
      <c r="G242" s="3" t="s">
        <v>59</v>
      </c>
      <c r="H242" s="3" t="s">
        <v>58</v>
      </c>
      <c r="I242" s="3" t="s">
        <v>103</v>
      </c>
      <c r="J242" s="3" t="s">
        <v>60</v>
      </c>
      <c r="K242" s="2" t="s">
        <v>1134</v>
      </c>
      <c r="L242" s="2" t="s">
        <v>1876</v>
      </c>
      <c r="M242" s="3" t="s">
        <v>706</v>
      </c>
      <c r="N242" s="2" t="s">
        <v>1038</v>
      </c>
      <c r="O242" s="3" t="s">
        <v>64</v>
      </c>
      <c r="P242" s="3" t="s">
        <v>65</v>
      </c>
      <c r="R242" s="3" t="s">
        <v>912</v>
      </c>
      <c r="S242" s="4">
        <v>36</v>
      </c>
      <c r="T242" s="4">
        <v>36</v>
      </c>
      <c r="U242" s="5" t="s">
        <v>1540</v>
      </c>
      <c r="V242" s="5" t="s">
        <v>1540</v>
      </c>
      <c r="W242" s="5" t="s">
        <v>1849</v>
      </c>
      <c r="X242" s="5" t="s">
        <v>1849</v>
      </c>
      <c r="Y242" s="4">
        <v>48</v>
      </c>
      <c r="Z242" s="4">
        <v>29</v>
      </c>
      <c r="AA242" s="4">
        <v>153</v>
      </c>
      <c r="AB242" s="4">
        <v>1</v>
      </c>
      <c r="AC242" s="4">
        <v>3</v>
      </c>
      <c r="AD242" s="4">
        <v>0</v>
      </c>
      <c r="AE242" s="4">
        <v>3</v>
      </c>
      <c r="AF242" s="4">
        <v>0</v>
      </c>
      <c r="AG242" s="4">
        <v>0</v>
      </c>
      <c r="AH242" s="4">
        <v>0</v>
      </c>
      <c r="AI242" s="4">
        <v>1</v>
      </c>
      <c r="AJ242" s="4">
        <v>0</v>
      </c>
      <c r="AK242" s="4">
        <v>2</v>
      </c>
      <c r="AL242" s="4">
        <v>0</v>
      </c>
      <c r="AM242" s="4">
        <v>1</v>
      </c>
      <c r="AN242" s="4">
        <v>0</v>
      </c>
      <c r="AO242" s="4">
        <v>0</v>
      </c>
      <c r="AP242" s="3" t="s">
        <v>58</v>
      </c>
      <c r="AQ242" s="3" t="s">
        <v>58</v>
      </c>
      <c r="AS242" s="6" t="str">
        <f>HYPERLINK("https://creighton-primo.hosted.exlibrisgroup.com/primo-explore/search?tab=default_tab&amp;search_scope=EVERYTHING&amp;vid=01CRU&amp;lang=en_US&amp;offset=0&amp;query=any,contains,991001322539702656","Catalog Record")</f>
        <v>Catalog Record</v>
      </c>
      <c r="AT242" s="6" t="str">
        <f>HYPERLINK("http://www.worldcat.org/oclc/18662280","WorldCat Record")</f>
        <v>WorldCat Record</v>
      </c>
    </row>
    <row r="243" spans="1:46" ht="30" customHeight="1" x14ac:dyDescent="0.25">
      <c r="A243" s="8" t="s">
        <v>58</v>
      </c>
      <c r="B243" s="2" t="s">
        <v>1877</v>
      </c>
      <c r="C243" s="2" t="s">
        <v>1878</v>
      </c>
      <c r="D243" s="2" t="s">
        <v>1879</v>
      </c>
      <c r="F243" s="3" t="s">
        <v>58</v>
      </c>
      <c r="G243" s="3" t="s">
        <v>59</v>
      </c>
      <c r="H243" s="3" t="s">
        <v>58</v>
      </c>
      <c r="I243" s="3" t="s">
        <v>103</v>
      </c>
      <c r="J243" s="3" t="s">
        <v>60</v>
      </c>
      <c r="K243" s="2" t="s">
        <v>1880</v>
      </c>
      <c r="L243" s="2" t="s">
        <v>1881</v>
      </c>
      <c r="M243" s="3" t="s">
        <v>1180</v>
      </c>
      <c r="N243" s="2" t="s">
        <v>1882</v>
      </c>
      <c r="O243" s="3" t="s">
        <v>64</v>
      </c>
      <c r="P243" s="3" t="s">
        <v>911</v>
      </c>
      <c r="Q243" s="2" t="s">
        <v>1883</v>
      </c>
      <c r="R243" s="3" t="s">
        <v>912</v>
      </c>
      <c r="S243" s="4">
        <v>48</v>
      </c>
      <c r="T243" s="4">
        <v>48</v>
      </c>
      <c r="U243" s="5" t="s">
        <v>958</v>
      </c>
      <c r="V243" s="5" t="s">
        <v>958</v>
      </c>
      <c r="W243" s="5" t="s">
        <v>1700</v>
      </c>
      <c r="X243" s="5" t="s">
        <v>1700</v>
      </c>
      <c r="Y243" s="4">
        <v>224</v>
      </c>
      <c r="Z243" s="4">
        <v>162</v>
      </c>
      <c r="AA243" s="4">
        <v>804</v>
      </c>
      <c r="AB243" s="4">
        <v>2</v>
      </c>
      <c r="AC243" s="4">
        <v>13</v>
      </c>
      <c r="AD243" s="4">
        <v>5</v>
      </c>
      <c r="AE243" s="4">
        <v>35</v>
      </c>
      <c r="AF243" s="4">
        <v>0</v>
      </c>
      <c r="AG243" s="4">
        <v>9</v>
      </c>
      <c r="AH243" s="4">
        <v>3</v>
      </c>
      <c r="AI243" s="4">
        <v>8</v>
      </c>
      <c r="AJ243" s="4">
        <v>4</v>
      </c>
      <c r="AK243" s="4">
        <v>17</v>
      </c>
      <c r="AL243" s="4">
        <v>1</v>
      </c>
      <c r="AM243" s="4">
        <v>8</v>
      </c>
      <c r="AN243" s="4">
        <v>0</v>
      </c>
      <c r="AO243" s="4">
        <v>0</v>
      </c>
      <c r="AP243" s="3" t="s">
        <v>58</v>
      </c>
      <c r="AQ243" s="3" t="s">
        <v>103</v>
      </c>
      <c r="AR243" s="6" t="str">
        <f>HYPERLINK("http://catalog.hathitrust.org/Record/000744174","HathiTrust Record")</f>
        <v>HathiTrust Record</v>
      </c>
      <c r="AS243" s="6" t="str">
        <f>HYPERLINK("https://creighton-primo.hosted.exlibrisgroup.com/primo-explore/search?tab=default_tab&amp;search_scope=EVERYTHING&amp;vid=01CRU&amp;lang=en_US&amp;offset=0&amp;query=any,contains,991000758119702656","Catalog Record")</f>
        <v>Catalog Record</v>
      </c>
      <c r="AT243" s="6" t="str">
        <f>HYPERLINK("http://www.worldcat.org/oclc/6579882","WorldCat Record")</f>
        <v>WorldCat Record</v>
      </c>
    </row>
    <row r="244" spans="1:46" ht="30" customHeight="1" x14ac:dyDescent="0.25">
      <c r="A244" s="8" t="s">
        <v>58</v>
      </c>
      <c r="B244" s="2" t="s">
        <v>1884</v>
      </c>
      <c r="C244" s="2" t="s">
        <v>1885</v>
      </c>
      <c r="D244" s="2" t="s">
        <v>1886</v>
      </c>
      <c r="F244" s="3" t="s">
        <v>58</v>
      </c>
      <c r="G244" s="3" t="s">
        <v>59</v>
      </c>
      <c r="H244" s="3" t="s">
        <v>58</v>
      </c>
      <c r="I244" s="3" t="s">
        <v>58</v>
      </c>
      <c r="J244" s="3" t="s">
        <v>60</v>
      </c>
      <c r="K244" s="2" t="s">
        <v>1178</v>
      </c>
      <c r="L244" s="2" t="s">
        <v>1887</v>
      </c>
      <c r="M244" s="3" t="s">
        <v>330</v>
      </c>
      <c r="N244" s="2" t="s">
        <v>1038</v>
      </c>
      <c r="O244" s="3" t="s">
        <v>64</v>
      </c>
      <c r="P244" s="3" t="s">
        <v>346</v>
      </c>
      <c r="R244" s="3" t="s">
        <v>912</v>
      </c>
      <c r="S244" s="4">
        <v>20</v>
      </c>
      <c r="T244" s="4">
        <v>20</v>
      </c>
      <c r="U244" s="5" t="s">
        <v>821</v>
      </c>
      <c r="V244" s="5" t="s">
        <v>821</v>
      </c>
      <c r="W244" s="5" t="s">
        <v>1700</v>
      </c>
      <c r="X244" s="5" t="s">
        <v>1700</v>
      </c>
      <c r="Y244" s="4">
        <v>167</v>
      </c>
      <c r="Z244" s="4">
        <v>112</v>
      </c>
      <c r="AA244" s="4">
        <v>179</v>
      </c>
      <c r="AB244" s="4">
        <v>1</v>
      </c>
      <c r="AC244" s="4">
        <v>2</v>
      </c>
      <c r="AD244" s="4">
        <v>0</v>
      </c>
      <c r="AE244" s="4">
        <v>4</v>
      </c>
      <c r="AF244" s="4">
        <v>0</v>
      </c>
      <c r="AG244" s="4">
        <v>0</v>
      </c>
      <c r="AH244" s="4">
        <v>0</v>
      </c>
      <c r="AI244" s="4">
        <v>0</v>
      </c>
      <c r="AJ244" s="4">
        <v>0</v>
      </c>
      <c r="AK244" s="4">
        <v>3</v>
      </c>
      <c r="AL244" s="4">
        <v>0</v>
      </c>
      <c r="AM244" s="4">
        <v>1</v>
      </c>
      <c r="AN244" s="4">
        <v>0</v>
      </c>
      <c r="AO244" s="4">
        <v>0</v>
      </c>
      <c r="AP244" s="3" t="s">
        <v>58</v>
      </c>
      <c r="AQ244" s="3" t="s">
        <v>103</v>
      </c>
      <c r="AR244" s="6" t="str">
        <f>HYPERLINK("http://catalog.hathitrust.org/Record/000123943","HathiTrust Record")</f>
        <v>HathiTrust Record</v>
      </c>
      <c r="AS244" s="6" t="str">
        <f>HYPERLINK("https://creighton-primo.hosted.exlibrisgroup.com/primo-explore/search?tab=default_tab&amp;search_scope=EVERYTHING&amp;vid=01CRU&amp;lang=en_US&amp;offset=0&amp;query=any,contains,991000758159702656","Catalog Record")</f>
        <v>Catalog Record</v>
      </c>
      <c r="AT244" s="6" t="str">
        <f>HYPERLINK("http://www.worldcat.org/oclc/9453602","WorldCat Record")</f>
        <v>WorldCat Record</v>
      </c>
    </row>
    <row r="245" spans="1:46" ht="30" customHeight="1" x14ac:dyDescent="0.25">
      <c r="A245" s="8" t="s">
        <v>58</v>
      </c>
      <c r="B245" s="2" t="s">
        <v>1888</v>
      </c>
      <c r="C245" s="2" t="s">
        <v>1889</v>
      </c>
      <c r="D245" s="2" t="s">
        <v>1890</v>
      </c>
      <c r="E245" s="3" t="s">
        <v>269</v>
      </c>
      <c r="F245" s="3" t="s">
        <v>58</v>
      </c>
      <c r="G245" s="3" t="s">
        <v>59</v>
      </c>
      <c r="H245" s="3" t="s">
        <v>58</v>
      </c>
      <c r="I245" s="3" t="s">
        <v>103</v>
      </c>
      <c r="J245" s="3" t="s">
        <v>60</v>
      </c>
      <c r="K245" s="2" t="s">
        <v>1891</v>
      </c>
      <c r="L245" s="2" t="s">
        <v>1892</v>
      </c>
      <c r="M245" s="3" t="s">
        <v>1893</v>
      </c>
      <c r="O245" s="3" t="s">
        <v>64</v>
      </c>
      <c r="P245" s="3" t="s">
        <v>1069</v>
      </c>
      <c r="R245" s="3" t="s">
        <v>912</v>
      </c>
      <c r="S245" s="4">
        <v>49</v>
      </c>
      <c r="T245" s="4">
        <v>49</v>
      </c>
      <c r="U245" s="5" t="s">
        <v>1894</v>
      </c>
      <c r="V245" s="5" t="s">
        <v>1894</v>
      </c>
      <c r="W245" s="5" t="s">
        <v>1700</v>
      </c>
      <c r="X245" s="5" t="s">
        <v>1700</v>
      </c>
      <c r="Y245" s="4">
        <v>318</v>
      </c>
      <c r="Z245" s="4">
        <v>309</v>
      </c>
      <c r="AA245" s="4">
        <v>529</v>
      </c>
      <c r="AB245" s="4">
        <v>3</v>
      </c>
      <c r="AC245" s="4">
        <v>6</v>
      </c>
      <c r="AD245" s="4">
        <v>14</v>
      </c>
      <c r="AE245" s="4">
        <v>28</v>
      </c>
      <c r="AF245" s="4">
        <v>5</v>
      </c>
      <c r="AG245" s="4">
        <v>11</v>
      </c>
      <c r="AH245" s="4">
        <v>2</v>
      </c>
      <c r="AI245" s="4">
        <v>4</v>
      </c>
      <c r="AJ245" s="4">
        <v>6</v>
      </c>
      <c r="AK245" s="4">
        <v>16</v>
      </c>
      <c r="AL245" s="4">
        <v>2</v>
      </c>
      <c r="AM245" s="4">
        <v>4</v>
      </c>
      <c r="AN245" s="4">
        <v>0</v>
      </c>
      <c r="AO245" s="4">
        <v>0</v>
      </c>
      <c r="AP245" s="3" t="s">
        <v>58</v>
      </c>
      <c r="AQ245" s="3" t="s">
        <v>103</v>
      </c>
      <c r="AR245" s="6" t="str">
        <f>HYPERLINK("http://catalog.hathitrust.org/Record/009915342","HathiTrust Record")</f>
        <v>HathiTrust Record</v>
      </c>
      <c r="AS245" s="6" t="str">
        <f>HYPERLINK("https://creighton-primo.hosted.exlibrisgroup.com/primo-explore/search?tab=default_tab&amp;search_scope=EVERYTHING&amp;vid=01CRU&amp;lang=en_US&amp;offset=0&amp;query=any,contains,991000758259702656","Catalog Record")</f>
        <v>Catalog Record</v>
      </c>
      <c r="AT245" s="6" t="str">
        <f>HYPERLINK("http://www.worldcat.org/oclc/778144","WorldCat Record")</f>
        <v>WorldCat Record</v>
      </c>
    </row>
    <row r="246" spans="1:46" ht="30" customHeight="1" x14ac:dyDescent="0.25">
      <c r="A246" s="8" t="s">
        <v>58</v>
      </c>
      <c r="B246" s="2" t="s">
        <v>1895</v>
      </c>
      <c r="C246" s="2" t="s">
        <v>1896</v>
      </c>
      <c r="D246" s="2" t="s">
        <v>1897</v>
      </c>
      <c r="E246" s="3" t="s">
        <v>287</v>
      </c>
      <c r="F246" s="3" t="s">
        <v>58</v>
      </c>
      <c r="G246" s="3" t="s">
        <v>59</v>
      </c>
      <c r="H246" s="3" t="s">
        <v>58</v>
      </c>
      <c r="I246" s="3" t="s">
        <v>58</v>
      </c>
      <c r="J246" s="3" t="s">
        <v>60</v>
      </c>
      <c r="K246" s="2" t="s">
        <v>1891</v>
      </c>
      <c r="L246" s="2" t="s">
        <v>1898</v>
      </c>
      <c r="M246" s="3" t="s">
        <v>403</v>
      </c>
      <c r="O246" s="3" t="s">
        <v>64</v>
      </c>
      <c r="P246" s="3" t="s">
        <v>117</v>
      </c>
      <c r="R246" s="3" t="s">
        <v>912</v>
      </c>
      <c r="S246" s="4">
        <v>44</v>
      </c>
      <c r="T246" s="4">
        <v>44</v>
      </c>
      <c r="U246" s="5" t="s">
        <v>1894</v>
      </c>
      <c r="V246" s="5" t="s">
        <v>1894</v>
      </c>
      <c r="W246" s="5" t="s">
        <v>1899</v>
      </c>
      <c r="X246" s="5" t="s">
        <v>1899</v>
      </c>
      <c r="Y246" s="4">
        <v>39</v>
      </c>
      <c r="Z246" s="4">
        <v>28</v>
      </c>
      <c r="AA246" s="4">
        <v>28</v>
      </c>
      <c r="AB246" s="4">
        <v>2</v>
      </c>
      <c r="AC246" s="4">
        <v>2</v>
      </c>
      <c r="AD246" s="4">
        <v>1</v>
      </c>
      <c r="AE246" s="4">
        <v>1</v>
      </c>
      <c r="AF246" s="4">
        <v>0</v>
      </c>
      <c r="AG246" s="4">
        <v>0</v>
      </c>
      <c r="AH246" s="4">
        <v>0</v>
      </c>
      <c r="AI246" s="4">
        <v>0</v>
      </c>
      <c r="AJ246" s="4">
        <v>0</v>
      </c>
      <c r="AK246" s="4">
        <v>0</v>
      </c>
      <c r="AL246" s="4">
        <v>1</v>
      </c>
      <c r="AM246" s="4">
        <v>1</v>
      </c>
      <c r="AN246" s="4">
        <v>0</v>
      </c>
      <c r="AO246" s="4">
        <v>0</v>
      </c>
      <c r="AP246" s="3" t="s">
        <v>58</v>
      </c>
      <c r="AQ246" s="3" t="s">
        <v>58</v>
      </c>
      <c r="AS246" s="6" t="str">
        <f>HYPERLINK("https://creighton-primo.hosted.exlibrisgroup.com/primo-explore/search?tab=default_tab&amp;search_scope=EVERYTHING&amp;vid=01CRU&amp;lang=en_US&amp;offset=0&amp;query=any,contains,991000758209702656","Catalog Record")</f>
        <v>Catalog Record</v>
      </c>
      <c r="AT246" s="6" t="str">
        <f>HYPERLINK("http://www.worldcat.org/oclc/1060382","WorldCat Record")</f>
        <v>WorldCat Record</v>
      </c>
    </row>
    <row r="247" spans="1:46" ht="30" customHeight="1" x14ac:dyDescent="0.25">
      <c r="A247" s="8" t="s">
        <v>58</v>
      </c>
      <c r="B247" s="2" t="s">
        <v>1900</v>
      </c>
      <c r="C247" s="2" t="s">
        <v>1901</v>
      </c>
      <c r="D247" s="2" t="s">
        <v>1902</v>
      </c>
      <c r="F247" s="3" t="s">
        <v>58</v>
      </c>
      <c r="G247" s="3" t="s">
        <v>59</v>
      </c>
      <c r="H247" s="3" t="s">
        <v>103</v>
      </c>
      <c r="I247" s="3" t="s">
        <v>58</v>
      </c>
      <c r="J247" s="3" t="s">
        <v>60</v>
      </c>
      <c r="K247" s="2" t="s">
        <v>1903</v>
      </c>
      <c r="L247" s="2" t="s">
        <v>1904</v>
      </c>
      <c r="M247" s="3" t="s">
        <v>560</v>
      </c>
      <c r="N247" s="2" t="s">
        <v>331</v>
      </c>
      <c r="O247" s="3" t="s">
        <v>64</v>
      </c>
      <c r="P247" s="3" t="s">
        <v>911</v>
      </c>
      <c r="Q247" s="2" t="s">
        <v>300</v>
      </c>
      <c r="R247" s="3" t="s">
        <v>912</v>
      </c>
      <c r="S247" s="4">
        <v>7</v>
      </c>
      <c r="T247" s="4">
        <v>7</v>
      </c>
      <c r="U247" s="5" t="s">
        <v>1905</v>
      </c>
      <c r="V247" s="5" t="s">
        <v>1905</v>
      </c>
      <c r="W247" s="5" t="s">
        <v>1313</v>
      </c>
      <c r="X247" s="5" t="s">
        <v>1313</v>
      </c>
      <c r="Y247" s="4">
        <v>299</v>
      </c>
      <c r="Z247" s="4">
        <v>237</v>
      </c>
      <c r="AA247" s="4">
        <v>427</v>
      </c>
      <c r="AB247" s="4">
        <v>2</v>
      </c>
      <c r="AC247" s="4">
        <v>4</v>
      </c>
      <c r="AD247" s="4">
        <v>9</v>
      </c>
      <c r="AE247" s="4">
        <v>19</v>
      </c>
      <c r="AF247" s="4">
        <v>5</v>
      </c>
      <c r="AG247" s="4">
        <v>9</v>
      </c>
      <c r="AH247" s="4">
        <v>2</v>
      </c>
      <c r="AI247" s="4">
        <v>4</v>
      </c>
      <c r="AJ247" s="4">
        <v>6</v>
      </c>
      <c r="AK247" s="4">
        <v>11</v>
      </c>
      <c r="AL247" s="4">
        <v>0</v>
      </c>
      <c r="AM247" s="4">
        <v>1</v>
      </c>
      <c r="AN247" s="4">
        <v>0</v>
      </c>
      <c r="AO247" s="4">
        <v>0</v>
      </c>
      <c r="AP247" s="3" t="s">
        <v>58</v>
      </c>
      <c r="AQ247" s="3" t="s">
        <v>58</v>
      </c>
      <c r="AS247" s="6" t="str">
        <f>HYPERLINK("https://creighton-primo.hosted.exlibrisgroup.com/primo-explore/search?tab=default_tab&amp;search_scope=EVERYTHING&amp;vid=01CRU&amp;lang=en_US&amp;offset=0&amp;query=any,contains,991000798709702656","Catalog Record")</f>
        <v>Catalog Record</v>
      </c>
      <c r="AT247" s="6" t="str">
        <f>HYPERLINK("http://www.worldcat.org/oclc/9894992","WorldCat Record")</f>
        <v>WorldCat Record</v>
      </c>
    </row>
    <row r="248" spans="1:46" ht="30" customHeight="1" x14ac:dyDescent="0.25">
      <c r="A248" s="8" t="s">
        <v>58</v>
      </c>
      <c r="B248" s="2" t="s">
        <v>1906</v>
      </c>
      <c r="C248" s="2" t="s">
        <v>1907</v>
      </c>
      <c r="D248" s="2" t="s">
        <v>1908</v>
      </c>
      <c r="F248" s="3" t="s">
        <v>58</v>
      </c>
      <c r="G248" s="3" t="s">
        <v>59</v>
      </c>
      <c r="H248" s="3" t="s">
        <v>58</v>
      </c>
      <c r="I248" s="3" t="s">
        <v>58</v>
      </c>
      <c r="J248" s="3" t="s">
        <v>60</v>
      </c>
      <c r="K248" s="2" t="s">
        <v>1909</v>
      </c>
      <c r="L248" s="2" t="s">
        <v>1910</v>
      </c>
      <c r="M248" s="3" t="s">
        <v>330</v>
      </c>
      <c r="O248" s="3" t="s">
        <v>64</v>
      </c>
      <c r="P248" s="3" t="s">
        <v>346</v>
      </c>
      <c r="R248" s="3" t="s">
        <v>912</v>
      </c>
      <c r="S248" s="4">
        <v>7</v>
      </c>
      <c r="T248" s="4">
        <v>7</v>
      </c>
      <c r="U248" s="5" t="s">
        <v>1911</v>
      </c>
      <c r="V248" s="5" t="s">
        <v>1911</v>
      </c>
      <c r="W248" s="5" t="s">
        <v>1313</v>
      </c>
      <c r="X248" s="5" t="s">
        <v>1313</v>
      </c>
      <c r="Y248" s="4">
        <v>134</v>
      </c>
      <c r="Z248" s="4">
        <v>98</v>
      </c>
      <c r="AA248" s="4">
        <v>120</v>
      </c>
      <c r="AB248" s="4">
        <v>2</v>
      </c>
      <c r="AC248" s="4">
        <v>2</v>
      </c>
      <c r="AD248" s="4">
        <v>2</v>
      </c>
      <c r="AE248" s="4">
        <v>2</v>
      </c>
      <c r="AF248" s="4">
        <v>0</v>
      </c>
      <c r="AG248" s="4">
        <v>0</v>
      </c>
      <c r="AH248" s="4">
        <v>1</v>
      </c>
      <c r="AI248" s="4">
        <v>1</v>
      </c>
      <c r="AJ248" s="4">
        <v>0</v>
      </c>
      <c r="AK248" s="4">
        <v>0</v>
      </c>
      <c r="AL248" s="4">
        <v>1</v>
      </c>
      <c r="AM248" s="4">
        <v>1</v>
      </c>
      <c r="AN248" s="4">
        <v>0</v>
      </c>
      <c r="AO248" s="4">
        <v>0</v>
      </c>
      <c r="AP248" s="3" t="s">
        <v>58</v>
      </c>
      <c r="AQ248" s="3" t="s">
        <v>103</v>
      </c>
      <c r="AR248" s="6" t="str">
        <f>HYPERLINK("http://catalog.hathitrust.org/Record/000773271","HathiTrust Record")</f>
        <v>HathiTrust Record</v>
      </c>
      <c r="AS248" s="6" t="str">
        <f>HYPERLINK("https://creighton-primo.hosted.exlibrisgroup.com/primo-explore/search?tab=default_tab&amp;search_scope=EVERYTHING&amp;vid=01CRU&amp;lang=en_US&amp;offset=0&amp;query=any,contains,991000798669702656","Catalog Record")</f>
        <v>Catalog Record</v>
      </c>
      <c r="AT248" s="6" t="str">
        <f>HYPERLINK("http://www.worldcat.org/oclc/8628835","WorldCat Record")</f>
        <v>WorldCat Record</v>
      </c>
    </row>
    <row r="249" spans="1:46" ht="30" customHeight="1" x14ac:dyDescent="0.25">
      <c r="A249" s="8" t="s">
        <v>58</v>
      </c>
      <c r="B249" s="2" t="s">
        <v>1912</v>
      </c>
      <c r="C249" s="2" t="s">
        <v>1913</v>
      </c>
      <c r="D249" s="2" t="s">
        <v>1914</v>
      </c>
      <c r="F249" s="3" t="s">
        <v>58</v>
      </c>
      <c r="G249" s="3" t="s">
        <v>59</v>
      </c>
      <c r="H249" s="3" t="s">
        <v>58</v>
      </c>
      <c r="I249" s="3" t="s">
        <v>58</v>
      </c>
      <c r="J249" s="3" t="s">
        <v>60</v>
      </c>
      <c r="K249" s="2" t="s">
        <v>1134</v>
      </c>
      <c r="L249" s="2" t="s">
        <v>1915</v>
      </c>
      <c r="M249" s="3" t="s">
        <v>83</v>
      </c>
      <c r="O249" s="3" t="s">
        <v>64</v>
      </c>
      <c r="P249" s="3" t="s">
        <v>65</v>
      </c>
      <c r="R249" s="3" t="s">
        <v>912</v>
      </c>
      <c r="S249" s="4">
        <v>22</v>
      </c>
      <c r="T249" s="4">
        <v>22</v>
      </c>
      <c r="U249" s="5" t="s">
        <v>1916</v>
      </c>
      <c r="V249" s="5" t="s">
        <v>1916</v>
      </c>
      <c r="W249" s="5" t="s">
        <v>1917</v>
      </c>
      <c r="X249" s="5" t="s">
        <v>1917</v>
      </c>
      <c r="Y249" s="4">
        <v>196</v>
      </c>
      <c r="Z249" s="4">
        <v>143</v>
      </c>
      <c r="AA249" s="4">
        <v>236</v>
      </c>
      <c r="AB249" s="4">
        <v>1</v>
      </c>
      <c r="AC249" s="4">
        <v>2</v>
      </c>
      <c r="AD249" s="4">
        <v>3</v>
      </c>
      <c r="AE249" s="4">
        <v>11</v>
      </c>
      <c r="AF249" s="4">
        <v>0</v>
      </c>
      <c r="AG249" s="4">
        <v>3</v>
      </c>
      <c r="AH249" s="4">
        <v>0</v>
      </c>
      <c r="AI249" s="4">
        <v>2</v>
      </c>
      <c r="AJ249" s="4">
        <v>3</v>
      </c>
      <c r="AK249" s="4">
        <v>7</v>
      </c>
      <c r="AL249" s="4">
        <v>0</v>
      </c>
      <c r="AM249" s="4">
        <v>1</v>
      </c>
      <c r="AN249" s="4">
        <v>0</v>
      </c>
      <c r="AO249" s="4">
        <v>0</v>
      </c>
      <c r="AP249" s="3" t="s">
        <v>58</v>
      </c>
      <c r="AQ249" s="3" t="s">
        <v>58</v>
      </c>
      <c r="AS249" s="6" t="str">
        <f>HYPERLINK("https://creighton-primo.hosted.exlibrisgroup.com/primo-explore/search?tab=default_tab&amp;search_scope=EVERYTHING&amp;vid=01CRU&amp;lang=en_US&amp;offset=0&amp;query=any,contains,991001569779702656","Catalog Record")</f>
        <v>Catalog Record</v>
      </c>
      <c r="AT249" s="6" t="str">
        <f>HYPERLINK("http://www.worldcat.org/oclc/28345895","WorldCat Record")</f>
        <v>WorldCat Record</v>
      </c>
    </row>
    <row r="250" spans="1:46" ht="30" customHeight="1" x14ac:dyDescent="0.25">
      <c r="A250" s="8" t="s">
        <v>58</v>
      </c>
      <c r="B250" s="2" t="s">
        <v>1918</v>
      </c>
      <c r="C250" s="2" t="s">
        <v>1919</v>
      </c>
      <c r="D250" s="2" t="s">
        <v>1920</v>
      </c>
      <c r="F250" s="3" t="s">
        <v>58</v>
      </c>
      <c r="G250" s="3" t="s">
        <v>59</v>
      </c>
      <c r="H250" s="3" t="s">
        <v>58</v>
      </c>
      <c r="I250" s="3" t="s">
        <v>58</v>
      </c>
      <c r="J250" s="3" t="s">
        <v>60</v>
      </c>
      <c r="K250" s="2" t="s">
        <v>1921</v>
      </c>
      <c r="L250" s="2" t="s">
        <v>1922</v>
      </c>
      <c r="M250" s="3" t="s">
        <v>431</v>
      </c>
      <c r="O250" s="3" t="s">
        <v>64</v>
      </c>
      <c r="P250" s="3" t="s">
        <v>911</v>
      </c>
      <c r="R250" s="3" t="s">
        <v>912</v>
      </c>
      <c r="S250" s="4">
        <v>20</v>
      </c>
      <c r="T250" s="4">
        <v>20</v>
      </c>
      <c r="U250" s="5" t="s">
        <v>1923</v>
      </c>
      <c r="V250" s="5" t="s">
        <v>1923</v>
      </c>
      <c r="W250" s="5" t="s">
        <v>1313</v>
      </c>
      <c r="X250" s="5" t="s">
        <v>1313</v>
      </c>
      <c r="Y250" s="4">
        <v>143</v>
      </c>
      <c r="Z250" s="4">
        <v>101</v>
      </c>
      <c r="AA250" s="4">
        <v>101</v>
      </c>
      <c r="AB250" s="4">
        <v>2</v>
      </c>
      <c r="AC250" s="4">
        <v>2</v>
      </c>
      <c r="AD250" s="4">
        <v>2</v>
      </c>
      <c r="AE250" s="4">
        <v>2</v>
      </c>
      <c r="AF250" s="4">
        <v>0</v>
      </c>
      <c r="AG250" s="4">
        <v>0</v>
      </c>
      <c r="AH250" s="4">
        <v>1</v>
      </c>
      <c r="AI250" s="4">
        <v>1</v>
      </c>
      <c r="AJ250" s="4">
        <v>1</v>
      </c>
      <c r="AK250" s="4">
        <v>1</v>
      </c>
      <c r="AL250" s="4">
        <v>1</v>
      </c>
      <c r="AM250" s="4">
        <v>1</v>
      </c>
      <c r="AN250" s="4">
        <v>0</v>
      </c>
      <c r="AO250" s="4">
        <v>0</v>
      </c>
      <c r="AP250" s="3" t="s">
        <v>58</v>
      </c>
      <c r="AQ250" s="3" t="s">
        <v>58</v>
      </c>
      <c r="AS250" s="6" t="str">
        <f>HYPERLINK("https://creighton-primo.hosted.exlibrisgroup.com/primo-explore/search?tab=default_tab&amp;search_scope=EVERYTHING&amp;vid=01CRU&amp;lang=en_US&amp;offset=0&amp;query=any,contains,991000798739702656","Catalog Record")</f>
        <v>Catalog Record</v>
      </c>
      <c r="AT250" s="6" t="str">
        <f>HYPERLINK("http://www.worldcat.org/oclc/5273181","WorldCat Record")</f>
        <v>WorldCat Record</v>
      </c>
    </row>
    <row r="251" spans="1:46" ht="30" customHeight="1" x14ac:dyDescent="0.25">
      <c r="A251" s="8" t="s">
        <v>58</v>
      </c>
      <c r="B251" s="2" t="s">
        <v>1924</v>
      </c>
      <c r="C251" s="2" t="s">
        <v>1925</v>
      </c>
      <c r="D251" s="2" t="s">
        <v>1926</v>
      </c>
      <c r="F251" s="3" t="s">
        <v>58</v>
      </c>
      <c r="G251" s="3" t="s">
        <v>59</v>
      </c>
      <c r="H251" s="3" t="s">
        <v>103</v>
      </c>
      <c r="I251" s="3" t="s">
        <v>58</v>
      </c>
      <c r="J251" s="3" t="s">
        <v>60</v>
      </c>
      <c r="K251" s="2" t="s">
        <v>1927</v>
      </c>
      <c r="L251" s="2" t="s">
        <v>1928</v>
      </c>
      <c r="M251" s="3" t="s">
        <v>1311</v>
      </c>
      <c r="O251" s="3" t="s">
        <v>64</v>
      </c>
      <c r="P251" s="3" t="s">
        <v>911</v>
      </c>
      <c r="R251" s="3" t="s">
        <v>912</v>
      </c>
      <c r="S251" s="4">
        <v>9</v>
      </c>
      <c r="T251" s="4">
        <v>9</v>
      </c>
      <c r="U251" s="5" t="s">
        <v>1929</v>
      </c>
      <c r="V251" s="5" t="s">
        <v>1929</v>
      </c>
      <c r="W251" s="5" t="s">
        <v>1313</v>
      </c>
      <c r="X251" s="5" t="s">
        <v>1313</v>
      </c>
      <c r="Y251" s="4">
        <v>247</v>
      </c>
      <c r="Z251" s="4">
        <v>209</v>
      </c>
      <c r="AA251" s="4">
        <v>211</v>
      </c>
      <c r="AB251" s="4">
        <v>4</v>
      </c>
      <c r="AC251" s="4">
        <v>4</v>
      </c>
      <c r="AD251" s="4">
        <v>8</v>
      </c>
      <c r="AE251" s="4">
        <v>8</v>
      </c>
      <c r="AF251" s="4">
        <v>1</v>
      </c>
      <c r="AG251" s="4">
        <v>1</v>
      </c>
      <c r="AH251" s="4">
        <v>4</v>
      </c>
      <c r="AI251" s="4">
        <v>4</v>
      </c>
      <c r="AJ251" s="4">
        <v>3</v>
      </c>
      <c r="AK251" s="4">
        <v>3</v>
      </c>
      <c r="AL251" s="4">
        <v>2</v>
      </c>
      <c r="AM251" s="4">
        <v>2</v>
      </c>
      <c r="AN251" s="4">
        <v>0</v>
      </c>
      <c r="AO251" s="4">
        <v>0</v>
      </c>
      <c r="AP251" s="3" t="s">
        <v>58</v>
      </c>
      <c r="AQ251" s="3" t="s">
        <v>103</v>
      </c>
      <c r="AR251" s="6" t="str">
        <f>HYPERLINK("http://catalog.hathitrust.org/Record/000253827","HathiTrust Record")</f>
        <v>HathiTrust Record</v>
      </c>
      <c r="AS251" s="6" t="str">
        <f>HYPERLINK("https://creighton-primo.hosted.exlibrisgroup.com/primo-explore/search?tab=default_tab&amp;search_scope=EVERYTHING&amp;vid=01CRU&amp;lang=en_US&amp;offset=0&amp;query=any,contains,991000798779702656","Catalog Record")</f>
        <v>Catalog Record</v>
      </c>
      <c r="AT251" s="6" t="str">
        <f>HYPERLINK("http://www.worldcat.org/oclc/3078285","WorldCat Record")</f>
        <v>WorldCat Record</v>
      </c>
    </row>
    <row r="252" spans="1:46" ht="30" customHeight="1" x14ac:dyDescent="0.25">
      <c r="A252" s="8" t="s">
        <v>58</v>
      </c>
      <c r="B252" s="2" t="s">
        <v>1930</v>
      </c>
      <c r="C252" s="2" t="s">
        <v>1931</v>
      </c>
      <c r="D252" s="2" t="s">
        <v>878</v>
      </c>
      <c r="F252" s="3" t="s">
        <v>58</v>
      </c>
      <c r="G252" s="3" t="s">
        <v>59</v>
      </c>
      <c r="H252" s="3" t="s">
        <v>103</v>
      </c>
      <c r="I252" s="3" t="s">
        <v>58</v>
      </c>
      <c r="J252" s="3" t="s">
        <v>60</v>
      </c>
      <c r="K252" s="2" t="s">
        <v>879</v>
      </c>
      <c r="L252" s="2" t="s">
        <v>880</v>
      </c>
      <c r="M252" s="3" t="s">
        <v>881</v>
      </c>
      <c r="N252" s="2" t="s">
        <v>882</v>
      </c>
      <c r="O252" s="3" t="s">
        <v>64</v>
      </c>
      <c r="P252" s="3" t="s">
        <v>911</v>
      </c>
      <c r="R252" s="3" t="s">
        <v>912</v>
      </c>
      <c r="S252" s="4">
        <v>2</v>
      </c>
      <c r="T252" s="4">
        <v>2</v>
      </c>
      <c r="U252" s="5" t="s">
        <v>1932</v>
      </c>
      <c r="V252" s="5" t="s">
        <v>1932</v>
      </c>
      <c r="W252" s="5" t="s">
        <v>1933</v>
      </c>
      <c r="X252" s="5" t="s">
        <v>1933</v>
      </c>
      <c r="Y252" s="4">
        <v>240</v>
      </c>
      <c r="Z252" s="4">
        <v>197</v>
      </c>
      <c r="AA252" s="4">
        <v>201</v>
      </c>
      <c r="AB252" s="4">
        <v>2</v>
      </c>
      <c r="AC252" s="4">
        <v>2</v>
      </c>
      <c r="AD252" s="4">
        <v>4</v>
      </c>
      <c r="AE252" s="4">
        <v>4</v>
      </c>
      <c r="AF252" s="4">
        <v>0</v>
      </c>
      <c r="AG252" s="4">
        <v>0</v>
      </c>
      <c r="AH252" s="4">
        <v>3</v>
      </c>
      <c r="AI252" s="4">
        <v>3</v>
      </c>
      <c r="AJ252" s="4">
        <v>1</v>
      </c>
      <c r="AK252" s="4">
        <v>1</v>
      </c>
      <c r="AL252" s="4">
        <v>0</v>
      </c>
      <c r="AM252" s="4">
        <v>0</v>
      </c>
      <c r="AN252" s="4">
        <v>1</v>
      </c>
      <c r="AO252" s="4">
        <v>1</v>
      </c>
      <c r="AP252" s="3" t="s">
        <v>58</v>
      </c>
      <c r="AQ252" s="3" t="s">
        <v>103</v>
      </c>
      <c r="AR252" s="6" t="str">
        <f>HYPERLINK("http://catalog.hathitrust.org/Record/001545252","HathiTrust Record")</f>
        <v>HathiTrust Record</v>
      </c>
      <c r="AS252" s="6" t="str">
        <f>HYPERLINK("https://creighton-primo.hosted.exlibrisgroup.com/primo-explore/search?tab=default_tab&amp;search_scope=EVERYTHING&amp;vid=01CRU&amp;lang=en_US&amp;offset=0&amp;query=any,contains,991001448269702656","Catalog Record")</f>
        <v>Catalog Record</v>
      </c>
      <c r="AT252" s="6" t="str">
        <f>HYPERLINK("http://www.worldcat.org/oclc/19324857","WorldCat Record")</f>
        <v>WorldCat Record</v>
      </c>
    </row>
    <row r="253" spans="1:46" ht="30" customHeight="1" x14ac:dyDescent="0.25">
      <c r="A253" s="8" t="s">
        <v>58</v>
      </c>
      <c r="B253" s="2" t="s">
        <v>1934</v>
      </c>
      <c r="C253" s="2" t="s">
        <v>1935</v>
      </c>
      <c r="D253" s="2" t="s">
        <v>1936</v>
      </c>
      <c r="F253" s="3" t="s">
        <v>58</v>
      </c>
      <c r="G253" s="3" t="s">
        <v>59</v>
      </c>
      <c r="H253" s="3" t="s">
        <v>58</v>
      </c>
      <c r="I253" s="3" t="s">
        <v>58</v>
      </c>
      <c r="J253" s="3" t="s">
        <v>60</v>
      </c>
      <c r="K253" s="2" t="s">
        <v>1937</v>
      </c>
      <c r="L253" s="2" t="s">
        <v>1938</v>
      </c>
      <c r="M253" s="3" t="s">
        <v>1893</v>
      </c>
      <c r="O253" s="3" t="s">
        <v>64</v>
      </c>
      <c r="P253" s="3" t="s">
        <v>133</v>
      </c>
      <c r="R253" s="3" t="s">
        <v>912</v>
      </c>
      <c r="S253" s="4">
        <v>12</v>
      </c>
      <c r="T253" s="4">
        <v>12</v>
      </c>
      <c r="U253" s="5" t="s">
        <v>659</v>
      </c>
      <c r="V253" s="5" t="s">
        <v>659</v>
      </c>
      <c r="W253" s="5" t="s">
        <v>1250</v>
      </c>
      <c r="X253" s="5" t="s">
        <v>1250</v>
      </c>
      <c r="Y253" s="4">
        <v>492</v>
      </c>
      <c r="Z253" s="4">
        <v>460</v>
      </c>
      <c r="AA253" s="4">
        <v>530</v>
      </c>
      <c r="AB253" s="4">
        <v>6</v>
      </c>
      <c r="AC253" s="4">
        <v>7</v>
      </c>
      <c r="AD253" s="4">
        <v>4</v>
      </c>
      <c r="AE253" s="4">
        <v>7</v>
      </c>
      <c r="AF253" s="4">
        <v>1</v>
      </c>
      <c r="AG253" s="4">
        <v>2</v>
      </c>
      <c r="AH253" s="4">
        <v>0</v>
      </c>
      <c r="AI253" s="4">
        <v>1</v>
      </c>
      <c r="AJ253" s="4">
        <v>0</v>
      </c>
      <c r="AK253" s="4">
        <v>2</v>
      </c>
      <c r="AL253" s="4">
        <v>3</v>
      </c>
      <c r="AM253" s="4">
        <v>3</v>
      </c>
      <c r="AN253" s="4">
        <v>0</v>
      </c>
      <c r="AO253" s="4">
        <v>0</v>
      </c>
      <c r="AP253" s="3" t="s">
        <v>58</v>
      </c>
      <c r="AQ253" s="3" t="s">
        <v>103</v>
      </c>
      <c r="AR253" s="6" t="str">
        <f>HYPERLINK("http://catalog.hathitrust.org/Record/001570508","HathiTrust Record")</f>
        <v>HathiTrust Record</v>
      </c>
      <c r="AS253" s="6" t="str">
        <f>HYPERLINK("https://creighton-primo.hosted.exlibrisgroup.com/primo-explore/search?tab=default_tab&amp;search_scope=EVERYTHING&amp;vid=01CRU&amp;lang=en_US&amp;offset=0&amp;query=any,contains,991000798889702656","Catalog Record")</f>
        <v>Catalog Record</v>
      </c>
      <c r="AT253" s="6" t="str">
        <f>HYPERLINK("http://www.worldcat.org/oclc/578207","WorldCat Record")</f>
        <v>WorldCat Record</v>
      </c>
    </row>
    <row r="254" spans="1:46" ht="30" customHeight="1" x14ac:dyDescent="0.25">
      <c r="A254" s="8" t="s">
        <v>58</v>
      </c>
      <c r="B254" s="2" t="s">
        <v>1939</v>
      </c>
      <c r="C254" s="2" t="s">
        <v>1940</v>
      </c>
      <c r="D254" s="2" t="s">
        <v>1941</v>
      </c>
      <c r="F254" s="3" t="s">
        <v>58</v>
      </c>
      <c r="G254" s="3" t="s">
        <v>59</v>
      </c>
      <c r="H254" s="3" t="s">
        <v>58</v>
      </c>
      <c r="I254" s="3" t="s">
        <v>58</v>
      </c>
      <c r="J254" s="3" t="s">
        <v>60</v>
      </c>
      <c r="K254" s="2" t="s">
        <v>1942</v>
      </c>
      <c r="L254" s="2" t="s">
        <v>1943</v>
      </c>
      <c r="M254" s="3" t="s">
        <v>474</v>
      </c>
      <c r="N254" s="2" t="s">
        <v>1944</v>
      </c>
      <c r="O254" s="3" t="s">
        <v>64</v>
      </c>
      <c r="P254" s="3" t="s">
        <v>1945</v>
      </c>
      <c r="Q254" s="2" t="s">
        <v>1946</v>
      </c>
      <c r="R254" s="3" t="s">
        <v>912</v>
      </c>
      <c r="S254" s="4">
        <v>5</v>
      </c>
      <c r="T254" s="4">
        <v>5</v>
      </c>
      <c r="U254" s="5" t="s">
        <v>1947</v>
      </c>
      <c r="V254" s="5" t="s">
        <v>1947</v>
      </c>
      <c r="W254" s="5" t="s">
        <v>1948</v>
      </c>
      <c r="X254" s="5" t="s">
        <v>1948</v>
      </c>
      <c r="Y254" s="4">
        <v>17</v>
      </c>
      <c r="Z254" s="4">
        <v>16</v>
      </c>
      <c r="AA254" s="4">
        <v>38</v>
      </c>
      <c r="AB254" s="4">
        <v>1</v>
      </c>
      <c r="AC254" s="4">
        <v>1</v>
      </c>
      <c r="AD254" s="4">
        <v>0</v>
      </c>
      <c r="AE254" s="4">
        <v>0</v>
      </c>
      <c r="AF254" s="4">
        <v>0</v>
      </c>
      <c r="AG254" s="4">
        <v>0</v>
      </c>
      <c r="AH254" s="4">
        <v>0</v>
      </c>
      <c r="AI254" s="4">
        <v>0</v>
      </c>
      <c r="AJ254" s="4">
        <v>0</v>
      </c>
      <c r="AK254" s="4">
        <v>0</v>
      </c>
      <c r="AL254" s="4">
        <v>0</v>
      </c>
      <c r="AM254" s="4">
        <v>0</v>
      </c>
      <c r="AN254" s="4">
        <v>0</v>
      </c>
      <c r="AO254" s="4">
        <v>0</v>
      </c>
      <c r="AP254" s="3" t="s">
        <v>58</v>
      </c>
      <c r="AQ254" s="3" t="s">
        <v>58</v>
      </c>
      <c r="AS254" s="6" t="str">
        <f>HYPERLINK("https://creighton-primo.hosted.exlibrisgroup.com/primo-explore/search?tab=default_tab&amp;search_scope=EVERYTHING&amp;vid=01CRU&amp;lang=en_US&amp;offset=0&amp;query=any,contains,991000819029702656","Catalog Record")</f>
        <v>Catalog Record</v>
      </c>
      <c r="AT254" s="6" t="str">
        <f>HYPERLINK("http://www.worldcat.org/oclc/23378752","WorldCat Record")</f>
        <v>WorldCat Record</v>
      </c>
    </row>
    <row r="255" spans="1:46" ht="30" customHeight="1" x14ac:dyDescent="0.25">
      <c r="A255" s="8" t="s">
        <v>58</v>
      </c>
      <c r="B255" s="2" t="s">
        <v>1949</v>
      </c>
      <c r="C255" s="2" t="s">
        <v>1950</v>
      </c>
      <c r="D255" s="2" t="s">
        <v>1951</v>
      </c>
      <c r="F255" s="3" t="s">
        <v>58</v>
      </c>
      <c r="G255" s="3" t="s">
        <v>59</v>
      </c>
      <c r="H255" s="3" t="s">
        <v>58</v>
      </c>
      <c r="I255" s="3" t="s">
        <v>58</v>
      </c>
      <c r="J255" s="3" t="s">
        <v>60</v>
      </c>
      <c r="K255" s="2" t="s">
        <v>1952</v>
      </c>
      <c r="L255" s="2" t="s">
        <v>1953</v>
      </c>
      <c r="M255" s="3" t="s">
        <v>505</v>
      </c>
      <c r="O255" s="3" t="s">
        <v>64</v>
      </c>
      <c r="P255" s="3" t="s">
        <v>315</v>
      </c>
      <c r="R255" s="3" t="s">
        <v>912</v>
      </c>
      <c r="S255" s="4">
        <v>9</v>
      </c>
      <c r="T255" s="4">
        <v>9</v>
      </c>
      <c r="U255" s="5" t="s">
        <v>1954</v>
      </c>
      <c r="V255" s="5" t="s">
        <v>1954</v>
      </c>
      <c r="W255" s="5" t="s">
        <v>1955</v>
      </c>
      <c r="X255" s="5" t="s">
        <v>1955</v>
      </c>
      <c r="Y255" s="4">
        <v>278</v>
      </c>
      <c r="Z255" s="4">
        <v>241</v>
      </c>
      <c r="AA255" s="4">
        <v>244</v>
      </c>
      <c r="AB255" s="4">
        <v>3</v>
      </c>
      <c r="AC255" s="4">
        <v>3</v>
      </c>
      <c r="AD255" s="4">
        <v>10</v>
      </c>
      <c r="AE255" s="4">
        <v>10</v>
      </c>
      <c r="AF255" s="4">
        <v>5</v>
      </c>
      <c r="AG255" s="4">
        <v>5</v>
      </c>
      <c r="AH255" s="4">
        <v>1</v>
      </c>
      <c r="AI255" s="4">
        <v>1</v>
      </c>
      <c r="AJ255" s="4">
        <v>3</v>
      </c>
      <c r="AK255" s="4">
        <v>3</v>
      </c>
      <c r="AL255" s="4">
        <v>2</v>
      </c>
      <c r="AM255" s="4">
        <v>2</v>
      </c>
      <c r="AN255" s="4">
        <v>0</v>
      </c>
      <c r="AO255" s="4">
        <v>0</v>
      </c>
      <c r="AP255" s="3" t="s">
        <v>58</v>
      </c>
      <c r="AQ255" s="3" t="s">
        <v>103</v>
      </c>
      <c r="AR255" s="6" t="str">
        <f>HYPERLINK("http://catalog.hathitrust.org/Record/000007785","HathiTrust Record")</f>
        <v>HathiTrust Record</v>
      </c>
      <c r="AS255" s="6" t="str">
        <f>HYPERLINK("https://creighton-primo.hosted.exlibrisgroup.com/primo-explore/search?tab=default_tab&amp;search_scope=EVERYTHING&amp;vid=01CRU&amp;lang=en_US&amp;offset=0&amp;query=any,contains,991000798819702656","Catalog Record")</f>
        <v>Catalog Record</v>
      </c>
      <c r="AT255" s="6" t="str">
        <f>HYPERLINK("http://www.worldcat.org/oclc/578118","WorldCat Record")</f>
        <v>WorldCat Record</v>
      </c>
    </row>
    <row r="256" spans="1:46" ht="30" customHeight="1" x14ac:dyDescent="0.25">
      <c r="A256" s="8" t="s">
        <v>58</v>
      </c>
      <c r="B256" s="2" t="s">
        <v>1956</v>
      </c>
      <c r="C256" s="2" t="s">
        <v>1957</v>
      </c>
      <c r="D256" s="2" t="s">
        <v>1958</v>
      </c>
      <c r="F256" s="3" t="s">
        <v>58</v>
      </c>
      <c r="G256" s="3" t="s">
        <v>59</v>
      </c>
      <c r="H256" s="3" t="s">
        <v>58</v>
      </c>
      <c r="I256" s="3" t="s">
        <v>58</v>
      </c>
      <c r="J256" s="3" t="s">
        <v>60</v>
      </c>
      <c r="K256" s="2" t="s">
        <v>1959</v>
      </c>
      <c r="L256" s="2" t="s">
        <v>1960</v>
      </c>
      <c r="M256" s="3" t="s">
        <v>1893</v>
      </c>
      <c r="O256" s="3" t="s">
        <v>64</v>
      </c>
      <c r="P256" s="3" t="s">
        <v>65</v>
      </c>
      <c r="R256" s="3" t="s">
        <v>912</v>
      </c>
      <c r="S256" s="4">
        <v>7</v>
      </c>
      <c r="T256" s="4">
        <v>7</v>
      </c>
      <c r="U256" s="5" t="s">
        <v>1961</v>
      </c>
      <c r="V256" s="5" t="s">
        <v>1961</v>
      </c>
      <c r="W256" s="5" t="s">
        <v>1962</v>
      </c>
      <c r="X256" s="5" t="s">
        <v>1962</v>
      </c>
      <c r="Y256" s="4">
        <v>161</v>
      </c>
      <c r="Z256" s="4">
        <v>100</v>
      </c>
      <c r="AA256" s="4">
        <v>154</v>
      </c>
      <c r="AB256" s="4">
        <v>1</v>
      </c>
      <c r="AC256" s="4">
        <v>1</v>
      </c>
      <c r="AD256" s="4">
        <v>2</v>
      </c>
      <c r="AE256" s="4">
        <v>5</v>
      </c>
      <c r="AF256" s="4">
        <v>0</v>
      </c>
      <c r="AG256" s="4">
        <v>1</v>
      </c>
      <c r="AH256" s="4">
        <v>1</v>
      </c>
      <c r="AI256" s="4">
        <v>2</v>
      </c>
      <c r="AJ256" s="4">
        <v>2</v>
      </c>
      <c r="AK256" s="4">
        <v>3</v>
      </c>
      <c r="AL256" s="4">
        <v>0</v>
      </c>
      <c r="AM256" s="4">
        <v>0</v>
      </c>
      <c r="AN256" s="4">
        <v>0</v>
      </c>
      <c r="AO256" s="4">
        <v>0</v>
      </c>
      <c r="AP256" s="3" t="s">
        <v>58</v>
      </c>
      <c r="AQ256" s="3" t="s">
        <v>103</v>
      </c>
      <c r="AR256" s="6" t="str">
        <f>HYPERLINK("http://catalog.hathitrust.org/Record/001561271","HathiTrust Record")</f>
        <v>HathiTrust Record</v>
      </c>
      <c r="AS256" s="6" t="str">
        <f>HYPERLINK("https://creighton-primo.hosted.exlibrisgroup.com/primo-explore/search?tab=default_tab&amp;search_scope=EVERYTHING&amp;vid=01CRU&amp;lang=en_US&amp;offset=0&amp;query=any,contains,991000798939702656","Catalog Record")</f>
        <v>Catalog Record</v>
      </c>
      <c r="AT256" s="6" t="str">
        <f>HYPERLINK("http://www.worldcat.org/oclc/323185","WorldCat Record")</f>
        <v>WorldCat Record</v>
      </c>
    </row>
    <row r="257" spans="1:46" ht="30" customHeight="1" x14ac:dyDescent="0.25">
      <c r="A257" s="8" t="s">
        <v>58</v>
      </c>
      <c r="B257" s="2" t="s">
        <v>1963</v>
      </c>
      <c r="C257" s="2" t="s">
        <v>1964</v>
      </c>
      <c r="D257" s="2" t="s">
        <v>1965</v>
      </c>
      <c r="F257" s="3" t="s">
        <v>58</v>
      </c>
      <c r="G257" s="3" t="s">
        <v>59</v>
      </c>
      <c r="H257" s="3" t="s">
        <v>58</v>
      </c>
      <c r="I257" s="3" t="s">
        <v>58</v>
      </c>
      <c r="J257" s="3" t="s">
        <v>60</v>
      </c>
      <c r="K257" s="2" t="s">
        <v>1966</v>
      </c>
      <c r="L257" s="2" t="s">
        <v>1967</v>
      </c>
      <c r="M257" s="3" t="s">
        <v>1180</v>
      </c>
      <c r="N257" s="2" t="s">
        <v>1968</v>
      </c>
      <c r="O257" s="3" t="s">
        <v>64</v>
      </c>
      <c r="P257" s="3" t="s">
        <v>1969</v>
      </c>
      <c r="R257" s="3" t="s">
        <v>912</v>
      </c>
      <c r="S257" s="4">
        <v>9</v>
      </c>
      <c r="T257" s="4">
        <v>9</v>
      </c>
      <c r="U257" s="5" t="s">
        <v>1970</v>
      </c>
      <c r="V257" s="5" t="s">
        <v>1970</v>
      </c>
      <c r="W257" s="5" t="s">
        <v>1313</v>
      </c>
      <c r="X257" s="5" t="s">
        <v>1313</v>
      </c>
      <c r="Y257" s="4">
        <v>23</v>
      </c>
      <c r="Z257" s="4">
        <v>23</v>
      </c>
      <c r="AA257" s="4">
        <v>23</v>
      </c>
      <c r="AB257" s="4">
        <v>2</v>
      </c>
      <c r="AC257" s="4">
        <v>2</v>
      </c>
      <c r="AD257" s="4">
        <v>2</v>
      </c>
      <c r="AE257" s="4">
        <v>2</v>
      </c>
      <c r="AF257" s="4">
        <v>1</v>
      </c>
      <c r="AG257" s="4">
        <v>1</v>
      </c>
      <c r="AH257" s="4">
        <v>0</v>
      </c>
      <c r="AI257" s="4">
        <v>0</v>
      </c>
      <c r="AJ257" s="4">
        <v>0</v>
      </c>
      <c r="AK257" s="4">
        <v>0</v>
      </c>
      <c r="AL257" s="4">
        <v>1</v>
      </c>
      <c r="AM257" s="4">
        <v>1</v>
      </c>
      <c r="AN257" s="4">
        <v>0</v>
      </c>
      <c r="AO257" s="4">
        <v>0</v>
      </c>
      <c r="AP257" s="3" t="s">
        <v>58</v>
      </c>
      <c r="AQ257" s="3" t="s">
        <v>58</v>
      </c>
      <c r="AS257" s="6" t="str">
        <f>HYPERLINK("https://creighton-primo.hosted.exlibrisgroup.com/primo-explore/search?tab=default_tab&amp;search_scope=EVERYTHING&amp;vid=01CRU&amp;lang=en_US&amp;offset=0&amp;query=any,contains,991000798969702656","Catalog Record")</f>
        <v>Catalog Record</v>
      </c>
      <c r="AT257" s="6" t="str">
        <f>HYPERLINK("http://www.worldcat.org/oclc/7209302","WorldCat Record")</f>
        <v>WorldCat Record</v>
      </c>
    </row>
    <row r="258" spans="1:46" ht="30" customHeight="1" x14ac:dyDescent="0.25">
      <c r="A258" s="8" t="s">
        <v>58</v>
      </c>
      <c r="B258" s="2" t="s">
        <v>1971</v>
      </c>
      <c r="C258" s="2" t="s">
        <v>1972</v>
      </c>
      <c r="D258" s="2" t="s">
        <v>1973</v>
      </c>
      <c r="F258" s="3" t="s">
        <v>58</v>
      </c>
      <c r="G258" s="3" t="s">
        <v>59</v>
      </c>
      <c r="H258" s="3" t="s">
        <v>58</v>
      </c>
      <c r="I258" s="3" t="s">
        <v>58</v>
      </c>
      <c r="J258" s="3" t="s">
        <v>60</v>
      </c>
      <c r="L258" s="2" t="s">
        <v>1974</v>
      </c>
      <c r="M258" s="3" t="s">
        <v>298</v>
      </c>
      <c r="O258" s="3" t="s">
        <v>64</v>
      </c>
      <c r="P258" s="3" t="s">
        <v>133</v>
      </c>
      <c r="R258" s="3" t="s">
        <v>912</v>
      </c>
      <c r="S258" s="4">
        <v>5</v>
      </c>
      <c r="T258" s="4">
        <v>5</v>
      </c>
      <c r="U258" s="5" t="s">
        <v>1975</v>
      </c>
      <c r="V258" s="5" t="s">
        <v>1975</v>
      </c>
      <c r="W258" s="5" t="s">
        <v>1313</v>
      </c>
      <c r="X258" s="5" t="s">
        <v>1313</v>
      </c>
      <c r="Y258" s="4">
        <v>123</v>
      </c>
      <c r="Z258" s="4">
        <v>81</v>
      </c>
      <c r="AA258" s="4">
        <v>115</v>
      </c>
      <c r="AB258" s="4">
        <v>2</v>
      </c>
      <c r="AC258" s="4">
        <v>2</v>
      </c>
      <c r="AD258" s="4">
        <v>1</v>
      </c>
      <c r="AE258" s="4">
        <v>2</v>
      </c>
      <c r="AF258" s="4">
        <v>0</v>
      </c>
      <c r="AG258" s="4">
        <v>0</v>
      </c>
      <c r="AH258" s="4">
        <v>0</v>
      </c>
      <c r="AI258" s="4">
        <v>0</v>
      </c>
      <c r="AJ258" s="4">
        <v>0</v>
      </c>
      <c r="AK258" s="4">
        <v>1</v>
      </c>
      <c r="AL258" s="4">
        <v>1</v>
      </c>
      <c r="AM258" s="4">
        <v>1</v>
      </c>
      <c r="AN258" s="4">
        <v>0</v>
      </c>
      <c r="AO258" s="4">
        <v>0</v>
      </c>
      <c r="AP258" s="3" t="s">
        <v>58</v>
      </c>
      <c r="AQ258" s="3" t="s">
        <v>103</v>
      </c>
      <c r="AR258" s="6" t="str">
        <f>HYPERLINK("http://catalog.hathitrust.org/Record/000696293","HathiTrust Record")</f>
        <v>HathiTrust Record</v>
      </c>
      <c r="AS258" s="6" t="str">
        <f>HYPERLINK("https://creighton-primo.hosted.exlibrisgroup.com/primo-explore/search?tab=default_tab&amp;search_scope=EVERYTHING&amp;vid=01CRU&amp;lang=en_US&amp;offset=0&amp;query=any,contains,991000799009702656","Catalog Record")</f>
        <v>Catalog Record</v>
      </c>
      <c r="AT258" s="6" t="str">
        <f>HYPERLINK("http://www.worldcat.org/oclc/4956499","WorldCat Record")</f>
        <v>WorldCat Record</v>
      </c>
    </row>
    <row r="259" spans="1:46" ht="30" customHeight="1" x14ac:dyDescent="0.25">
      <c r="A259" s="8" t="s">
        <v>58</v>
      </c>
      <c r="B259" s="2" t="s">
        <v>1976</v>
      </c>
      <c r="C259" s="2" t="s">
        <v>1977</v>
      </c>
      <c r="D259" s="2" t="s">
        <v>1978</v>
      </c>
      <c r="F259" s="3" t="s">
        <v>58</v>
      </c>
      <c r="G259" s="3" t="s">
        <v>59</v>
      </c>
      <c r="H259" s="3" t="s">
        <v>58</v>
      </c>
      <c r="I259" s="3" t="s">
        <v>58</v>
      </c>
      <c r="J259" s="3" t="s">
        <v>60</v>
      </c>
      <c r="K259" s="2" t="s">
        <v>1979</v>
      </c>
      <c r="L259" s="2" t="s">
        <v>1980</v>
      </c>
      <c r="M259" s="3" t="s">
        <v>975</v>
      </c>
      <c r="O259" s="3" t="s">
        <v>64</v>
      </c>
      <c r="P259" s="3" t="s">
        <v>1167</v>
      </c>
      <c r="R259" s="3" t="s">
        <v>912</v>
      </c>
      <c r="S259" s="4">
        <v>21</v>
      </c>
      <c r="T259" s="4">
        <v>21</v>
      </c>
      <c r="U259" s="5" t="s">
        <v>1981</v>
      </c>
      <c r="V259" s="5" t="s">
        <v>1981</v>
      </c>
      <c r="W259" s="5" t="s">
        <v>1982</v>
      </c>
      <c r="X259" s="5" t="s">
        <v>1982</v>
      </c>
      <c r="Y259" s="4">
        <v>262</v>
      </c>
      <c r="Z259" s="4">
        <v>180</v>
      </c>
      <c r="AA259" s="4">
        <v>181</v>
      </c>
      <c r="AB259" s="4">
        <v>1</v>
      </c>
      <c r="AC259" s="4">
        <v>1</v>
      </c>
      <c r="AD259" s="4">
        <v>0</v>
      </c>
      <c r="AE259" s="4">
        <v>0</v>
      </c>
      <c r="AF259" s="4">
        <v>0</v>
      </c>
      <c r="AG259" s="4">
        <v>0</v>
      </c>
      <c r="AH259" s="4">
        <v>0</v>
      </c>
      <c r="AI259" s="4">
        <v>0</v>
      </c>
      <c r="AJ259" s="4">
        <v>0</v>
      </c>
      <c r="AK259" s="4">
        <v>0</v>
      </c>
      <c r="AL259" s="4">
        <v>0</v>
      </c>
      <c r="AM259" s="4">
        <v>0</v>
      </c>
      <c r="AN259" s="4">
        <v>0</v>
      </c>
      <c r="AO259" s="4">
        <v>0</v>
      </c>
      <c r="AP259" s="3" t="s">
        <v>58</v>
      </c>
      <c r="AQ259" s="3" t="s">
        <v>58</v>
      </c>
      <c r="AS259" s="6" t="str">
        <f>HYPERLINK("https://creighton-primo.hosted.exlibrisgroup.com/primo-explore/search?tab=default_tab&amp;search_scope=EVERYTHING&amp;vid=01CRU&amp;lang=en_US&amp;offset=0&amp;query=any,contains,991000799039702656","Catalog Record")</f>
        <v>Catalog Record</v>
      </c>
      <c r="AT259" s="6" t="str">
        <f>HYPERLINK("http://www.worldcat.org/oclc/251890","WorldCat Record")</f>
        <v>WorldCat Record</v>
      </c>
    </row>
    <row r="260" spans="1:46" ht="30" customHeight="1" x14ac:dyDescent="0.25">
      <c r="A260" s="8" t="s">
        <v>58</v>
      </c>
      <c r="B260" s="2" t="s">
        <v>1983</v>
      </c>
      <c r="C260" s="2" t="s">
        <v>1984</v>
      </c>
      <c r="D260" s="2" t="s">
        <v>1985</v>
      </c>
      <c r="F260" s="3" t="s">
        <v>58</v>
      </c>
      <c r="G260" s="3" t="s">
        <v>59</v>
      </c>
      <c r="H260" s="3" t="s">
        <v>58</v>
      </c>
      <c r="I260" s="3" t="s">
        <v>58</v>
      </c>
      <c r="J260" s="3" t="s">
        <v>60</v>
      </c>
      <c r="K260" s="2" t="s">
        <v>1986</v>
      </c>
      <c r="L260" s="2" t="s">
        <v>1987</v>
      </c>
      <c r="M260" s="3" t="s">
        <v>474</v>
      </c>
      <c r="O260" s="3" t="s">
        <v>64</v>
      </c>
      <c r="P260" s="3" t="s">
        <v>911</v>
      </c>
      <c r="Q260" s="2" t="s">
        <v>1988</v>
      </c>
      <c r="R260" s="3" t="s">
        <v>912</v>
      </c>
      <c r="S260" s="4">
        <v>8</v>
      </c>
      <c r="T260" s="4">
        <v>8</v>
      </c>
      <c r="U260" s="5" t="s">
        <v>1989</v>
      </c>
      <c r="V260" s="5" t="s">
        <v>1989</v>
      </c>
      <c r="W260" s="5" t="s">
        <v>1990</v>
      </c>
      <c r="X260" s="5" t="s">
        <v>1990</v>
      </c>
      <c r="Y260" s="4">
        <v>129</v>
      </c>
      <c r="Z260" s="4">
        <v>102</v>
      </c>
      <c r="AA260" s="4">
        <v>102</v>
      </c>
      <c r="AB260" s="4">
        <v>1</v>
      </c>
      <c r="AC260" s="4">
        <v>1</v>
      </c>
      <c r="AD260" s="4">
        <v>2</v>
      </c>
      <c r="AE260" s="4">
        <v>2</v>
      </c>
      <c r="AF260" s="4">
        <v>0</v>
      </c>
      <c r="AG260" s="4">
        <v>0</v>
      </c>
      <c r="AH260" s="4">
        <v>1</v>
      </c>
      <c r="AI260" s="4">
        <v>1</v>
      </c>
      <c r="AJ260" s="4">
        <v>1</v>
      </c>
      <c r="AK260" s="4">
        <v>1</v>
      </c>
      <c r="AL260" s="4">
        <v>0</v>
      </c>
      <c r="AM260" s="4">
        <v>0</v>
      </c>
      <c r="AN260" s="4">
        <v>0</v>
      </c>
      <c r="AO260" s="4">
        <v>0</v>
      </c>
      <c r="AP260" s="3" t="s">
        <v>58</v>
      </c>
      <c r="AQ260" s="3" t="s">
        <v>58</v>
      </c>
      <c r="AS260" s="6" t="str">
        <f>HYPERLINK("https://creighton-primo.hosted.exlibrisgroup.com/primo-explore/search?tab=default_tab&amp;search_scope=EVERYTHING&amp;vid=01CRU&amp;lang=en_US&amp;offset=0&amp;query=any,contains,991001303889702656","Catalog Record")</f>
        <v>Catalog Record</v>
      </c>
      <c r="AT260" s="6" t="str">
        <f>HYPERLINK("http://www.worldcat.org/oclc/23142383","WorldCat Record")</f>
        <v>WorldCat Record</v>
      </c>
    </row>
  </sheetData>
  <protectedRanges>
    <protectedRange sqref="A1:A1048576" name="Range1"/>
  </protectedRanges>
  <dataValidations count="1">
    <dataValidation type="list" allowBlank="1" showInputMessage="1" showErrorMessage="1" sqref="A2:A1048576" xr:uid="{49621E66-DFCC-4A56-83EF-865809B3BCE6}">
      <formula1>"Yes,No"</formula1>
    </dataValidation>
  </dataValidation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BB38ED5D0D274CB2EE2DBFB4DF27AF" ma:contentTypeVersion="16" ma:contentTypeDescription="Create a new document." ma:contentTypeScope="" ma:versionID="343be7708d3bfc8b8cd1354f85bdb4ef">
  <xsd:schema xmlns:xsd="http://www.w3.org/2001/XMLSchema" xmlns:xs="http://www.w3.org/2001/XMLSchema" xmlns:p="http://schemas.microsoft.com/office/2006/metadata/properties" xmlns:ns1="7623ea29-c77c-4024-9954-09e8d33ddb63" xmlns:ns3="a2717908-15ff-42bd-a5fc-d9ac8b8728f4" targetNamespace="http://schemas.microsoft.com/office/2006/metadata/properties" ma:root="true" ma:fieldsID="ba37602cec7d275ad63d8520a3e085f5" ns1:_="" ns3:_="">
    <xsd:import namespace="7623ea29-c77c-4024-9954-09e8d33ddb63"/>
    <xsd:import namespace="a2717908-15ff-42bd-a5fc-d9ac8b8728f4"/>
    <xsd:element name="properties">
      <xsd:complexType>
        <xsd:sequence>
          <xsd:element name="documentManagement">
            <xsd:complexType>
              <xsd:all>
                <xsd:element ref="ns1:Number" minOccurs="0"/>
                <xsd:element ref="ns1:MediaServiceMetadata" minOccurs="0"/>
                <xsd:element ref="ns1:MediaServiceFastMetadata" minOccurs="0"/>
                <xsd:element ref="ns1:MediaServiceDateTaken" minOccurs="0"/>
                <xsd:element ref="ns3:SharedWithUsers" minOccurs="0"/>
                <xsd:element ref="ns3:SharedWithDetails" minOccurs="0"/>
                <xsd:element ref="ns1:MediaServiceAutoKeyPoints" minOccurs="0"/>
                <xsd:element ref="ns1:MediaServiceKeyPoints" minOccurs="0"/>
                <xsd:element ref="ns1:MediaServiceAutoTags" minOccurs="0"/>
                <xsd:element ref="ns1:MediaServiceOCR" minOccurs="0"/>
                <xsd:element ref="ns1:MediaServiceGenerationTime" minOccurs="0"/>
                <xsd:element ref="ns1:MediaServiceEventHashCode" minOccurs="0"/>
                <xsd:element ref="ns1:MediaServiceLocation" minOccurs="0"/>
                <xsd:element ref="ns1:MediaLengthInSeconds" minOccurs="0"/>
                <xsd:element ref="ns1:statuswithucomm" minOccurs="0"/>
                <xsd:element ref="ns1:submittedtoUCO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23ea29-c77c-4024-9954-09e8d33ddb63" elementFormDefault="qualified">
    <xsd:import namespace="http://schemas.microsoft.com/office/2006/documentManagement/types"/>
    <xsd:import namespace="http://schemas.microsoft.com/office/infopath/2007/PartnerControls"/>
    <xsd:element name="Number" ma:index="0" nillable="true" ma:displayName="Number" ma:description="Sort Order" ma:format="Dropdown" ma:internalName="Number" ma:percentage="FALSE">
      <xsd:simpleType>
        <xsd:restriction base="dms:Number"/>
      </xsd:simpleType>
    </xsd:element>
    <xsd:element name="MediaServiceMetadata" ma:index="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7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statuswithucomm" ma:index="22" nillable="true" ma:displayName="status with ucomm" ma:format="Dropdown" ma:internalName="statuswithucomm">
      <xsd:simpleType>
        <xsd:restriction base="dms:Text">
          <xsd:maxLength value="255"/>
        </xsd:restriction>
      </xsd:simpleType>
    </xsd:element>
    <xsd:element name="submittedtoUCOm" ma:index="23" nillable="true" ma:displayName="submitted to UCOm" ma:default="0" ma:format="Dropdown" ma:internalName="submittedtoUCOm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17908-15ff-42bd-a5fc-d9ac8b8728f4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3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7623ea29-c77c-4024-9954-09e8d33ddb63" xsi:nil="true"/>
    <SharedWithUsers xmlns="a2717908-15ff-42bd-a5fc-d9ac8b8728f4">
      <UserInfo>
        <DisplayName/>
        <AccountId xsi:nil="true"/>
        <AccountType/>
      </UserInfo>
    </SharedWithUsers>
    <MediaLengthInSeconds xmlns="7623ea29-c77c-4024-9954-09e8d33ddb63" xsi:nil="true"/>
    <submittedtoUCOm xmlns="7623ea29-c77c-4024-9954-09e8d33ddb63">false</submittedtoUCOm>
    <statuswithucomm xmlns="7623ea29-c77c-4024-9954-09e8d33ddb63" xsi:nil="true"/>
  </documentManagement>
</p:properties>
</file>

<file path=customXml/itemProps1.xml><?xml version="1.0" encoding="utf-8"?>
<ds:datastoreItem xmlns:ds="http://schemas.openxmlformats.org/officeDocument/2006/customXml" ds:itemID="{58DF2F81-2A3E-4830-A988-D9810F483893}"/>
</file>

<file path=customXml/itemProps2.xml><?xml version="1.0" encoding="utf-8"?>
<ds:datastoreItem xmlns:ds="http://schemas.openxmlformats.org/officeDocument/2006/customXml" ds:itemID="{AE71C663-64CA-4CC1-9528-326FBE77A61F}"/>
</file>

<file path=customXml/itemProps3.xml><?xml version="1.0" encoding="utf-8"?>
<ds:datastoreItem xmlns:ds="http://schemas.openxmlformats.org/officeDocument/2006/customXml" ds:itemID="{CB22AE26-4AB2-4D35-AE1E-023EC2BAB6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Kiscaden, Elizabeth J</dc:creator>
  <cp:lastModifiedBy>Kiscaden, Elizabeth</cp:lastModifiedBy>
  <dcterms:created xsi:type="dcterms:W3CDTF">2022-03-03T17:00:12Z</dcterms:created>
  <dcterms:modified xsi:type="dcterms:W3CDTF">2022-03-03T17:32:58Z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0x0101007FBB38ED5D0D274CB2EE2DBFB4DF27AF</vt:lpwstr>
  </property>
  <property fmtid="{D5CDD505-2E9C-101B-9397-08002B2CF9AE}" pid="3" name="Order">
    <vt:r8>291200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</Properties>
</file>