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92268B27-38B5-41A1-BCD9-EBA55DDF1E07}" xr6:coauthVersionLast="47" xr6:coauthVersionMax="47" xr10:uidLastSave="{00000000-0000-0000-0000-000000000000}"/>
  <bookViews>
    <workbookView xWindow="-120" yWindow="-120" windowWidth="29040" windowHeight="15840" xr2:uid="{DF096354-F124-4CE8-BF1D-6EA6C5B514C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138" i="1" l="1"/>
  <c r="AS1138" i="1"/>
  <c r="AT1137" i="1"/>
  <c r="AS1137" i="1"/>
  <c r="AT1136" i="1"/>
  <c r="AS1136" i="1"/>
  <c r="AR1136" i="1"/>
  <c r="AT1135" i="1"/>
  <c r="AS1135" i="1"/>
  <c r="AT1134" i="1"/>
  <c r="AS1134" i="1"/>
  <c r="AR1134" i="1"/>
  <c r="AT1133" i="1"/>
  <c r="AS1133" i="1"/>
  <c r="AR1133" i="1"/>
  <c r="AT1132" i="1"/>
  <c r="AS1132" i="1"/>
  <c r="AT1131" i="1"/>
  <c r="AS1131" i="1"/>
  <c r="AR1131" i="1"/>
  <c r="AT1130" i="1"/>
  <c r="AS1130" i="1"/>
  <c r="AR1130" i="1"/>
  <c r="AT1129" i="1"/>
  <c r="AS1129" i="1"/>
  <c r="AR1129" i="1"/>
  <c r="AT1128" i="1"/>
  <c r="AS1128" i="1"/>
  <c r="AT1127" i="1"/>
  <c r="AS1127" i="1"/>
  <c r="AR1127" i="1"/>
  <c r="AT1126" i="1"/>
  <c r="AS1126" i="1"/>
  <c r="AT1125" i="1"/>
  <c r="AS1125" i="1"/>
  <c r="AT1124" i="1"/>
  <c r="AS1124" i="1"/>
  <c r="AR1124" i="1"/>
  <c r="AT1123" i="1"/>
  <c r="AS1123" i="1"/>
  <c r="AT1122" i="1"/>
  <c r="AS1122" i="1"/>
  <c r="AR1122" i="1"/>
  <c r="AT1121" i="1"/>
  <c r="AS1121" i="1"/>
  <c r="AR1121" i="1"/>
  <c r="AT1120" i="1"/>
  <c r="AS1120" i="1"/>
  <c r="AT1119" i="1"/>
  <c r="AS1119" i="1"/>
  <c r="AT1118" i="1"/>
  <c r="AS1118" i="1"/>
  <c r="AR1118" i="1"/>
  <c r="AT1117" i="1"/>
  <c r="AS1117" i="1"/>
  <c r="AR1117" i="1"/>
  <c r="AT1116" i="1"/>
  <c r="AS1116" i="1"/>
  <c r="AR1116" i="1"/>
  <c r="AT1115" i="1"/>
  <c r="AS1115" i="1"/>
  <c r="AT1114" i="1"/>
  <c r="AS1114" i="1"/>
  <c r="AR1114" i="1"/>
  <c r="AT1113" i="1"/>
  <c r="AS1113" i="1"/>
  <c r="AR1113" i="1"/>
  <c r="AT1112" i="1"/>
  <c r="AS1112" i="1"/>
  <c r="AR1112" i="1"/>
  <c r="AT1111" i="1"/>
  <c r="AS1111" i="1"/>
  <c r="AR1111" i="1"/>
  <c r="AT1110" i="1"/>
  <c r="AS1110" i="1"/>
  <c r="AR1110" i="1"/>
  <c r="AT1109" i="1"/>
  <c r="AS1109" i="1"/>
  <c r="AR1109" i="1"/>
  <c r="AT1108" i="1"/>
  <c r="AS1108" i="1"/>
  <c r="AR1108" i="1"/>
  <c r="AT1107" i="1"/>
  <c r="AS1107" i="1"/>
  <c r="AT1106" i="1"/>
  <c r="AS1106" i="1"/>
  <c r="AR1106" i="1"/>
  <c r="AT1105" i="1"/>
  <c r="AS1105" i="1"/>
  <c r="AR1105" i="1"/>
  <c r="AT1104" i="1"/>
  <c r="AS1104" i="1"/>
  <c r="AR1104" i="1"/>
  <c r="AT1103" i="1"/>
  <c r="AS1103" i="1"/>
  <c r="AR1103" i="1"/>
  <c r="AT1102" i="1"/>
  <c r="AS1102" i="1"/>
  <c r="AT1101" i="1"/>
  <c r="AS1101" i="1"/>
  <c r="AR1101" i="1"/>
  <c r="AT1100" i="1"/>
  <c r="AS1100" i="1"/>
  <c r="AR1100" i="1"/>
  <c r="AT1099" i="1"/>
  <c r="AS1099" i="1"/>
  <c r="AR1099" i="1"/>
  <c r="AT1098" i="1"/>
  <c r="AS1098" i="1"/>
  <c r="AR1098" i="1"/>
  <c r="AT1097" i="1"/>
  <c r="AS1097" i="1"/>
  <c r="AT1096" i="1"/>
  <c r="AS1096" i="1"/>
  <c r="AT1095" i="1"/>
  <c r="AS1095" i="1"/>
  <c r="AR1095" i="1"/>
  <c r="AT1094" i="1"/>
  <c r="AS1094" i="1"/>
  <c r="AT1093" i="1"/>
  <c r="AS1093" i="1"/>
  <c r="AR1093" i="1"/>
  <c r="AT1092" i="1"/>
  <c r="AS1092" i="1"/>
  <c r="AR1092" i="1"/>
  <c r="AT1091" i="1"/>
  <c r="AS1091" i="1"/>
  <c r="AR1091" i="1"/>
  <c r="AT1090" i="1"/>
  <c r="AS1090" i="1"/>
  <c r="AR1090" i="1"/>
  <c r="AT1089" i="1"/>
  <c r="AS1089" i="1"/>
  <c r="AT1088" i="1"/>
  <c r="AS1088" i="1"/>
  <c r="AT1087" i="1"/>
  <c r="AS1087" i="1"/>
  <c r="AT1086" i="1"/>
  <c r="AS1086" i="1"/>
  <c r="AR1086" i="1"/>
  <c r="AT1085" i="1"/>
  <c r="AS1085" i="1"/>
  <c r="AT1084" i="1"/>
  <c r="AS1084" i="1"/>
  <c r="AR1084" i="1"/>
  <c r="AT1083" i="1"/>
  <c r="AS1083" i="1"/>
  <c r="AR1083" i="1"/>
  <c r="AT1082" i="1"/>
  <c r="AS1082" i="1"/>
  <c r="AR1082" i="1"/>
  <c r="AT1081" i="1"/>
  <c r="AS1081" i="1"/>
  <c r="AR1081" i="1"/>
  <c r="AT1080" i="1"/>
  <c r="AS1080" i="1"/>
  <c r="AT1079" i="1"/>
  <c r="AS1079" i="1"/>
  <c r="AT1078" i="1"/>
  <c r="AS1078" i="1"/>
  <c r="AR1078" i="1"/>
  <c r="AT1077" i="1"/>
  <c r="AS1077" i="1"/>
  <c r="AT1076" i="1"/>
  <c r="AS1076" i="1"/>
  <c r="AR1076" i="1"/>
  <c r="AT1075" i="1"/>
  <c r="AS1075" i="1"/>
  <c r="AT1074" i="1"/>
  <c r="AS1074" i="1"/>
  <c r="AT1073" i="1"/>
  <c r="AS1073" i="1"/>
  <c r="AR1073" i="1"/>
  <c r="AT1072" i="1"/>
  <c r="AS1072" i="1"/>
  <c r="AT1071" i="1"/>
  <c r="AS1071" i="1"/>
  <c r="AT1070" i="1"/>
  <c r="AS1070" i="1"/>
  <c r="AT1069" i="1"/>
  <c r="AS1069" i="1"/>
  <c r="AT1068" i="1"/>
  <c r="AS1068" i="1"/>
  <c r="AR1068" i="1"/>
  <c r="AT1067" i="1"/>
  <c r="AS1067" i="1"/>
  <c r="AR1067" i="1"/>
  <c r="AT1066" i="1"/>
  <c r="AS1066" i="1"/>
  <c r="AT1065" i="1"/>
  <c r="AS1065" i="1"/>
  <c r="AT1064" i="1"/>
  <c r="AS1064" i="1"/>
  <c r="AR1064" i="1"/>
  <c r="AT1063" i="1"/>
  <c r="AS1063" i="1"/>
  <c r="AR1063" i="1"/>
  <c r="AT1062" i="1"/>
  <c r="AS1062" i="1"/>
  <c r="AT1061" i="1"/>
  <c r="AS1061" i="1"/>
  <c r="AR1061" i="1"/>
  <c r="AT1060" i="1"/>
  <c r="AS1060" i="1"/>
  <c r="AT1059" i="1"/>
  <c r="AS1059" i="1"/>
  <c r="AR1059" i="1"/>
  <c r="AT1058" i="1"/>
  <c r="AS1058" i="1"/>
  <c r="AR1058" i="1"/>
  <c r="AT1057" i="1"/>
  <c r="AS1057" i="1"/>
  <c r="AR1057" i="1"/>
  <c r="AT1056" i="1"/>
  <c r="AS1056" i="1"/>
  <c r="AT1055" i="1"/>
  <c r="AS1055" i="1"/>
  <c r="AR1055" i="1"/>
  <c r="AT1054" i="1"/>
  <c r="AS1054" i="1"/>
  <c r="AR1054" i="1"/>
  <c r="AT1053" i="1"/>
  <c r="AS1053" i="1"/>
  <c r="AR1053" i="1"/>
  <c r="AT1052" i="1"/>
  <c r="AS1052" i="1"/>
  <c r="AR1052" i="1"/>
  <c r="AT1051" i="1"/>
  <c r="AS1051" i="1"/>
  <c r="AR1051" i="1"/>
  <c r="AT1050" i="1"/>
  <c r="AS1050" i="1"/>
  <c r="AR1050" i="1"/>
  <c r="AT1049" i="1"/>
  <c r="AS1049" i="1"/>
  <c r="AR1049" i="1"/>
  <c r="AT1048" i="1"/>
  <c r="AS1048" i="1"/>
  <c r="AR1048" i="1"/>
  <c r="AT1047" i="1"/>
  <c r="AS1047" i="1"/>
  <c r="AR1047" i="1"/>
  <c r="AT1046" i="1"/>
  <c r="AS1046" i="1"/>
  <c r="AT1045" i="1"/>
  <c r="AS1045" i="1"/>
  <c r="AR1045" i="1"/>
  <c r="AT1044" i="1"/>
  <c r="AS1044" i="1"/>
  <c r="AR1044" i="1"/>
  <c r="AT1043" i="1"/>
  <c r="AS1043" i="1"/>
  <c r="AR1043" i="1"/>
  <c r="AT1042" i="1"/>
  <c r="AS1042" i="1"/>
  <c r="AT1041" i="1"/>
  <c r="AS1041" i="1"/>
  <c r="AT1040" i="1"/>
  <c r="AS1040" i="1"/>
  <c r="AT1039" i="1"/>
  <c r="AS1039" i="1"/>
  <c r="AT1038" i="1"/>
  <c r="AS1038" i="1"/>
  <c r="AT1037" i="1"/>
  <c r="AS1037" i="1"/>
  <c r="AR1037" i="1"/>
  <c r="AT1036" i="1"/>
  <c r="AS1036" i="1"/>
  <c r="AT1035" i="1"/>
  <c r="AS1035" i="1"/>
  <c r="AT1034" i="1"/>
  <c r="AS1034" i="1"/>
  <c r="AT1033" i="1"/>
  <c r="AS1033" i="1"/>
  <c r="AT1032" i="1"/>
  <c r="AS1032" i="1"/>
  <c r="AT1031" i="1"/>
  <c r="AS1031" i="1"/>
  <c r="AT1030" i="1"/>
  <c r="AS1030" i="1"/>
  <c r="AT1029" i="1"/>
  <c r="AS1029" i="1"/>
  <c r="AT1028" i="1"/>
  <c r="AS1028" i="1"/>
  <c r="AT1027" i="1"/>
  <c r="AS1027" i="1"/>
  <c r="AT1026" i="1"/>
  <c r="AS1026" i="1"/>
  <c r="AT1025" i="1"/>
  <c r="AS1025" i="1"/>
  <c r="AT1024" i="1"/>
  <c r="AS1024" i="1"/>
  <c r="AR1024" i="1"/>
  <c r="AT1023" i="1"/>
  <c r="AS1023" i="1"/>
  <c r="AR1023" i="1"/>
  <c r="AT1022" i="1"/>
  <c r="AS1022" i="1"/>
  <c r="AT1021" i="1"/>
  <c r="AS1021" i="1"/>
  <c r="AT1020" i="1"/>
  <c r="AS1020" i="1"/>
  <c r="AT1019" i="1"/>
  <c r="AS1019" i="1"/>
  <c r="AR1019" i="1"/>
  <c r="AT1018" i="1"/>
  <c r="AS1018" i="1"/>
  <c r="AR1018" i="1"/>
  <c r="AT1017" i="1"/>
  <c r="AS1017" i="1"/>
  <c r="AR1017" i="1"/>
  <c r="AT1016" i="1"/>
  <c r="AS1016" i="1"/>
  <c r="AT1015" i="1"/>
  <c r="AS1015" i="1"/>
  <c r="AT1014" i="1"/>
  <c r="AS1014" i="1"/>
  <c r="AT1013" i="1"/>
  <c r="AS1013" i="1"/>
  <c r="AT1012" i="1"/>
  <c r="AS1012" i="1"/>
  <c r="AR1012" i="1"/>
  <c r="AT1011" i="1"/>
  <c r="AS1011" i="1"/>
  <c r="AR1011" i="1"/>
  <c r="AT1010" i="1"/>
  <c r="AS1010" i="1"/>
  <c r="AR1010" i="1"/>
  <c r="AT1009" i="1"/>
  <c r="AS1009" i="1"/>
  <c r="AT1008" i="1"/>
  <c r="AS1008" i="1"/>
  <c r="AT1007" i="1"/>
  <c r="AS1007" i="1"/>
  <c r="AR1007" i="1"/>
  <c r="AT1006" i="1"/>
  <c r="AS1006" i="1"/>
  <c r="AR1006" i="1"/>
  <c r="AT1005" i="1"/>
  <c r="AS1005" i="1"/>
  <c r="AR1005" i="1"/>
  <c r="AT1004" i="1"/>
  <c r="AS1004" i="1"/>
  <c r="AR1004" i="1"/>
  <c r="AT1003" i="1"/>
  <c r="AS1003" i="1"/>
  <c r="AR1003" i="1"/>
  <c r="AT1002" i="1"/>
  <c r="AS1002" i="1"/>
  <c r="AR1002" i="1"/>
  <c r="AT1001" i="1"/>
  <c r="AS1001" i="1"/>
  <c r="AR1001" i="1"/>
  <c r="AT1000" i="1"/>
  <c r="AS1000" i="1"/>
  <c r="AR1000" i="1"/>
  <c r="AT999" i="1"/>
  <c r="AS999" i="1"/>
  <c r="AR999" i="1"/>
  <c r="AT998" i="1"/>
  <c r="AS998" i="1"/>
  <c r="AR998" i="1"/>
  <c r="AT997" i="1"/>
  <c r="AS997" i="1"/>
  <c r="AR997" i="1"/>
  <c r="AT996" i="1"/>
  <c r="AS996" i="1"/>
  <c r="AT995" i="1"/>
  <c r="AS995" i="1"/>
  <c r="AR995" i="1"/>
  <c r="AT994" i="1"/>
  <c r="AS994" i="1"/>
  <c r="AT993" i="1"/>
  <c r="AS993" i="1"/>
  <c r="AT992" i="1"/>
  <c r="AS992" i="1"/>
  <c r="AT991" i="1"/>
  <c r="AS991" i="1"/>
  <c r="AR991" i="1"/>
  <c r="AT990" i="1"/>
  <c r="AS990" i="1"/>
  <c r="AR990" i="1"/>
  <c r="AT989" i="1"/>
  <c r="AS989" i="1"/>
  <c r="AR989" i="1"/>
  <c r="AT988" i="1"/>
  <c r="AS988" i="1"/>
  <c r="AR988" i="1"/>
  <c r="AT987" i="1"/>
  <c r="AS987" i="1"/>
  <c r="AR987" i="1"/>
  <c r="AT986" i="1"/>
  <c r="AS986" i="1"/>
  <c r="AR986" i="1"/>
  <c r="AT985" i="1"/>
  <c r="AS985" i="1"/>
  <c r="AR985" i="1"/>
  <c r="AT984" i="1"/>
  <c r="AS984" i="1"/>
  <c r="AR984" i="1"/>
  <c r="AT983" i="1"/>
  <c r="AS983" i="1"/>
  <c r="AR983" i="1"/>
  <c r="AT982" i="1"/>
  <c r="AS982" i="1"/>
  <c r="AR982" i="1"/>
  <c r="AT981" i="1"/>
  <c r="AS981" i="1"/>
  <c r="AR981" i="1"/>
  <c r="AT980" i="1"/>
  <c r="AS980" i="1"/>
  <c r="AR980" i="1"/>
  <c r="AT979" i="1"/>
  <c r="AS979" i="1"/>
  <c r="AT978" i="1"/>
  <c r="AS978" i="1"/>
  <c r="AT977" i="1"/>
  <c r="AS977" i="1"/>
  <c r="AR977" i="1"/>
  <c r="AT976" i="1"/>
  <c r="AS976" i="1"/>
  <c r="AT975" i="1"/>
  <c r="AS975" i="1"/>
  <c r="AT974" i="1"/>
  <c r="AS974" i="1"/>
  <c r="AR974" i="1"/>
  <c r="AT973" i="1"/>
  <c r="AS973" i="1"/>
  <c r="AT972" i="1"/>
  <c r="AS972" i="1"/>
  <c r="AT971" i="1"/>
  <c r="AS971" i="1"/>
  <c r="AT970" i="1"/>
  <c r="AS970" i="1"/>
  <c r="AT969" i="1"/>
  <c r="AS969" i="1"/>
  <c r="AR969" i="1"/>
  <c r="AT968" i="1"/>
  <c r="AS968" i="1"/>
  <c r="AR968" i="1"/>
  <c r="AT967" i="1"/>
  <c r="AS967" i="1"/>
  <c r="AR967" i="1"/>
  <c r="AT966" i="1"/>
  <c r="AS966" i="1"/>
  <c r="AR966" i="1"/>
  <c r="AT965" i="1"/>
  <c r="AS965" i="1"/>
  <c r="AR965" i="1"/>
  <c r="AT964" i="1"/>
  <c r="AS964" i="1"/>
  <c r="AT963" i="1"/>
  <c r="AS963" i="1"/>
  <c r="AR963" i="1"/>
  <c r="AT962" i="1"/>
  <c r="AS962" i="1"/>
  <c r="AT961" i="1"/>
  <c r="AS961" i="1"/>
  <c r="AT960" i="1"/>
  <c r="AS960" i="1"/>
  <c r="AT959" i="1"/>
  <c r="AS959" i="1"/>
  <c r="AT958" i="1"/>
  <c r="AS958" i="1"/>
  <c r="AT957" i="1"/>
  <c r="AS957" i="1"/>
  <c r="AR957" i="1"/>
  <c r="AT956" i="1"/>
  <c r="AS956" i="1"/>
  <c r="AT955" i="1"/>
  <c r="AS955" i="1"/>
  <c r="AR955" i="1"/>
  <c r="AT954" i="1"/>
  <c r="AS954" i="1"/>
  <c r="AR954" i="1"/>
  <c r="AT953" i="1"/>
  <c r="AS953" i="1"/>
  <c r="AR953" i="1"/>
  <c r="AT952" i="1"/>
  <c r="AS952" i="1"/>
  <c r="AR952" i="1"/>
  <c r="AT951" i="1"/>
  <c r="AS951" i="1"/>
  <c r="AR951" i="1"/>
  <c r="AT950" i="1"/>
  <c r="AS950" i="1"/>
  <c r="AT949" i="1"/>
  <c r="AS949" i="1"/>
  <c r="AR949" i="1"/>
  <c r="AT948" i="1"/>
  <c r="AS948" i="1"/>
  <c r="AR948" i="1"/>
  <c r="AT947" i="1"/>
  <c r="AS947" i="1"/>
  <c r="AR947" i="1"/>
  <c r="AT946" i="1"/>
  <c r="AS946" i="1"/>
  <c r="AR946" i="1"/>
  <c r="AT945" i="1"/>
  <c r="AS945" i="1"/>
  <c r="AT944" i="1"/>
  <c r="AS944" i="1"/>
  <c r="AT943" i="1"/>
  <c r="AS943" i="1"/>
  <c r="AR943" i="1"/>
  <c r="AT942" i="1"/>
  <c r="AS942" i="1"/>
  <c r="AR942" i="1"/>
  <c r="AT941" i="1"/>
  <c r="AS941" i="1"/>
  <c r="AR941" i="1"/>
  <c r="AT940" i="1"/>
  <c r="AS940" i="1"/>
  <c r="AT939" i="1"/>
  <c r="AS939" i="1"/>
  <c r="AT938" i="1"/>
  <c r="AS938" i="1"/>
  <c r="AT937" i="1"/>
  <c r="AS937" i="1"/>
  <c r="AT936" i="1"/>
  <c r="AS936" i="1"/>
  <c r="AR936" i="1"/>
  <c r="AT935" i="1"/>
  <c r="AS935" i="1"/>
  <c r="AT934" i="1"/>
  <c r="AS934" i="1"/>
  <c r="AT933" i="1"/>
  <c r="AS933" i="1"/>
  <c r="AT932" i="1"/>
  <c r="AS932" i="1"/>
  <c r="AT931" i="1"/>
  <c r="AS931" i="1"/>
  <c r="AR931" i="1"/>
  <c r="AT930" i="1"/>
  <c r="AS930" i="1"/>
  <c r="AT929" i="1"/>
  <c r="AS929" i="1"/>
  <c r="AR929" i="1"/>
  <c r="AT928" i="1"/>
  <c r="AS928" i="1"/>
  <c r="AR928" i="1"/>
  <c r="AT927" i="1"/>
  <c r="AS927" i="1"/>
  <c r="AT926" i="1"/>
  <c r="AS926" i="1"/>
  <c r="AR926" i="1"/>
  <c r="AT925" i="1"/>
  <c r="AS925" i="1"/>
  <c r="AT924" i="1"/>
  <c r="AS924" i="1"/>
  <c r="AR924" i="1"/>
  <c r="AT923" i="1"/>
  <c r="AS923" i="1"/>
  <c r="AR923" i="1"/>
  <c r="AT922" i="1"/>
  <c r="AS922" i="1"/>
  <c r="AR922" i="1"/>
  <c r="AT921" i="1"/>
  <c r="AS921" i="1"/>
  <c r="AR921" i="1"/>
  <c r="AT920" i="1"/>
  <c r="AS920" i="1"/>
  <c r="AR920" i="1"/>
  <c r="AT919" i="1"/>
  <c r="AS919" i="1"/>
  <c r="AT918" i="1"/>
  <c r="AS918" i="1"/>
  <c r="AR918" i="1"/>
  <c r="AT917" i="1"/>
  <c r="AS917" i="1"/>
  <c r="AT916" i="1"/>
  <c r="AS916" i="1"/>
  <c r="AT915" i="1"/>
  <c r="AS915" i="1"/>
  <c r="AT914" i="1"/>
  <c r="AS914" i="1"/>
  <c r="AT913" i="1"/>
  <c r="AS913" i="1"/>
  <c r="AR913" i="1"/>
  <c r="AT912" i="1"/>
  <c r="AS912" i="1"/>
  <c r="AR912" i="1"/>
  <c r="AT911" i="1"/>
  <c r="AS911" i="1"/>
  <c r="AR911" i="1"/>
  <c r="AT910" i="1"/>
  <c r="AS910" i="1"/>
  <c r="AR910" i="1"/>
  <c r="AT909" i="1"/>
  <c r="AS909" i="1"/>
  <c r="AR909" i="1"/>
  <c r="AT908" i="1"/>
  <c r="AS908" i="1"/>
  <c r="AR908" i="1"/>
  <c r="AT907" i="1"/>
  <c r="AS907" i="1"/>
  <c r="AR907" i="1"/>
  <c r="AT906" i="1"/>
  <c r="AS906" i="1"/>
  <c r="AR906" i="1"/>
  <c r="AT905" i="1"/>
  <c r="AS905" i="1"/>
  <c r="AR905" i="1"/>
  <c r="AT904" i="1"/>
  <c r="AS904" i="1"/>
  <c r="AR904" i="1"/>
  <c r="AT903" i="1"/>
  <c r="AS903" i="1"/>
  <c r="AT902" i="1"/>
  <c r="AS902" i="1"/>
  <c r="AR902" i="1"/>
  <c r="AT901" i="1"/>
  <c r="AS901" i="1"/>
  <c r="AR901" i="1"/>
  <c r="AT900" i="1"/>
  <c r="AS900" i="1"/>
  <c r="AR900" i="1"/>
  <c r="AT899" i="1"/>
  <c r="AS899" i="1"/>
  <c r="AR899" i="1"/>
  <c r="AT898" i="1"/>
  <c r="AS898" i="1"/>
  <c r="AR898" i="1"/>
  <c r="AT897" i="1"/>
  <c r="AS897" i="1"/>
  <c r="AT896" i="1"/>
  <c r="AS896" i="1"/>
  <c r="AT895" i="1"/>
  <c r="AS895" i="1"/>
  <c r="AT894" i="1"/>
  <c r="AS894" i="1"/>
  <c r="AR894" i="1"/>
  <c r="AT893" i="1"/>
  <c r="AS893" i="1"/>
  <c r="AT892" i="1"/>
  <c r="AS892" i="1"/>
  <c r="AR892" i="1"/>
  <c r="AT891" i="1"/>
  <c r="AS891" i="1"/>
  <c r="AR891" i="1"/>
  <c r="AT890" i="1"/>
  <c r="AS890" i="1"/>
  <c r="AR890" i="1"/>
  <c r="AT889" i="1"/>
  <c r="AS889" i="1"/>
  <c r="AT888" i="1"/>
  <c r="AS888" i="1"/>
  <c r="AR888" i="1"/>
  <c r="AT887" i="1"/>
  <c r="AS887" i="1"/>
  <c r="AR887" i="1"/>
  <c r="AT886" i="1"/>
  <c r="AS886" i="1"/>
  <c r="AT885" i="1"/>
  <c r="AS885" i="1"/>
  <c r="AT884" i="1"/>
  <c r="AS884" i="1"/>
  <c r="AR884" i="1"/>
  <c r="AT883" i="1"/>
  <c r="AS883" i="1"/>
  <c r="AR883" i="1"/>
  <c r="AT882" i="1"/>
  <c r="AS882" i="1"/>
  <c r="AR882" i="1"/>
  <c r="AT881" i="1"/>
  <c r="AS881" i="1"/>
  <c r="AT880" i="1"/>
  <c r="AS880" i="1"/>
  <c r="AR880" i="1"/>
  <c r="AT879" i="1"/>
  <c r="AS879" i="1"/>
  <c r="AR879" i="1"/>
  <c r="AT878" i="1"/>
  <c r="AS878" i="1"/>
  <c r="AR878" i="1"/>
  <c r="AT877" i="1"/>
  <c r="AS877" i="1"/>
  <c r="AR877" i="1"/>
  <c r="AT876" i="1"/>
  <c r="AS876" i="1"/>
  <c r="AR876" i="1"/>
  <c r="AT875" i="1"/>
  <c r="AS875" i="1"/>
  <c r="AR875" i="1"/>
  <c r="AT874" i="1"/>
  <c r="AS874" i="1"/>
  <c r="AR874" i="1"/>
  <c r="AT873" i="1"/>
  <c r="AS873" i="1"/>
  <c r="AR873" i="1"/>
  <c r="AT872" i="1"/>
  <c r="AS872" i="1"/>
  <c r="AR872" i="1"/>
  <c r="AT871" i="1"/>
  <c r="AS871" i="1"/>
  <c r="AR871" i="1"/>
  <c r="AT870" i="1"/>
  <c r="AS870" i="1"/>
  <c r="AT869" i="1"/>
  <c r="AS869" i="1"/>
  <c r="AR869" i="1"/>
  <c r="AT868" i="1"/>
  <c r="AS868" i="1"/>
  <c r="AR868" i="1"/>
  <c r="AT867" i="1"/>
  <c r="AS867" i="1"/>
  <c r="AR867" i="1"/>
  <c r="AT866" i="1"/>
  <c r="AS866" i="1"/>
  <c r="AR866" i="1"/>
  <c r="AT865" i="1"/>
  <c r="AS865" i="1"/>
  <c r="AT864" i="1"/>
  <c r="AS864" i="1"/>
  <c r="AR864" i="1"/>
  <c r="AT863" i="1"/>
  <c r="AS863" i="1"/>
  <c r="AR863" i="1"/>
  <c r="AT862" i="1"/>
  <c r="AS862" i="1"/>
  <c r="AR862" i="1"/>
  <c r="AT861" i="1"/>
  <c r="AS861" i="1"/>
  <c r="AR861" i="1"/>
  <c r="AT860" i="1"/>
  <c r="AS860" i="1"/>
  <c r="AR860" i="1"/>
  <c r="AT859" i="1"/>
  <c r="AS859" i="1"/>
  <c r="AR859" i="1"/>
  <c r="AT858" i="1"/>
  <c r="AS858" i="1"/>
  <c r="AR858" i="1"/>
  <c r="AT857" i="1"/>
  <c r="AS857" i="1"/>
  <c r="AR857" i="1"/>
  <c r="AT856" i="1"/>
  <c r="AS856" i="1"/>
  <c r="AR856" i="1"/>
  <c r="AT855" i="1"/>
  <c r="AS855" i="1"/>
  <c r="AR855" i="1"/>
  <c r="AT854" i="1"/>
  <c r="AS854" i="1"/>
  <c r="AR854" i="1"/>
  <c r="AT853" i="1"/>
  <c r="AS853" i="1"/>
  <c r="AT852" i="1"/>
  <c r="AS852" i="1"/>
  <c r="AR852" i="1"/>
  <c r="AT851" i="1"/>
  <c r="AS851" i="1"/>
  <c r="AR851" i="1"/>
  <c r="AT850" i="1"/>
  <c r="AS850" i="1"/>
  <c r="AT849" i="1"/>
  <c r="AS849" i="1"/>
  <c r="AT848" i="1"/>
  <c r="AS848" i="1"/>
  <c r="AR848" i="1"/>
  <c r="AT847" i="1"/>
  <c r="AS847" i="1"/>
  <c r="AR847" i="1"/>
  <c r="AT846" i="1"/>
  <c r="AS846" i="1"/>
  <c r="AR846" i="1"/>
  <c r="AT845" i="1"/>
  <c r="AS845" i="1"/>
  <c r="AR845" i="1"/>
  <c r="AT844" i="1"/>
  <c r="AS844" i="1"/>
  <c r="AR844" i="1"/>
  <c r="AT843" i="1"/>
  <c r="AS843" i="1"/>
  <c r="AT842" i="1"/>
  <c r="AS842" i="1"/>
  <c r="AR842" i="1"/>
  <c r="AT841" i="1"/>
  <c r="AS841" i="1"/>
  <c r="AR841" i="1"/>
  <c r="AT840" i="1"/>
  <c r="AS840" i="1"/>
  <c r="AR840" i="1"/>
  <c r="AT839" i="1"/>
  <c r="AS839" i="1"/>
  <c r="AR839" i="1"/>
  <c r="AT838" i="1"/>
  <c r="AS838" i="1"/>
  <c r="AR838" i="1"/>
  <c r="AT837" i="1"/>
  <c r="AS837" i="1"/>
  <c r="AR837" i="1"/>
  <c r="AT836" i="1"/>
  <c r="AS836" i="1"/>
  <c r="AR836" i="1"/>
  <c r="AT835" i="1"/>
  <c r="AS835" i="1"/>
  <c r="AR835" i="1"/>
  <c r="AT834" i="1"/>
  <c r="AS834" i="1"/>
  <c r="AR834" i="1"/>
  <c r="AT833" i="1"/>
  <c r="AS833" i="1"/>
  <c r="AR833" i="1"/>
  <c r="AT832" i="1"/>
  <c r="AS832" i="1"/>
  <c r="AR832" i="1"/>
  <c r="AT831" i="1"/>
  <c r="AS831" i="1"/>
  <c r="AR831" i="1"/>
  <c r="AT830" i="1"/>
  <c r="AS830" i="1"/>
  <c r="AR830" i="1"/>
  <c r="AT829" i="1"/>
  <c r="AS829" i="1"/>
  <c r="AT828" i="1"/>
  <c r="AS828" i="1"/>
  <c r="AT827" i="1"/>
  <c r="AS827" i="1"/>
  <c r="AR827" i="1"/>
  <c r="AT826" i="1"/>
  <c r="AS826" i="1"/>
  <c r="AT825" i="1"/>
  <c r="AS825" i="1"/>
  <c r="AR825" i="1"/>
  <c r="AT824" i="1"/>
  <c r="AS824" i="1"/>
  <c r="AR824" i="1"/>
  <c r="AT823" i="1"/>
  <c r="AS823" i="1"/>
  <c r="AR823" i="1"/>
  <c r="AT822" i="1"/>
  <c r="AS822" i="1"/>
  <c r="AT821" i="1"/>
  <c r="AS821" i="1"/>
  <c r="AR821" i="1"/>
  <c r="AT820" i="1"/>
  <c r="AS820" i="1"/>
  <c r="AR820" i="1"/>
  <c r="AT819" i="1"/>
  <c r="AS819" i="1"/>
  <c r="AR819" i="1"/>
  <c r="AT818" i="1"/>
  <c r="AS818" i="1"/>
  <c r="AR818" i="1"/>
  <c r="AT817" i="1"/>
  <c r="AS817" i="1"/>
  <c r="AT816" i="1"/>
  <c r="AS816" i="1"/>
  <c r="AR816" i="1"/>
  <c r="AT815" i="1"/>
  <c r="AS815" i="1"/>
  <c r="AR815" i="1"/>
  <c r="AT814" i="1"/>
  <c r="AS814" i="1"/>
  <c r="AR814" i="1"/>
  <c r="AT813" i="1"/>
  <c r="AS813" i="1"/>
  <c r="AR813" i="1"/>
  <c r="AT812" i="1"/>
  <c r="AS812" i="1"/>
  <c r="AT811" i="1"/>
  <c r="AS811" i="1"/>
  <c r="AT810" i="1"/>
  <c r="AS810" i="1"/>
  <c r="AT809" i="1"/>
  <c r="AS809" i="1"/>
  <c r="AR809" i="1"/>
  <c r="AT808" i="1"/>
  <c r="AS808" i="1"/>
  <c r="AT807" i="1"/>
  <c r="AS807" i="1"/>
  <c r="AR807" i="1"/>
  <c r="AT806" i="1"/>
  <c r="AS806" i="1"/>
  <c r="AR806" i="1"/>
  <c r="AT805" i="1"/>
  <c r="AS805" i="1"/>
  <c r="AR805" i="1"/>
  <c r="AT804" i="1"/>
  <c r="AS804" i="1"/>
  <c r="AT803" i="1"/>
  <c r="AS803" i="1"/>
  <c r="AR803" i="1"/>
  <c r="AT802" i="1"/>
  <c r="AS802" i="1"/>
  <c r="AT801" i="1"/>
  <c r="AS801" i="1"/>
  <c r="AR801" i="1"/>
  <c r="AT800" i="1"/>
  <c r="AS800" i="1"/>
  <c r="AR800" i="1"/>
  <c r="AT799" i="1"/>
  <c r="AS799" i="1"/>
  <c r="AR799" i="1"/>
  <c r="AT798" i="1"/>
  <c r="AS798" i="1"/>
  <c r="AR798" i="1"/>
  <c r="AT797" i="1"/>
  <c r="AS797" i="1"/>
  <c r="AR797" i="1"/>
  <c r="AT796" i="1"/>
  <c r="AS796" i="1"/>
  <c r="AT795" i="1"/>
  <c r="AS795" i="1"/>
  <c r="AR795" i="1"/>
  <c r="AT794" i="1"/>
  <c r="AS794" i="1"/>
  <c r="AR794" i="1"/>
  <c r="AT793" i="1"/>
  <c r="AS793" i="1"/>
  <c r="AR793" i="1"/>
  <c r="AT792" i="1"/>
  <c r="AS792" i="1"/>
  <c r="AR792" i="1"/>
  <c r="AT791" i="1"/>
  <c r="AS791" i="1"/>
  <c r="AR791" i="1"/>
  <c r="AT790" i="1"/>
  <c r="AS790" i="1"/>
  <c r="AT789" i="1"/>
  <c r="AS789" i="1"/>
  <c r="AR789" i="1"/>
  <c r="AT788" i="1"/>
  <c r="AS788" i="1"/>
  <c r="AT787" i="1"/>
  <c r="AS787" i="1"/>
  <c r="AT786" i="1"/>
  <c r="AS786" i="1"/>
  <c r="AR786" i="1"/>
  <c r="AT785" i="1"/>
  <c r="AS785" i="1"/>
  <c r="AR785" i="1"/>
  <c r="AT784" i="1"/>
  <c r="AS784" i="1"/>
  <c r="AT783" i="1"/>
  <c r="AS783" i="1"/>
  <c r="AR783" i="1"/>
  <c r="AT782" i="1"/>
  <c r="AS782" i="1"/>
  <c r="AT781" i="1"/>
  <c r="AS781" i="1"/>
  <c r="AT780" i="1"/>
  <c r="AS780" i="1"/>
  <c r="AT779" i="1"/>
  <c r="AS779" i="1"/>
  <c r="AT778" i="1"/>
  <c r="AS778" i="1"/>
  <c r="AT777" i="1"/>
  <c r="AS777" i="1"/>
  <c r="AT776" i="1"/>
  <c r="AS776" i="1"/>
  <c r="AR776" i="1"/>
  <c r="AT775" i="1"/>
  <c r="AS775" i="1"/>
  <c r="AR775" i="1"/>
  <c r="AT774" i="1"/>
  <c r="AS774" i="1"/>
  <c r="AR774" i="1"/>
  <c r="AT773" i="1"/>
  <c r="AS773" i="1"/>
  <c r="AR773" i="1"/>
  <c r="AT772" i="1"/>
  <c r="AS772" i="1"/>
  <c r="AR772" i="1"/>
  <c r="AT771" i="1"/>
  <c r="AS771" i="1"/>
  <c r="AT770" i="1"/>
  <c r="AS770" i="1"/>
  <c r="AT769" i="1"/>
  <c r="AS769" i="1"/>
  <c r="AR769" i="1"/>
  <c r="AT768" i="1"/>
  <c r="AS768" i="1"/>
  <c r="AR768" i="1"/>
  <c r="AT767" i="1"/>
  <c r="AS767" i="1"/>
  <c r="AT766" i="1"/>
  <c r="AS766" i="1"/>
  <c r="AR766" i="1"/>
  <c r="AT765" i="1"/>
  <c r="AS765" i="1"/>
  <c r="AT764" i="1"/>
  <c r="AS764" i="1"/>
  <c r="AR764" i="1"/>
  <c r="AT763" i="1"/>
  <c r="AS763" i="1"/>
  <c r="AT762" i="1"/>
  <c r="AS762" i="1"/>
  <c r="AR762" i="1"/>
  <c r="AT761" i="1"/>
  <c r="AS761" i="1"/>
  <c r="AR761" i="1"/>
  <c r="AT760" i="1"/>
  <c r="AS760" i="1"/>
  <c r="AT759" i="1"/>
  <c r="AS759" i="1"/>
  <c r="AR759" i="1"/>
  <c r="AT758" i="1"/>
  <c r="AS758" i="1"/>
  <c r="AT757" i="1"/>
  <c r="AS757" i="1"/>
  <c r="AR757" i="1"/>
  <c r="AT756" i="1"/>
  <c r="AS756" i="1"/>
  <c r="AR756" i="1"/>
  <c r="AT755" i="1"/>
  <c r="AS755" i="1"/>
  <c r="AR755" i="1"/>
  <c r="AT754" i="1"/>
  <c r="AS754" i="1"/>
  <c r="AR754" i="1"/>
  <c r="AT753" i="1"/>
  <c r="AS753" i="1"/>
  <c r="AR753" i="1"/>
  <c r="AT752" i="1"/>
  <c r="AS752" i="1"/>
  <c r="AR752" i="1"/>
  <c r="AT751" i="1"/>
  <c r="AS751" i="1"/>
  <c r="AR751" i="1"/>
  <c r="AT750" i="1"/>
  <c r="AS750" i="1"/>
  <c r="AR750" i="1"/>
  <c r="AT749" i="1"/>
  <c r="AS749" i="1"/>
  <c r="AR749" i="1"/>
  <c r="AT748" i="1"/>
  <c r="AS748" i="1"/>
  <c r="AR748" i="1"/>
  <c r="AT747" i="1"/>
  <c r="AS747" i="1"/>
  <c r="AT746" i="1"/>
  <c r="AS746" i="1"/>
  <c r="AR746" i="1"/>
  <c r="AT745" i="1"/>
  <c r="AS745" i="1"/>
  <c r="AR745" i="1"/>
  <c r="AT744" i="1"/>
  <c r="AS744" i="1"/>
  <c r="AR744" i="1"/>
  <c r="AT743" i="1"/>
  <c r="AS743" i="1"/>
  <c r="AR743" i="1"/>
  <c r="AT742" i="1"/>
  <c r="AS742" i="1"/>
  <c r="AT741" i="1"/>
  <c r="AS741" i="1"/>
  <c r="AR741" i="1"/>
  <c r="AT740" i="1"/>
  <c r="AS740" i="1"/>
  <c r="AR740" i="1"/>
  <c r="AT739" i="1"/>
  <c r="AS739" i="1"/>
  <c r="AT738" i="1"/>
  <c r="AS738" i="1"/>
  <c r="AR738" i="1"/>
  <c r="AT737" i="1"/>
  <c r="AS737" i="1"/>
  <c r="AR737" i="1"/>
  <c r="AT736" i="1"/>
  <c r="AS736" i="1"/>
  <c r="AR736" i="1"/>
  <c r="AT735" i="1"/>
  <c r="AS735" i="1"/>
  <c r="AT734" i="1"/>
  <c r="AS734" i="1"/>
  <c r="AR734" i="1"/>
  <c r="AT733" i="1"/>
  <c r="AS733" i="1"/>
  <c r="AR733" i="1"/>
  <c r="AT732" i="1"/>
  <c r="AS732" i="1"/>
  <c r="AR732" i="1"/>
  <c r="AT731" i="1"/>
  <c r="AS731" i="1"/>
  <c r="AR731" i="1"/>
  <c r="AT730" i="1"/>
  <c r="AS730" i="1"/>
  <c r="AR730" i="1"/>
  <c r="AT729" i="1"/>
  <c r="AS729" i="1"/>
  <c r="AR729" i="1"/>
  <c r="AT728" i="1"/>
  <c r="AS728" i="1"/>
  <c r="AR728" i="1"/>
  <c r="AT727" i="1"/>
  <c r="AS727" i="1"/>
  <c r="AR727" i="1"/>
  <c r="AT726" i="1"/>
  <c r="AS726" i="1"/>
  <c r="AR726" i="1"/>
  <c r="AT725" i="1"/>
  <c r="AS725" i="1"/>
  <c r="AT724" i="1"/>
  <c r="AS724" i="1"/>
  <c r="AR724" i="1"/>
  <c r="AT723" i="1"/>
  <c r="AS723" i="1"/>
  <c r="AR723" i="1"/>
  <c r="AT722" i="1"/>
  <c r="AS722" i="1"/>
  <c r="AT721" i="1"/>
  <c r="AS721" i="1"/>
  <c r="AR721" i="1"/>
  <c r="AT720" i="1"/>
  <c r="AS720" i="1"/>
  <c r="AR720" i="1"/>
  <c r="AT719" i="1"/>
  <c r="AS719" i="1"/>
  <c r="AR719" i="1"/>
  <c r="AT718" i="1"/>
  <c r="AS718" i="1"/>
  <c r="AR718" i="1"/>
  <c r="AT717" i="1"/>
  <c r="AS717" i="1"/>
  <c r="AR717" i="1"/>
  <c r="AT716" i="1"/>
  <c r="AS716" i="1"/>
  <c r="AR716" i="1"/>
  <c r="AT715" i="1"/>
  <c r="AS715" i="1"/>
  <c r="AR715" i="1"/>
  <c r="AT714" i="1"/>
  <c r="AS714" i="1"/>
  <c r="AR714" i="1"/>
  <c r="AT713" i="1"/>
  <c r="AS713" i="1"/>
  <c r="AR713" i="1"/>
  <c r="AT712" i="1"/>
  <c r="AS712" i="1"/>
  <c r="AR712" i="1"/>
  <c r="AT711" i="1"/>
  <c r="AS711" i="1"/>
  <c r="AT710" i="1"/>
  <c r="AS710" i="1"/>
  <c r="AR710" i="1"/>
  <c r="AT709" i="1"/>
  <c r="AS709" i="1"/>
  <c r="AT708" i="1"/>
  <c r="AS708" i="1"/>
  <c r="AT707" i="1"/>
  <c r="AS707" i="1"/>
  <c r="AT706" i="1"/>
  <c r="AS706" i="1"/>
  <c r="AR706" i="1"/>
  <c r="AT705" i="1"/>
  <c r="AS705" i="1"/>
  <c r="AR705" i="1"/>
  <c r="AT704" i="1"/>
  <c r="AS704" i="1"/>
  <c r="AR704" i="1"/>
  <c r="AT703" i="1"/>
  <c r="AS703" i="1"/>
  <c r="AR703" i="1"/>
  <c r="AT702" i="1"/>
  <c r="AS702" i="1"/>
  <c r="AR702" i="1"/>
  <c r="AT701" i="1"/>
  <c r="AS701" i="1"/>
  <c r="AR701" i="1"/>
  <c r="AT700" i="1"/>
  <c r="AS700" i="1"/>
  <c r="AR700" i="1"/>
  <c r="AT699" i="1"/>
  <c r="AS699" i="1"/>
  <c r="AT698" i="1"/>
  <c r="AS698" i="1"/>
  <c r="AR698" i="1"/>
  <c r="AT697" i="1"/>
  <c r="AS697" i="1"/>
  <c r="AR697" i="1"/>
  <c r="AT696" i="1"/>
  <c r="AS696" i="1"/>
  <c r="AR696" i="1"/>
  <c r="AT695" i="1"/>
  <c r="AS695" i="1"/>
  <c r="AT694" i="1"/>
  <c r="AS694" i="1"/>
  <c r="AR694" i="1"/>
  <c r="AT693" i="1"/>
  <c r="AS693" i="1"/>
  <c r="AT692" i="1"/>
  <c r="AS692" i="1"/>
  <c r="AR692" i="1"/>
  <c r="AT691" i="1"/>
  <c r="AS691" i="1"/>
  <c r="AR691" i="1"/>
  <c r="AT690" i="1"/>
  <c r="AS690" i="1"/>
  <c r="AT689" i="1"/>
  <c r="AS689" i="1"/>
  <c r="AT688" i="1"/>
  <c r="AS688" i="1"/>
  <c r="AT687" i="1"/>
  <c r="AS687" i="1"/>
  <c r="AR687" i="1"/>
  <c r="AT686" i="1"/>
  <c r="AS686" i="1"/>
  <c r="AT685" i="1"/>
  <c r="AS685" i="1"/>
  <c r="AR685" i="1"/>
  <c r="AT684" i="1"/>
  <c r="AS684" i="1"/>
  <c r="AT683" i="1"/>
  <c r="AS683" i="1"/>
  <c r="AR683" i="1"/>
  <c r="AT682" i="1"/>
  <c r="AS682" i="1"/>
  <c r="AT681" i="1"/>
  <c r="AS681" i="1"/>
  <c r="AR681" i="1"/>
  <c r="AT680" i="1"/>
  <c r="AS680" i="1"/>
  <c r="AR680" i="1"/>
  <c r="AT679" i="1"/>
  <c r="AS679" i="1"/>
  <c r="AR679" i="1"/>
  <c r="AT678" i="1"/>
  <c r="AS678" i="1"/>
  <c r="AR678" i="1"/>
  <c r="AT677" i="1"/>
  <c r="AS677" i="1"/>
  <c r="AR677" i="1"/>
  <c r="AT676" i="1"/>
  <c r="AS676" i="1"/>
  <c r="AR676" i="1"/>
  <c r="AT675" i="1"/>
  <c r="AS675" i="1"/>
  <c r="AR675" i="1"/>
  <c r="AT674" i="1"/>
  <c r="AS674" i="1"/>
  <c r="AT673" i="1"/>
  <c r="AS673" i="1"/>
  <c r="AR673" i="1"/>
  <c r="AT672" i="1"/>
  <c r="AS672" i="1"/>
  <c r="AR672" i="1"/>
  <c r="AT671" i="1"/>
  <c r="AS671" i="1"/>
  <c r="AT670" i="1"/>
  <c r="AS670" i="1"/>
  <c r="AR670" i="1"/>
  <c r="AT669" i="1"/>
  <c r="AS669" i="1"/>
  <c r="AR669" i="1"/>
  <c r="AT668" i="1"/>
  <c r="AS668" i="1"/>
  <c r="AR668" i="1"/>
  <c r="AT667" i="1"/>
  <c r="AS667" i="1"/>
  <c r="AR667" i="1"/>
  <c r="AT666" i="1"/>
  <c r="AS666" i="1"/>
  <c r="AT665" i="1"/>
  <c r="AS665" i="1"/>
  <c r="AR665" i="1"/>
  <c r="AT664" i="1"/>
  <c r="AS664" i="1"/>
  <c r="AT663" i="1"/>
  <c r="AS663" i="1"/>
  <c r="AR663" i="1"/>
  <c r="AT662" i="1"/>
  <c r="AS662" i="1"/>
  <c r="AR662" i="1"/>
  <c r="AT661" i="1"/>
  <c r="AS661" i="1"/>
  <c r="AR661" i="1"/>
  <c r="AT660" i="1"/>
  <c r="AS660" i="1"/>
  <c r="AR660" i="1"/>
  <c r="AT659" i="1"/>
  <c r="AS659" i="1"/>
  <c r="AR659" i="1"/>
  <c r="AT658" i="1"/>
  <c r="AS658" i="1"/>
  <c r="AR658" i="1"/>
  <c r="AT657" i="1"/>
  <c r="AS657" i="1"/>
  <c r="AR657" i="1"/>
  <c r="AT656" i="1"/>
  <c r="AS656" i="1"/>
  <c r="AT655" i="1"/>
  <c r="AS655" i="1"/>
  <c r="AR655" i="1"/>
  <c r="AT654" i="1"/>
  <c r="AS654" i="1"/>
  <c r="AR654" i="1"/>
  <c r="AT653" i="1"/>
  <c r="AS653" i="1"/>
  <c r="AR653" i="1"/>
  <c r="AT652" i="1"/>
  <c r="AS652" i="1"/>
  <c r="AT651" i="1"/>
  <c r="AS651" i="1"/>
  <c r="AT650" i="1"/>
  <c r="AS650" i="1"/>
  <c r="AR650" i="1"/>
  <c r="AT649" i="1"/>
  <c r="AS649" i="1"/>
  <c r="AR649" i="1"/>
  <c r="AT648" i="1"/>
  <c r="AS648" i="1"/>
  <c r="AT647" i="1"/>
  <c r="AS647" i="1"/>
  <c r="AR647" i="1"/>
  <c r="AT646" i="1"/>
  <c r="AS646" i="1"/>
  <c r="AR646" i="1"/>
  <c r="AT645" i="1"/>
  <c r="AS645" i="1"/>
  <c r="AR645" i="1"/>
  <c r="AT644" i="1"/>
  <c r="AS644" i="1"/>
  <c r="AR644" i="1"/>
  <c r="AT643" i="1"/>
  <c r="AS643" i="1"/>
  <c r="AR643" i="1"/>
  <c r="AT642" i="1"/>
  <c r="AS642" i="1"/>
  <c r="AT641" i="1"/>
  <c r="AS641" i="1"/>
  <c r="AT640" i="1"/>
  <c r="AS640" i="1"/>
  <c r="AT639" i="1"/>
  <c r="AS639" i="1"/>
  <c r="AR639" i="1"/>
  <c r="AT638" i="1"/>
  <c r="AS638" i="1"/>
  <c r="AR638" i="1"/>
  <c r="AT637" i="1"/>
  <c r="AS637" i="1"/>
  <c r="AT636" i="1"/>
  <c r="AS636" i="1"/>
  <c r="AR636" i="1"/>
  <c r="AT635" i="1"/>
  <c r="AS635" i="1"/>
  <c r="AR635" i="1"/>
  <c r="AT634" i="1"/>
  <c r="AS634" i="1"/>
  <c r="AT633" i="1"/>
  <c r="AS633" i="1"/>
  <c r="AR633" i="1"/>
  <c r="AT632" i="1"/>
  <c r="AS632" i="1"/>
  <c r="AT631" i="1"/>
  <c r="AS631" i="1"/>
  <c r="AR631" i="1"/>
  <c r="AT630" i="1"/>
  <c r="AS630" i="1"/>
  <c r="AR630" i="1"/>
  <c r="AT629" i="1"/>
  <c r="AS629" i="1"/>
  <c r="AR629" i="1"/>
  <c r="AT628" i="1"/>
  <c r="AS628" i="1"/>
  <c r="AR628" i="1"/>
  <c r="AT627" i="1"/>
  <c r="AS627" i="1"/>
  <c r="AR627" i="1"/>
  <c r="AT626" i="1"/>
  <c r="AS626" i="1"/>
  <c r="AR626" i="1"/>
  <c r="AT625" i="1"/>
  <c r="AS625" i="1"/>
  <c r="AR625" i="1"/>
  <c r="AT624" i="1"/>
  <c r="AS624" i="1"/>
  <c r="AT623" i="1"/>
  <c r="AS623" i="1"/>
  <c r="AR623" i="1"/>
  <c r="AT622" i="1"/>
  <c r="AS622" i="1"/>
  <c r="AT621" i="1"/>
  <c r="AS621" i="1"/>
  <c r="AR621" i="1"/>
  <c r="AT620" i="1"/>
  <c r="AS620" i="1"/>
  <c r="AR620" i="1"/>
  <c r="AT619" i="1"/>
  <c r="AS619" i="1"/>
  <c r="AT618" i="1"/>
  <c r="AS618" i="1"/>
  <c r="AR618" i="1"/>
  <c r="AT617" i="1"/>
  <c r="AS617" i="1"/>
  <c r="AR617" i="1"/>
  <c r="AT616" i="1"/>
  <c r="AS616" i="1"/>
  <c r="AR616" i="1"/>
  <c r="AT615" i="1"/>
  <c r="AS615" i="1"/>
  <c r="AR615" i="1"/>
  <c r="AT614" i="1"/>
  <c r="AS614" i="1"/>
  <c r="AR614" i="1"/>
  <c r="AT613" i="1"/>
  <c r="AS613" i="1"/>
  <c r="AT612" i="1"/>
  <c r="AS612" i="1"/>
  <c r="AT611" i="1"/>
  <c r="AS611" i="1"/>
  <c r="AT610" i="1"/>
  <c r="AS610" i="1"/>
  <c r="AR610" i="1"/>
  <c r="AT609" i="1"/>
  <c r="AS609" i="1"/>
  <c r="AR609" i="1"/>
  <c r="AT608" i="1"/>
  <c r="AS608" i="1"/>
  <c r="AR608" i="1"/>
  <c r="AT607" i="1"/>
  <c r="AS607" i="1"/>
  <c r="AR607" i="1"/>
  <c r="AT606" i="1"/>
  <c r="AS606" i="1"/>
  <c r="AR606" i="1"/>
  <c r="AT605" i="1"/>
  <c r="AS605" i="1"/>
  <c r="AR605" i="1"/>
  <c r="AT604" i="1"/>
  <c r="AS604" i="1"/>
  <c r="AR604" i="1"/>
  <c r="AT603" i="1"/>
  <c r="AS603" i="1"/>
  <c r="AR603" i="1"/>
  <c r="AT602" i="1"/>
  <c r="AS602" i="1"/>
  <c r="AR602" i="1"/>
  <c r="AT601" i="1"/>
  <c r="AS601" i="1"/>
  <c r="AT600" i="1"/>
  <c r="AS600" i="1"/>
  <c r="AR600" i="1"/>
  <c r="AT599" i="1"/>
  <c r="AS599" i="1"/>
  <c r="AR599" i="1"/>
  <c r="AT598" i="1"/>
  <c r="AS598" i="1"/>
  <c r="AR598" i="1"/>
  <c r="AT597" i="1"/>
  <c r="AS597" i="1"/>
  <c r="AR597" i="1"/>
  <c r="AT596" i="1"/>
  <c r="AS596" i="1"/>
  <c r="AR596" i="1"/>
  <c r="AT595" i="1"/>
  <c r="AS595" i="1"/>
  <c r="AR595" i="1"/>
  <c r="AT594" i="1"/>
  <c r="AS594" i="1"/>
  <c r="AT593" i="1"/>
  <c r="AS593" i="1"/>
  <c r="AR593" i="1"/>
  <c r="AT592" i="1"/>
  <c r="AS592" i="1"/>
  <c r="AT591" i="1"/>
  <c r="AS591" i="1"/>
  <c r="AR591" i="1"/>
  <c r="AT590" i="1"/>
  <c r="AS590" i="1"/>
  <c r="AR590" i="1"/>
  <c r="AT589" i="1"/>
  <c r="AS589" i="1"/>
  <c r="AR589" i="1"/>
  <c r="AT588" i="1"/>
  <c r="AS588" i="1"/>
  <c r="AT587" i="1"/>
  <c r="AS587" i="1"/>
  <c r="AR587" i="1"/>
  <c r="AT586" i="1"/>
  <c r="AS586" i="1"/>
  <c r="AT585" i="1"/>
  <c r="AS585" i="1"/>
  <c r="AT584" i="1"/>
  <c r="AS584" i="1"/>
  <c r="AT583" i="1"/>
  <c r="AS583" i="1"/>
  <c r="AT582" i="1"/>
  <c r="AS582" i="1"/>
  <c r="AR582" i="1"/>
  <c r="AT581" i="1"/>
  <c r="AS581" i="1"/>
  <c r="AR581" i="1"/>
  <c r="AT580" i="1"/>
  <c r="AS580" i="1"/>
  <c r="AR580" i="1"/>
  <c r="AT579" i="1"/>
  <c r="AS579" i="1"/>
  <c r="AR579" i="1"/>
  <c r="AT578" i="1"/>
  <c r="AS578" i="1"/>
  <c r="AR578" i="1"/>
  <c r="AT577" i="1"/>
  <c r="AS577" i="1"/>
  <c r="AR577" i="1"/>
  <c r="AT576" i="1"/>
  <c r="AS576" i="1"/>
  <c r="AR576" i="1"/>
  <c r="AT575" i="1"/>
  <c r="AS575" i="1"/>
  <c r="AR575" i="1"/>
  <c r="AT574" i="1"/>
  <c r="AS574" i="1"/>
  <c r="AR574" i="1"/>
  <c r="AT573" i="1"/>
  <c r="AS573" i="1"/>
  <c r="AR573" i="1"/>
  <c r="AT572" i="1"/>
  <c r="AS572" i="1"/>
  <c r="AR572" i="1"/>
  <c r="AT571" i="1"/>
  <c r="AS571" i="1"/>
  <c r="AR571" i="1"/>
  <c r="AT570" i="1"/>
  <c r="AS570" i="1"/>
  <c r="AR570" i="1"/>
  <c r="AT569" i="1"/>
  <c r="AS569" i="1"/>
  <c r="AR569" i="1"/>
  <c r="AT568" i="1"/>
  <c r="AS568" i="1"/>
  <c r="AT567" i="1"/>
  <c r="AS567" i="1"/>
  <c r="AR567" i="1"/>
  <c r="AT566" i="1"/>
  <c r="AS566" i="1"/>
  <c r="AR566" i="1"/>
  <c r="AT565" i="1"/>
  <c r="AS565" i="1"/>
  <c r="AR565" i="1"/>
  <c r="AT564" i="1"/>
  <c r="AS564" i="1"/>
  <c r="AR564" i="1"/>
  <c r="AT563" i="1"/>
  <c r="AS563" i="1"/>
  <c r="AR563" i="1"/>
  <c r="AT562" i="1"/>
  <c r="AS562" i="1"/>
  <c r="AR562" i="1"/>
  <c r="AT561" i="1"/>
  <c r="AS561" i="1"/>
  <c r="AR561" i="1"/>
  <c r="AT560" i="1"/>
  <c r="AS560" i="1"/>
  <c r="AT559" i="1"/>
  <c r="AS559" i="1"/>
  <c r="AR559" i="1"/>
  <c r="AT558" i="1"/>
  <c r="AS558" i="1"/>
  <c r="AR558" i="1"/>
  <c r="AT557" i="1"/>
  <c r="AS557" i="1"/>
  <c r="AT556" i="1"/>
  <c r="AS556" i="1"/>
  <c r="AT555" i="1"/>
  <c r="AS555" i="1"/>
  <c r="AR555" i="1"/>
  <c r="AT554" i="1"/>
  <c r="AS554" i="1"/>
  <c r="AR554" i="1"/>
  <c r="AT553" i="1"/>
  <c r="AS553" i="1"/>
  <c r="AR553" i="1"/>
  <c r="AT552" i="1"/>
  <c r="AS552" i="1"/>
  <c r="AT551" i="1"/>
  <c r="AS551" i="1"/>
  <c r="AR551" i="1"/>
  <c r="AT550" i="1"/>
  <c r="AS550" i="1"/>
  <c r="AR550" i="1"/>
  <c r="AT549" i="1"/>
  <c r="AS549" i="1"/>
  <c r="AR549" i="1"/>
  <c r="AT548" i="1"/>
  <c r="AS548" i="1"/>
  <c r="AR548" i="1"/>
  <c r="AT547" i="1"/>
  <c r="AS547" i="1"/>
  <c r="AR547" i="1"/>
  <c r="AT546" i="1"/>
  <c r="AS546" i="1"/>
  <c r="AR546" i="1"/>
  <c r="AT545" i="1"/>
  <c r="AS545" i="1"/>
  <c r="AR545" i="1"/>
  <c r="AT544" i="1"/>
  <c r="AS544" i="1"/>
  <c r="AT543" i="1"/>
  <c r="AS543" i="1"/>
  <c r="AT542" i="1"/>
  <c r="AS542" i="1"/>
  <c r="AR542" i="1"/>
  <c r="AT541" i="1"/>
  <c r="AS541" i="1"/>
  <c r="AT540" i="1"/>
  <c r="AS540" i="1"/>
  <c r="AR540" i="1"/>
  <c r="AT539" i="1"/>
  <c r="AS539" i="1"/>
  <c r="AR539" i="1"/>
  <c r="AT538" i="1"/>
  <c r="AS538" i="1"/>
  <c r="AR538" i="1"/>
  <c r="AT537" i="1"/>
  <c r="AS537" i="1"/>
  <c r="AT536" i="1"/>
  <c r="AS536" i="1"/>
  <c r="AT535" i="1"/>
  <c r="AS535" i="1"/>
  <c r="AR535" i="1"/>
  <c r="AT534" i="1"/>
  <c r="AS534" i="1"/>
  <c r="AR534" i="1"/>
  <c r="AT533" i="1"/>
  <c r="AS533" i="1"/>
  <c r="AT532" i="1"/>
  <c r="AS532" i="1"/>
  <c r="AR532" i="1"/>
  <c r="AT531" i="1"/>
  <c r="AS531" i="1"/>
  <c r="AT530" i="1"/>
  <c r="AS530" i="1"/>
  <c r="AR530" i="1"/>
  <c r="AT529" i="1"/>
  <c r="AS529" i="1"/>
  <c r="AT528" i="1"/>
  <c r="AS528" i="1"/>
  <c r="AR528" i="1"/>
  <c r="AT527" i="1"/>
  <c r="AS527" i="1"/>
  <c r="AR527" i="1"/>
  <c r="AT526" i="1"/>
  <c r="AS526" i="1"/>
  <c r="AR526" i="1"/>
  <c r="AT525" i="1"/>
  <c r="AS525" i="1"/>
  <c r="AR525" i="1"/>
  <c r="AT524" i="1"/>
  <c r="AS524" i="1"/>
  <c r="AR524" i="1"/>
  <c r="AT523" i="1"/>
  <c r="AS523" i="1"/>
  <c r="AT522" i="1"/>
  <c r="AS522" i="1"/>
  <c r="AR522" i="1"/>
  <c r="AT521" i="1"/>
  <c r="AS521" i="1"/>
  <c r="AR521" i="1"/>
  <c r="AT520" i="1"/>
  <c r="AS520" i="1"/>
  <c r="AT519" i="1"/>
  <c r="AS519" i="1"/>
  <c r="AR519" i="1"/>
  <c r="AT518" i="1"/>
  <c r="AS518" i="1"/>
  <c r="AT517" i="1"/>
  <c r="AS517" i="1"/>
  <c r="AT516" i="1"/>
  <c r="AS516" i="1"/>
  <c r="AT515" i="1"/>
  <c r="AS515" i="1"/>
  <c r="AR515" i="1"/>
  <c r="AT514" i="1"/>
  <c r="AS514" i="1"/>
  <c r="AT513" i="1"/>
  <c r="AS513" i="1"/>
  <c r="AR513" i="1"/>
  <c r="AT512" i="1"/>
  <c r="AS512" i="1"/>
  <c r="AR512" i="1"/>
  <c r="AT511" i="1"/>
  <c r="AS511" i="1"/>
  <c r="AT510" i="1"/>
  <c r="AS510" i="1"/>
  <c r="AR510" i="1"/>
  <c r="AT509" i="1"/>
  <c r="AS509" i="1"/>
  <c r="AR509" i="1"/>
  <c r="AT508" i="1"/>
  <c r="AS508" i="1"/>
  <c r="AR508" i="1"/>
  <c r="AT507" i="1"/>
  <c r="AS507" i="1"/>
  <c r="AR507" i="1"/>
  <c r="AT506" i="1"/>
  <c r="AS506" i="1"/>
  <c r="AT505" i="1"/>
  <c r="AS505" i="1"/>
  <c r="AT504" i="1"/>
  <c r="AS504" i="1"/>
  <c r="AT503" i="1"/>
  <c r="AS503" i="1"/>
  <c r="AR503" i="1"/>
  <c r="AT502" i="1"/>
  <c r="AS502" i="1"/>
  <c r="AT501" i="1"/>
  <c r="AS501" i="1"/>
  <c r="AT500" i="1"/>
  <c r="AS500" i="1"/>
  <c r="AR500" i="1"/>
  <c r="AT499" i="1"/>
  <c r="AS499" i="1"/>
  <c r="AT498" i="1"/>
  <c r="AS498" i="1"/>
  <c r="AT497" i="1"/>
  <c r="AS497" i="1"/>
  <c r="AR497" i="1"/>
  <c r="AT496" i="1"/>
  <c r="AS496" i="1"/>
  <c r="AR496" i="1"/>
  <c r="AT495" i="1"/>
  <c r="AS495" i="1"/>
  <c r="AT494" i="1"/>
  <c r="AS494" i="1"/>
  <c r="AR494" i="1"/>
  <c r="AT493" i="1"/>
  <c r="AS493" i="1"/>
  <c r="AR493" i="1"/>
  <c r="AT492" i="1"/>
  <c r="AS492" i="1"/>
  <c r="AR492" i="1"/>
  <c r="AT491" i="1"/>
  <c r="AS491" i="1"/>
  <c r="AT490" i="1"/>
  <c r="AS490" i="1"/>
  <c r="AT489" i="1"/>
  <c r="AS489" i="1"/>
  <c r="AT488" i="1"/>
  <c r="AS488" i="1"/>
  <c r="AR488" i="1"/>
  <c r="AT487" i="1"/>
  <c r="AS487" i="1"/>
  <c r="AR487" i="1"/>
  <c r="AT486" i="1"/>
  <c r="AS486" i="1"/>
  <c r="AR486" i="1"/>
  <c r="AT485" i="1"/>
  <c r="AS485" i="1"/>
  <c r="AR485" i="1"/>
  <c r="AT484" i="1"/>
  <c r="AS484" i="1"/>
  <c r="AT483" i="1"/>
  <c r="AS483" i="1"/>
  <c r="AT482" i="1"/>
  <c r="AS482" i="1"/>
  <c r="AR482" i="1"/>
  <c r="AT481" i="1"/>
  <c r="AS481" i="1"/>
  <c r="AR481" i="1"/>
  <c r="AT480" i="1"/>
  <c r="AS480" i="1"/>
  <c r="AR480" i="1"/>
  <c r="AT479" i="1"/>
  <c r="AS479" i="1"/>
  <c r="AR479" i="1"/>
  <c r="AT478" i="1"/>
  <c r="AS478" i="1"/>
  <c r="AT477" i="1"/>
  <c r="AS477" i="1"/>
  <c r="AT476" i="1"/>
  <c r="AS476" i="1"/>
  <c r="AR476" i="1"/>
  <c r="AT475" i="1"/>
  <c r="AS475" i="1"/>
  <c r="AR475" i="1"/>
  <c r="AT474" i="1"/>
  <c r="AS474" i="1"/>
  <c r="AR474" i="1"/>
  <c r="AT473" i="1"/>
  <c r="AS473" i="1"/>
  <c r="AT472" i="1"/>
  <c r="AS472" i="1"/>
  <c r="AT471" i="1"/>
  <c r="AS471" i="1"/>
  <c r="AR471" i="1"/>
  <c r="AT470" i="1"/>
  <c r="AS470" i="1"/>
  <c r="AT469" i="1"/>
  <c r="AS469" i="1"/>
  <c r="AT468" i="1"/>
  <c r="AS468" i="1"/>
  <c r="AR468" i="1"/>
  <c r="AT467" i="1"/>
  <c r="AS467" i="1"/>
  <c r="AR467" i="1"/>
  <c r="AT466" i="1"/>
  <c r="AS466" i="1"/>
  <c r="AR466" i="1"/>
  <c r="AT465" i="1"/>
  <c r="AS465" i="1"/>
  <c r="AR465" i="1"/>
  <c r="AT464" i="1"/>
  <c r="AS464" i="1"/>
  <c r="AT463" i="1"/>
  <c r="AS463" i="1"/>
  <c r="AR463" i="1"/>
  <c r="AT462" i="1"/>
  <c r="AS462" i="1"/>
  <c r="AT461" i="1"/>
  <c r="AS461" i="1"/>
  <c r="AT460" i="1"/>
  <c r="AS460" i="1"/>
  <c r="AT459" i="1"/>
  <c r="AS459" i="1"/>
  <c r="AR459" i="1"/>
  <c r="AT458" i="1"/>
  <c r="AS458" i="1"/>
  <c r="AT457" i="1"/>
  <c r="AS457" i="1"/>
  <c r="AT456" i="1"/>
  <c r="AS456" i="1"/>
  <c r="AR456" i="1"/>
  <c r="AT455" i="1"/>
  <c r="AS455" i="1"/>
  <c r="AT454" i="1"/>
  <c r="AS454" i="1"/>
  <c r="AR454" i="1"/>
  <c r="AT453" i="1"/>
  <c r="AS453" i="1"/>
  <c r="AR453" i="1"/>
  <c r="AT452" i="1"/>
  <c r="AS452" i="1"/>
  <c r="AR452" i="1"/>
  <c r="AT451" i="1"/>
  <c r="AS451" i="1"/>
  <c r="AR451" i="1"/>
  <c r="AT450" i="1"/>
  <c r="AS450" i="1"/>
  <c r="AT449" i="1"/>
  <c r="AS449" i="1"/>
  <c r="AR449" i="1"/>
  <c r="AT448" i="1"/>
  <c r="AS448" i="1"/>
  <c r="AR448" i="1"/>
  <c r="AT447" i="1"/>
  <c r="AS447" i="1"/>
  <c r="AT446" i="1"/>
  <c r="AS446" i="1"/>
  <c r="AR446" i="1"/>
  <c r="AT445" i="1"/>
  <c r="AS445" i="1"/>
  <c r="AR445" i="1"/>
  <c r="AT444" i="1"/>
  <c r="AS444" i="1"/>
  <c r="AR444" i="1"/>
  <c r="AT443" i="1"/>
  <c r="AS443" i="1"/>
  <c r="AR443" i="1"/>
  <c r="AT442" i="1"/>
  <c r="AS442" i="1"/>
  <c r="AR442" i="1"/>
  <c r="AT441" i="1"/>
  <c r="AS441" i="1"/>
  <c r="AR441" i="1"/>
  <c r="AT440" i="1"/>
  <c r="AS440" i="1"/>
  <c r="AR440" i="1"/>
  <c r="AT439" i="1"/>
  <c r="AS439" i="1"/>
  <c r="AT438" i="1"/>
  <c r="AS438" i="1"/>
  <c r="AT437" i="1"/>
  <c r="AS437" i="1"/>
  <c r="AT436" i="1"/>
  <c r="AS436" i="1"/>
  <c r="AT435" i="1"/>
  <c r="AS435" i="1"/>
  <c r="AR435" i="1"/>
  <c r="AT434" i="1"/>
  <c r="AS434" i="1"/>
  <c r="AT433" i="1"/>
  <c r="AS433" i="1"/>
  <c r="AT432" i="1"/>
  <c r="AS432" i="1"/>
  <c r="AT431" i="1"/>
  <c r="AS431" i="1"/>
  <c r="AR431" i="1"/>
  <c r="AT430" i="1"/>
  <c r="AS430" i="1"/>
  <c r="AR430" i="1"/>
  <c r="AT429" i="1"/>
  <c r="AS429" i="1"/>
  <c r="AR429" i="1"/>
  <c r="AT428" i="1"/>
  <c r="AS428" i="1"/>
  <c r="AR428" i="1"/>
  <c r="AT427" i="1"/>
  <c r="AS427" i="1"/>
  <c r="AR427" i="1"/>
  <c r="AT426" i="1"/>
  <c r="AS426" i="1"/>
  <c r="AR426" i="1"/>
  <c r="AT425" i="1"/>
  <c r="AS425" i="1"/>
  <c r="AT424" i="1"/>
  <c r="AS424" i="1"/>
  <c r="AT423" i="1"/>
  <c r="AS423" i="1"/>
  <c r="AR423" i="1"/>
  <c r="AT422" i="1"/>
  <c r="AS422" i="1"/>
  <c r="AT421" i="1"/>
  <c r="AS421" i="1"/>
  <c r="AR421" i="1"/>
  <c r="AT420" i="1"/>
  <c r="AS420" i="1"/>
  <c r="AR420" i="1"/>
  <c r="AT419" i="1"/>
  <c r="AS419" i="1"/>
  <c r="AR419" i="1"/>
  <c r="AT418" i="1"/>
  <c r="AS418" i="1"/>
  <c r="AR418" i="1"/>
  <c r="AT417" i="1"/>
  <c r="AS417" i="1"/>
  <c r="AR417" i="1"/>
  <c r="AT416" i="1"/>
  <c r="AS416" i="1"/>
  <c r="AR416" i="1"/>
  <c r="AT415" i="1"/>
  <c r="AS415" i="1"/>
  <c r="AR415" i="1"/>
  <c r="AT414" i="1"/>
  <c r="AS414" i="1"/>
  <c r="AR414" i="1"/>
  <c r="AT413" i="1"/>
  <c r="AS413" i="1"/>
  <c r="AT412" i="1"/>
  <c r="AS412" i="1"/>
  <c r="AR412" i="1"/>
  <c r="AT411" i="1"/>
  <c r="AS411" i="1"/>
  <c r="AT410" i="1"/>
  <c r="AS410" i="1"/>
  <c r="AR410" i="1"/>
  <c r="AT409" i="1"/>
  <c r="AS409" i="1"/>
  <c r="AT408" i="1"/>
  <c r="AS408" i="1"/>
  <c r="AR408" i="1"/>
  <c r="AT407" i="1"/>
  <c r="AS407" i="1"/>
  <c r="AT406" i="1"/>
  <c r="AS406" i="1"/>
  <c r="AT405" i="1"/>
  <c r="AS405" i="1"/>
  <c r="AR405" i="1"/>
  <c r="AT404" i="1"/>
  <c r="AS404" i="1"/>
  <c r="AT403" i="1"/>
  <c r="AS403" i="1"/>
  <c r="AR403" i="1"/>
  <c r="AT402" i="1"/>
  <c r="AS402" i="1"/>
  <c r="AT401" i="1"/>
  <c r="AS401" i="1"/>
  <c r="AR401" i="1"/>
  <c r="AT400" i="1"/>
  <c r="AS400" i="1"/>
  <c r="AR400" i="1"/>
  <c r="AT399" i="1"/>
  <c r="AS399" i="1"/>
  <c r="AR399" i="1"/>
  <c r="AT398" i="1"/>
  <c r="AS398" i="1"/>
  <c r="AR398" i="1"/>
  <c r="AT397" i="1"/>
  <c r="AS397" i="1"/>
  <c r="AT396" i="1"/>
  <c r="AS396" i="1"/>
  <c r="AR396" i="1"/>
  <c r="AT395" i="1"/>
  <c r="AS395" i="1"/>
  <c r="AR395" i="1"/>
  <c r="AT394" i="1"/>
  <c r="AS394" i="1"/>
  <c r="AR394" i="1"/>
  <c r="AT393" i="1"/>
  <c r="AS393" i="1"/>
  <c r="AT392" i="1"/>
  <c r="AS392" i="1"/>
  <c r="AR392" i="1"/>
  <c r="AT391" i="1"/>
  <c r="AS391" i="1"/>
  <c r="AT390" i="1"/>
  <c r="AS390" i="1"/>
  <c r="AT389" i="1"/>
  <c r="AS389" i="1"/>
  <c r="AT388" i="1"/>
  <c r="AS388" i="1"/>
  <c r="AT387" i="1"/>
  <c r="AS387" i="1"/>
  <c r="AR387" i="1"/>
  <c r="AT386" i="1"/>
  <c r="AS386" i="1"/>
  <c r="AT385" i="1"/>
  <c r="AS385" i="1"/>
  <c r="AR385" i="1"/>
  <c r="AT384" i="1"/>
  <c r="AS384" i="1"/>
  <c r="AR384" i="1"/>
  <c r="AT383" i="1"/>
  <c r="AS383" i="1"/>
  <c r="AR383" i="1"/>
  <c r="AT382" i="1"/>
  <c r="AS382" i="1"/>
  <c r="AR382" i="1"/>
  <c r="AT381" i="1"/>
  <c r="AS381" i="1"/>
  <c r="AR381" i="1"/>
  <c r="AT380" i="1"/>
  <c r="AS380" i="1"/>
  <c r="AR380" i="1"/>
  <c r="AT379" i="1"/>
  <c r="AS379" i="1"/>
  <c r="AR379" i="1"/>
  <c r="AT378" i="1"/>
  <c r="AS378" i="1"/>
  <c r="AR378" i="1"/>
  <c r="AT377" i="1"/>
  <c r="AS377" i="1"/>
  <c r="AT376" i="1"/>
  <c r="AS376" i="1"/>
  <c r="AT375" i="1"/>
  <c r="AS375" i="1"/>
  <c r="AR375" i="1"/>
  <c r="AT374" i="1"/>
  <c r="AS374" i="1"/>
  <c r="AR374" i="1"/>
  <c r="AT373" i="1"/>
  <c r="AS373" i="1"/>
  <c r="AR373" i="1"/>
  <c r="AT372" i="1"/>
  <c r="AS372" i="1"/>
  <c r="AR372" i="1"/>
  <c r="AT371" i="1"/>
  <c r="AS371" i="1"/>
  <c r="AR371" i="1"/>
  <c r="AT370" i="1"/>
  <c r="AS370" i="1"/>
  <c r="AR370" i="1"/>
  <c r="AT369" i="1"/>
  <c r="AS369" i="1"/>
  <c r="AR369" i="1"/>
  <c r="AT368" i="1"/>
  <c r="AS368" i="1"/>
  <c r="AR368" i="1"/>
  <c r="AT367" i="1"/>
  <c r="AS367" i="1"/>
  <c r="AR367" i="1"/>
  <c r="AT366" i="1"/>
  <c r="AS366" i="1"/>
  <c r="AR366" i="1"/>
  <c r="AT365" i="1"/>
  <c r="AS365" i="1"/>
  <c r="AR365" i="1"/>
  <c r="AT364" i="1"/>
  <c r="AS364" i="1"/>
  <c r="AR364" i="1"/>
  <c r="AT363" i="1"/>
  <c r="AS363" i="1"/>
  <c r="AR363" i="1"/>
  <c r="AT362" i="1"/>
  <c r="AS362" i="1"/>
  <c r="AR362" i="1"/>
  <c r="AT361" i="1"/>
  <c r="AS361" i="1"/>
  <c r="AR361" i="1"/>
  <c r="AT360" i="1"/>
  <c r="AS360" i="1"/>
  <c r="AR360" i="1"/>
  <c r="AT359" i="1"/>
  <c r="AS359" i="1"/>
  <c r="AR359" i="1"/>
  <c r="AT358" i="1"/>
  <c r="AS358" i="1"/>
  <c r="AT357" i="1"/>
  <c r="AS357" i="1"/>
  <c r="AT356" i="1"/>
  <c r="AS356" i="1"/>
  <c r="AR356" i="1"/>
  <c r="AT355" i="1"/>
  <c r="AS355" i="1"/>
  <c r="AT354" i="1"/>
  <c r="AS354" i="1"/>
  <c r="AR354" i="1"/>
  <c r="AT353" i="1"/>
  <c r="AS353" i="1"/>
  <c r="AR353" i="1"/>
  <c r="AT352" i="1"/>
  <c r="AS352" i="1"/>
  <c r="AR352" i="1"/>
  <c r="AT351" i="1"/>
  <c r="AS351" i="1"/>
  <c r="AT350" i="1"/>
  <c r="AS350" i="1"/>
  <c r="AT349" i="1"/>
  <c r="AS349" i="1"/>
  <c r="AT348" i="1"/>
  <c r="AS348" i="1"/>
  <c r="AR348" i="1"/>
  <c r="AT347" i="1"/>
  <c r="AS347" i="1"/>
  <c r="AT346" i="1"/>
  <c r="AS346" i="1"/>
  <c r="AT345" i="1"/>
  <c r="AS345" i="1"/>
  <c r="AT344" i="1"/>
  <c r="AS344" i="1"/>
  <c r="AT343" i="1"/>
  <c r="AS343" i="1"/>
  <c r="AR343" i="1"/>
  <c r="AT342" i="1"/>
  <c r="AS342" i="1"/>
  <c r="AT341" i="1"/>
  <c r="AS341" i="1"/>
  <c r="AR341" i="1"/>
  <c r="AT340" i="1"/>
  <c r="AS340" i="1"/>
  <c r="AR340" i="1"/>
  <c r="AT339" i="1"/>
  <c r="AS339" i="1"/>
  <c r="AR339" i="1"/>
  <c r="AT338" i="1"/>
  <c r="AS338" i="1"/>
  <c r="AR338" i="1"/>
  <c r="AT337" i="1"/>
  <c r="AS337" i="1"/>
  <c r="AR337" i="1"/>
  <c r="AT336" i="1"/>
  <c r="AS336" i="1"/>
  <c r="AR336" i="1"/>
  <c r="AT335" i="1"/>
  <c r="AS335" i="1"/>
  <c r="AR335" i="1"/>
  <c r="AT334" i="1"/>
  <c r="AS334" i="1"/>
  <c r="AT333" i="1"/>
  <c r="AS333" i="1"/>
  <c r="AT332" i="1"/>
  <c r="AS332" i="1"/>
  <c r="AT331" i="1"/>
  <c r="AS331" i="1"/>
  <c r="AR331" i="1"/>
  <c r="AT330" i="1"/>
  <c r="AS330" i="1"/>
  <c r="AT329" i="1"/>
  <c r="AS329" i="1"/>
  <c r="AR329" i="1"/>
  <c r="AT328" i="1"/>
  <c r="AS328" i="1"/>
  <c r="AT327" i="1"/>
  <c r="AS327" i="1"/>
  <c r="AR327" i="1"/>
  <c r="AT326" i="1"/>
  <c r="AS326" i="1"/>
  <c r="AT325" i="1"/>
  <c r="AS325" i="1"/>
  <c r="AR325" i="1"/>
  <c r="AT324" i="1"/>
  <c r="AS324" i="1"/>
  <c r="AT323" i="1"/>
  <c r="AS323" i="1"/>
  <c r="AT322" i="1"/>
  <c r="AS322" i="1"/>
  <c r="AT321" i="1"/>
  <c r="AS321" i="1"/>
  <c r="AR321" i="1"/>
  <c r="AT320" i="1"/>
  <c r="AS320" i="1"/>
  <c r="AT319" i="1"/>
  <c r="AS319" i="1"/>
  <c r="AT318" i="1"/>
  <c r="AS318" i="1"/>
  <c r="AT317" i="1"/>
  <c r="AS317" i="1"/>
  <c r="AT316" i="1"/>
  <c r="AS316" i="1"/>
  <c r="AR316" i="1"/>
  <c r="AT315" i="1"/>
  <c r="AS315" i="1"/>
  <c r="AT314" i="1"/>
  <c r="AS314" i="1"/>
  <c r="AT313" i="1"/>
  <c r="AS313" i="1"/>
  <c r="AR313" i="1"/>
  <c r="AT312" i="1"/>
  <c r="AS312" i="1"/>
  <c r="AR312" i="1"/>
  <c r="AT311" i="1"/>
  <c r="AS311" i="1"/>
  <c r="AT310" i="1"/>
  <c r="AS310" i="1"/>
  <c r="AT309" i="1"/>
  <c r="AS309" i="1"/>
  <c r="AR309" i="1"/>
  <c r="AT308" i="1"/>
  <c r="AS308" i="1"/>
  <c r="AR308" i="1"/>
  <c r="AT307" i="1"/>
  <c r="AS307" i="1"/>
  <c r="AR307" i="1"/>
  <c r="AT306" i="1"/>
  <c r="AS306" i="1"/>
  <c r="AT305" i="1"/>
  <c r="AS305" i="1"/>
  <c r="AR305" i="1"/>
  <c r="AT304" i="1"/>
  <c r="AS304" i="1"/>
  <c r="AT303" i="1"/>
  <c r="AS303" i="1"/>
  <c r="AT302" i="1"/>
  <c r="AS302" i="1"/>
  <c r="AR302" i="1"/>
  <c r="AT301" i="1"/>
  <c r="AS301" i="1"/>
  <c r="AT300" i="1"/>
  <c r="AS300" i="1"/>
  <c r="AR300" i="1"/>
  <c r="AT299" i="1"/>
  <c r="AS299" i="1"/>
  <c r="AR299" i="1"/>
  <c r="AT298" i="1"/>
  <c r="AS298" i="1"/>
  <c r="AR298" i="1"/>
  <c r="AT297" i="1"/>
  <c r="AS297" i="1"/>
  <c r="AT296" i="1"/>
  <c r="AS296" i="1"/>
  <c r="AR296" i="1"/>
  <c r="AT295" i="1"/>
  <c r="AS295" i="1"/>
  <c r="AR295" i="1"/>
  <c r="AT294" i="1"/>
  <c r="AS294" i="1"/>
  <c r="AR294" i="1"/>
  <c r="AT293" i="1"/>
  <c r="AS293" i="1"/>
  <c r="AR293" i="1"/>
  <c r="AT292" i="1"/>
  <c r="AS292" i="1"/>
  <c r="AT291" i="1"/>
  <c r="AS291" i="1"/>
  <c r="AR291" i="1"/>
  <c r="AT290" i="1"/>
  <c r="AS290" i="1"/>
  <c r="AT289" i="1"/>
  <c r="AS289" i="1"/>
  <c r="AR289" i="1"/>
  <c r="AT288" i="1"/>
  <c r="AS288" i="1"/>
  <c r="AT287" i="1"/>
  <c r="AS287" i="1"/>
  <c r="AR287" i="1"/>
  <c r="AT286" i="1"/>
  <c r="AS286" i="1"/>
  <c r="AR286" i="1"/>
  <c r="AT285" i="1"/>
  <c r="AS285" i="1"/>
  <c r="AR285" i="1"/>
  <c r="AT284" i="1"/>
  <c r="AS284" i="1"/>
  <c r="AR284" i="1"/>
  <c r="AT283" i="1"/>
  <c r="AS283" i="1"/>
  <c r="AR283" i="1"/>
  <c r="AT282" i="1"/>
  <c r="AS282" i="1"/>
  <c r="AR282" i="1"/>
  <c r="AT281" i="1"/>
  <c r="AS281" i="1"/>
  <c r="AR281" i="1"/>
  <c r="AT280" i="1"/>
  <c r="AS280" i="1"/>
  <c r="AR280" i="1"/>
  <c r="AT279" i="1"/>
  <c r="AS279" i="1"/>
  <c r="AT278" i="1"/>
  <c r="AS278" i="1"/>
  <c r="AR278" i="1"/>
  <c r="AT277" i="1"/>
  <c r="AS277" i="1"/>
  <c r="AT276" i="1"/>
  <c r="AS276" i="1"/>
  <c r="AR276" i="1"/>
  <c r="AT275" i="1"/>
  <c r="AS275" i="1"/>
  <c r="AR275" i="1"/>
  <c r="AT274" i="1"/>
  <c r="AS274" i="1"/>
  <c r="AR274" i="1"/>
  <c r="AT273" i="1"/>
  <c r="AS273" i="1"/>
  <c r="AR273" i="1"/>
  <c r="AT272" i="1"/>
  <c r="AS272" i="1"/>
  <c r="AR272" i="1"/>
  <c r="AT271" i="1"/>
  <c r="AS271" i="1"/>
  <c r="AT270" i="1"/>
  <c r="AS270" i="1"/>
  <c r="AT269" i="1"/>
  <c r="AS269" i="1"/>
  <c r="AT268" i="1"/>
  <c r="AS268" i="1"/>
  <c r="AR268" i="1"/>
  <c r="AT267" i="1"/>
  <c r="AS267" i="1"/>
  <c r="AR267" i="1"/>
  <c r="AT266" i="1"/>
  <c r="AS266" i="1"/>
  <c r="AR266" i="1"/>
  <c r="AT265" i="1"/>
  <c r="AS265" i="1"/>
  <c r="AT264" i="1"/>
  <c r="AS264" i="1"/>
  <c r="AT263" i="1"/>
  <c r="AS263" i="1"/>
  <c r="AR263" i="1"/>
  <c r="AT262" i="1"/>
  <c r="AS262" i="1"/>
  <c r="AR262" i="1"/>
  <c r="AT261" i="1"/>
  <c r="AS261" i="1"/>
  <c r="AR261" i="1"/>
  <c r="AT260" i="1"/>
  <c r="AS260" i="1"/>
  <c r="AR260" i="1"/>
  <c r="AT259" i="1"/>
  <c r="AS259" i="1"/>
  <c r="AT258" i="1"/>
  <c r="AS258" i="1"/>
  <c r="AR258" i="1"/>
  <c r="AT257" i="1"/>
  <c r="AS257" i="1"/>
  <c r="AR257" i="1"/>
  <c r="AT256" i="1"/>
  <c r="AS256" i="1"/>
  <c r="AT255" i="1"/>
  <c r="AS255" i="1"/>
  <c r="AR255" i="1"/>
  <c r="AT254" i="1"/>
  <c r="AS254" i="1"/>
  <c r="AR254" i="1"/>
  <c r="AT253" i="1"/>
  <c r="AS253" i="1"/>
  <c r="AR253" i="1"/>
  <c r="AT252" i="1"/>
  <c r="AS252" i="1"/>
  <c r="AR252" i="1"/>
  <c r="AT251" i="1"/>
  <c r="AS251" i="1"/>
  <c r="AT250" i="1"/>
  <c r="AS250" i="1"/>
  <c r="AT249" i="1"/>
  <c r="AS249" i="1"/>
  <c r="AR249" i="1"/>
  <c r="AT248" i="1"/>
  <c r="AS248" i="1"/>
  <c r="AR248" i="1"/>
  <c r="AT247" i="1"/>
  <c r="AS247" i="1"/>
  <c r="AT246" i="1"/>
  <c r="AS246" i="1"/>
  <c r="AR246" i="1"/>
  <c r="AT245" i="1"/>
  <c r="AS245" i="1"/>
  <c r="AT244" i="1"/>
  <c r="AS244" i="1"/>
  <c r="AR244" i="1"/>
  <c r="AT243" i="1"/>
  <c r="AS243" i="1"/>
  <c r="AR243" i="1"/>
  <c r="AT242" i="1"/>
  <c r="AS242" i="1"/>
  <c r="AR242" i="1"/>
  <c r="AT241" i="1"/>
  <c r="AS241" i="1"/>
  <c r="AR241" i="1"/>
  <c r="AT240" i="1"/>
  <c r="AS240" i="1"/>
  <c r="AR240" i="1"/>
  <c r="AT239" i="1"/>
  <c r="AS239" i="1"/>
  <c r="AR239" i="1"/>
  <c r="AT238" i="1"/>
  <c r="AS238" i="1"/>
  <c r="AR238" i="1"/>
  <c r="AT237" i="1"/>
  <c r="AS237" i="1"/>
  <c r="AR237" i="1"/>
  <c r="AT236" i="1"/>
  <c r="AS236" i="1"/>
  <c r="AR236" i="1"/>
  <c r="AT235" i="1"/>
  <c r="AS235" i="1"/>
  <c r="AT234" i="1"/>
  <c r="AS234" i="1"/>
  <c r="AT233" i="1"/>
  <c r="AS233" i="1"/>
  <c r="AR233" i="1"/>
  <c r="AT232" i="1"/>
  <c r="AS232" i="1"/>
  <c r="AT231" i="1"/>
  <c r="AS231" i="1"/>
  <c r="AT230" i="1"/>
  <c r="AS230" i="1"/>
  <c r="AT229" i="1"/>
  <c r="AS229" i="1"/>
  <c r="AR229" i="1"/>
  <c r="AT228" i="1"/>
  <c r="AS228" i="1"/>
  <c r="AT227" i="1"/>
  <c r="AS227" i="1"/>
  <c r="AR227" i="1"/>
  <c r="AT226" i="1"/>
  <c r="AS226" i="1"/>
  <c r="AT225" i="1"/>
  <c r="AS225" i="1"/>
  <c r="AR225" i="1"/>
  <c r="AT224" i="1"/>
  <c r="AS224" i="1"/>
  <c r="AT223" i="1"/>
  <c r="AS223" i="1"/>
  <c r="AT222" i="1"/>
  <c r="AS222" i="1"/>
  <c r="AR222" i="1"/>
  <c r="AT221" i="1"/>
  <c r="AS221" i="1"/>
  <c r="AT220" i="1"/>
  <c r="AS220" i="1"/>
  <c r="AR220" i="1"/>
  <c r="AT219" i="1"/>
  <c r="AS219" i="1"/>
  <c r="AR219" i="1"/>
  <c r="AT218" i="1"/>
  <c r="AS218" i="1"/>
  <c r="AR218" i="1"/>
  <c r="AT217" i="1"/>
  <c r="AS217" i="1"/>
  <c r="AT216" i="1"/>
  <c r="AS216" i="1"/>
  <c r="AR216" i="1"/>
  <c r="AT215" i="1"/>
  <c r="AS215" i="1"/>
  <c r="AT214" i="1"/>
  <c r="AS214" i="1"/>
  <c r="AT213" i="1"/>
  <c r="AS213" i="1"/>
  <c r="AT212" i="1"/>
  <c r="AS212" i="1"/>
  <c r="AR212" i="1"/>
  <c r="AT211" i="1"/>
  <c r="AS211" i="1"/>
  <c r="AR211" i="1"/>
  <c r="AT210" i="1"/>
  <c r="AS210" i="1"/>
  <c r="AT209" i="1"/>
  <c r="AS209" i="1"/>
  <c r="AR209" i="1"/>
  <c r="AT208" i="1"/>
  <c r="AS208" i="1"/>
  <c r="AT207" i="1"/>
  <c r="AS207" i="1"/>
  <c r="AT206" i="1"/>
  <c r="AS206" i="1"/>
  <c r="AR206" i="1"/>
  <c r="AT205" i="1"/>
  <c r="AS205" i="1"/>
  <c r="AR205" i="1"/>
  <c r="AT204" i="1"/>
  <c r="AS204" i="1"/>
  <c r="AR204" i="1"/>
  <c r="AT203" i="1"/>
  <c r="AS203" i="1"/>
  <c r="AR203" i="1"/>
  <c r="AT202" i="1"/>
  <c r="AS202" i="1"/>
  <c r="AR202" i="1"/>
  <c r="AT201" i="1"/>
  <c r="AS201" i="1"/>
  <c r="AR201" i="1"/>
  <c r="AT200" i="1"/>
  <c r="AS200" i="1"/>
  <c r="AR200" i="1"/>
  <c r="AT199" i="1"/>
  <c r="AS199" i="1"/>
  <c r="AR199" i="1"/>
  <c r="AT198" i="1"/>
  <c r="AS198" i="1"/>
  <c r="AT197" i="1"/>
  <c r="AS197" i="1"/>
  <c r="AR197" i="1"/>
  <c r="AT196" i="1"/>
  <c r="AS196" i="1"/>
  <c r="AT195" i="1"/>
  <c r="AS195" i="1"/>
  <c r="AR195" i="1"/>
  <c r="AT194" i="1"/>
  <c r="AS194" i="1"/>
  <c r="AR194" i="1"/>
  <c r="AT193" i="1"/>
  <c r="AS193" i="1"/>
  <c r="AR193" i="1"/>
  <c r="AT192" i="1"/>
  <c r="AS192" i="1"/>
  <c r="AT191" i="1"/>
  <c r="AS191" i="1"/>
  <c r="AR191" i="1"/>
  <c r="AT190" i="1"/>
  <c r="AS190" i="1"/>
  <c r="AR190" i="1"/>
  <c r="AT189" i="1"/>
  <c r="AS189" i="1"/>
  <c r="AR189" i="1"/>
  <c r="AT188" i="1"/>
  <c r="AS188" i="1"/>
  <c r="AT187" i="1"/>
  <c r="AS187" i="1"/>
  <c r="AT186" i="1"/>
  <c r="AS186" i="1"/>
  <c r="AR186" i="1"/>
  <c r="AT185" i="1"/>
  <c r="AS185" i="1"/>
  <c r="AR185" i="1"/>
  <c r="AT184" i="1"/>
  <c r="AS184" i="1"/>
  <c r="AR184" i="1"/>
  <c r="AT183" i="1"/>
  <c r="AS183" i="1"/>
  <c r="AR183" i="1"/>
  <c r="AT182" i="1"/>
  <c r="AS182" i="1"/>
  <c r="AR182" i="1"/>
  <c r="AT181" i="1"/>
  <c r="AS181" i="1"/>
  <c r="AR181" i="1"/>
  <c r="AT180" i="1"/>
  <c r="AS180" i="1"/>
  <c r="AR180" i="1"/>
  <c r="AT179" i="1"/>
  <c r="AS179" i="1"/>
  <c r="AT178" i="1"/>
  <c r="AS178" i="1"/>
  <c r="AT177" i="1"/>
  <c r="AS177" i="1"/>
  <c r="AR177" i="1"/>
  <c r="AT176" i="1"/>
  <c r="AS176" i="1"/>
  <c r="AR176" i="1"/>
  <c r="AT175" i="1"/>
  <c r="AS175" i="1"/>
  <c r="AR175" i="1"/>
  <c r="AT174" i="1"/>
  <c r="AS174" i="1"/>
  <c r="AR174" i="1"/>
  <c r="AT173" i="1"/>
  <c r="AS173" i="1"/>
  <c r="AR173" i="1"/>
  <c r="AT172" i="1"/>
  <c r="AS172" i="1"/>
  <c r="AT171" i="1"/>
  <c r="AS171" i="1"/>
  <c r="AR171" i="1"/>
  <c r="AT170" i="1"/>
  <c r="AS170" i="1"/>
  <c r="AR170" i="1"/>
  <c r="AT169" i="1"/>
  <c r="AS169" i="1"/>
  <c r="AR169" i="1"/>
  <c r="AT168" i="1"/>
  <c r="AS168" i="1"/>
  <c r="AR168" i="1"/>
  <c r="AT167" i="1"/>
  <c r="AS167" i="1"/>
  <c r="AR167" i="1"/>
  <c r="AT166" i="1"/>
  <c r="AS166" i="1"/>
  <c r="AR166" i="1"/>
  <c r="AT165" i="1"/>
  <c r="AS165" i="1"/>
  <c r="AR165" i="1"/>
  <c r="AT164" i="1"/>
  <c r="AS164" i="1"/>
  <c r="AR164" i="1"/>
  <c r="AT163" i="1"/>
  <c r="AS163" i="1"/>
  <c r="AR163" i="1"/>
  <c r="AT162" i="1"/>
  <c r="AS162" i="1"/>
  <c r="AR162" i="1"/>
  <c r="AT161" i="1"/>
  <c r="AS161" i="1"/>
  <c r="AR161" i="1"/>
  <c r="AT160" i="1"/>
  <c r="AS160" i="1"/>
  <c r="AT159" i="1"/>
  <c r="AS159" i="1"/>
  <c r="AT158" i="1"/>
  <c r="AS158" i="1"/>
  <c r="AT157" i="1"/>
  <c r="AS157" i="1"/>
  <c r="AR157" i="1"/>
  <c r="AT156" i="1"/>
  <c r="AS156" i="1"/>
  <c r="AT155" i="1"/>
  <c r="AS155" i="1"/>
  <c r="AR155" i="1"/>
  <c r="AT154" i="1"/>
  <c r="AS154" i="1"/>
  <c r="AR154" i="1"/>
  <c r="AT153" i="1"/>
  <c r="AS153" i="1"/>
  <c r="AT152" i="1"/>
  <c r="AS152" i="1"/>
  <c r="AR152" i="1"/>
  <c r="AT151" i="1"/>
  <c r="AS151" i="1"/>
  <c r="AT150" i="1"/>
  <c r="AS150" i="1"/>
  <c r="AT149" i="1"/>
  <c r="AS149" i="1"/>
  <c r="AR149" i="1"/>
  <c r="AT148" i="1"/>
  <c r="AS148" i="1"/>
  <c r="AT147" i="1"/>
  <c r="AS147" i="1"/>
  <c r="AT146" i="1"/>
  <c r="AS146" i="1"/>
  <c r="AR146" i="1"/>
  <c r="AT145" i="1"/>
  <c r="AS145" i="1"/>
  <c r="AT144" i="1"/>
  <c r="AS144" i="1"/>
  <c r="AT143" i="1"/>
  <c r="AS143" i="1"/>
  <c r="AR143" i="1"/>
  <c r="AT142" i="1"/>
  <c r="AS142" i="1"/>
  <c r="AR142" i="1"/>
  <c r="AT141" i="1"/>
  <c r="AS141" i="1"/>
  <c r="AR141" i="1"/>
  <c r="AT140" i="1"/>
  <c r="AS140" i="1"/>
  <c r="AR140" i="1"/>
  <c r="AT139" i="1"/>
  <c r="AS139" i="1"/>
  <c r="AR139" i="1"/>
  <c r="AT138" i="1"/>
  <c r="AS138" i="1"/>
  <c r="AR138" i="1"/>
  <c r="AT137" i="1"/>
  <c r="AS137" i="1"/>
  <c r="AR137" i="1"/>
  <c r="AT136" i="1"/>
  <c r="AS136" i="1"/>
  <c r="AT135" i="1"/>
  <c r="AS135" i="1"/>
  <c r="AR135" i="1"/>
  <c r="AT134" i="1"/>
  <c r="AS134" i="1"/>
  <c r="AR134" i="1"/>
  <c r="AT133" i="1"/>
  <c r="AS133" i="1"/>
  <c r="AR133" i="1"/>
  <c r="AT132" i="1"/>
  <c r="AS132" i="1"/>
  <c r="AR132" i="1"/>
  <c r="AT131" i="1"/>
  <c r="AS131" i="1"/>
  <c r="AR131" i="1"/>
  <c r="AT130" i="1"/>
  <c r="AS130" i="1"/>
  <c r="AR130" i="1"/>
  <c r="AT129" i="1"/>
  <c r="AS129" i="1"/>
  <c r="AT128" i="1"/>
  <c r="AS128" i="1"/>
  <c r="AR128" i="1"/>
  <c r="AT127" i="1"/>
  <c r="AS127" i="1"/>
  <c r="AR127" i="1"/>
  <c r="AT126" i="1"/>
  <c r="AS126" i="1"/>
  <c r="AR126" i="1"/>
  <c r="AT125" i="1"/>
  <c r="AS125" i="1"/>
  <c r="AR125" i="1"/>
  <c r="AT124" i="1"/>
  <c r="AS124" i="1"/>
  <c r="AR124" i="1"/>
  <c r="AT123" i="1"/>
  <c r="AS123" i="1"/>
  <c r="AR123" i="1"/>
  <c r="AT122" i="1"/>
  <c r="AS122" i="1"/>
  <c r="AR122" i="1"/>
  <c r="AT121" i="1"/>
  <c r="AS121" i="1"/>
  <c r="AR121" i="1"/>
  <c r="AT120" i="1"/>
  <c r="AS120" i="1"/>
  <c r="AT119" i="1"/>
  <c r="AS119" i="1"/>
  <c r="AR119" i="1"/>
  <c r="AT118" i="1"/>
  <c r="AS118" i="1"/>
  <c r="AR118" i="1"/>
  <c r="AT117" i="1"/>
  <c r="AS117" i="1"/>
  <c r="AT116" i="1"/>
  <c r="AS116" i="1"/>
  <c r="AR116" i="1"/>
  <c r="AT115" i="1"/>
  <c r="AS115" i="1"/>
  <c r="AR115" i="1"/>
  <c r="AT114" i="1"/>
  <c r="AS114" i="1"/>
  <c r="AR114" i="1"/>
  <c r="AT113" i="1"/>
  <c r="AS113" i="1"/>
  <c r="AT112" i="1"/>
  <c r="AS112" i="1"/>
  <c r="AR112" i="1"/>
  <c r="AT111" i="1"/>
  <c r="AS111" i="1"/>
  <c r="AR111" i="1"/>
  <c r="AT110" i="1"/>
  <c r="AS110" i="1"/>
  <c r="AT109" i="1"/>
  <c r="AS109" i="1"/>
  <c r="AR109" i="1"/>
  <c r="AT108" i="1"/>
  <c r="AS108" i="1"/>
  <c r="AR108" i="1"/>
  <c r="AT107" i="1"/>
  <c r="AS107" i="1"/>
  <c r="AR107" i="1"/>
  <c r="AT106" i="1"/>
  <c r="AS106" i="1"/>
  <c r="AR106" i="1"/>
  <c r="AT105" i="1"/>
  <c r="AS105" i="1"/>
  <c r="AT104" i="1"/>
  <c r="AS104" i="1"/>
  <c r="AT103" i="1"/>
  <c r="AS103" i="1"/>
  <c r="AR103" i="1"/>
  <c r="AT102" i="1"/>
  <c r="AS102" i="1"/>
  <c r="AT101" i="1"/>
  <c r="AS101" i="1"/>
  <c r="AT100" i="1"/>
  <c r="AS100" i="1"/>
  <c r="AR100" i="1"/>
  <c r="AT99" i="1"/>
  <c r="AS99" i="1"/>
  <c r="AR99" i="1"/>
  <c r="AT98" i="1"/>
  <c r="AS98" i="1"/>
  <c r="AT97" i="1"/>
  <c r="AS97" i="1"/>
  <c r="AR97" i="1"/>
  <c r="AT96" i="1"/>
  <c r="AS96" i="1"/>
  <c r="AR96" i="1"/>
  <c r="AT95" i="1"/>
  <c r="AS95" i="1"/>
  <c r="AT94" i="1"/>
  <c r="AS94" i="1"/>
  <c r="AR94" i="1"/>
  <c r="AT93" i="1"/>
  <c r="AS93" i="1"/>
  <c r="AR93" i="1"/>
  <c r="AT92" i="1"/>
  <c r="AS92" i="1"/>
  <c r="AR92" i="1"/>
  <c r="AT91" i="1"/>
  <c r="AS91" i="1"/>
  <c r="AR91" i="1"/>
  <c r="AT90" i="1"/>
  <c r="AS90" i="1"/>
  <c r="AR90" i="1"/>
  <c r="AT89" i="1"/>
  <c r="AS89" i="1"/>
  <c r="AT88" i="1"/>
  <c r="AS88" i="1"/>
  <c r="AT87" i="1"/>
  <c r="AS87" i="1"/>
  <c r="AR87" i="1"/>
  <c r="AT86" i="1"/>
  <c r="AS86" i="1"/>
  <c r="AR86" i="1"/>
  <c r="AT85" i="1"/>
  <c r="AS85" i="1"/>
  <c r="AT84" i="1"/>
  <c r="AS84" i="1"/>
  <c r="AR84" i="1"/>
  <c r="AT83" i="1"/>
  <c r="AS83" i="1"/>
  <c r="AR83" i="1"/>
  <c r="AT82" i="1"/>
  <c r="AS82" i="1"/>
  <c r="AR82" i="1"/>
  <c r="AT81" i="1"/>
  <c r="AS81" i="1"/>
  <c r="AR81" i="1"/>
  <c r="AT80" i="1"/>
  <c r="AS80" i="1"/>
  <c r="AR80" i="1"/>
  <c r="AT79" i="1"/>
  <c r="AS79" i="1"/>
  <c r="AR79" i="1"/>
  <c r="AT78" i="1"/>
  <c r="AS78" i="1"/>
  <c r="AR78" i="1"/>
  <c r="AT77" i="1"/>
  <c r="AS77" i="1"/>
  <c r="AR77" i="1"/>
  <c r="AT76" i="1"/>
  <c r="AS76" i="1"/>
  <c r="AT75" i="1"/>
  <c r="AS75" i="1"/>
  <c r="AR75" i="1"/>
  <c r="AT74" i="1"/>
  <c r="AS74" i="1"/>
  <c r="AR74" i="1"/>
  <c r="AT73" i="1"/>
  <c r="AS73" i="1"/>
  <c r="AR73" i="1"/>
  <c r="AT72" i="1"/>
  <c r="AS72" i="1"/>
  <c r="AR72" i="1"/>
  <c r="AT71" i="1"/>
  <c r="AS71" i="1"/>
  <c r="AR71" i="1"/>
  <c r="AT70" i="1"/>
  <c r="AS70" i="1"/>
  <c r="AR70" i="1"/>
  <c r="AT69" i="1"/>
  <c r="AS69" i="1"/>
  <c r="AR69" i="1"/>
  <c r="AT68" i="1"/>
  <c r="AS68" i="1"/>
  <c r="AR68" i="1"/>
  <c r="AT67" i="1"/>
  <c r="AS67" i="1"/>
  <c r="AR67" i="1"/>
  <c r="AT66" i="1"/>
  <c r="AS66" i="1"/>
  <c r="AT65" i="1"/>
  <c r="AS65" i="1"/>
  <c r="AT64" i="1"/>
  <c r="AS64" i="1"/>
  <c r="AT63" i="1"/>
  <c r="AS63" i="1"/>
  <c r="AR63" i="1"/>
  <c r="AT62" i="1"/>
  <c r="AS62" i="1"/>
  <c r="AR62" i="1"/>
  <c r="AT61" i="1"/>
  <c r="AS61" i="1"/>
  <c r="AR61" i="1"/>
  <c r="AT60" i="1"/>
  <c r="AS60" i="1"/>
  <c r="AR60" i="1"/>
  <c r="AT59" i="1"/>
  <c r="AS59" i="1"/>
  <c r="AT58" i="1"/>
  <c r="AS58" i="1"/>
  <c r="AT57" i="1"/>
  <c r="AS57" i="1"/>
  <c r="AT56" i="1"/>
  <c r="AS56" i="1"/>
  <c r="AR56" i="1"/>
  <c r="AT55" i="1"/>
  <c r="AS55" i="1"/>
  <c r="AR55" i="1"/>
  <c r="AT54" i="1"/>
  <c r="AS54" i="1"/>
  <c r="AR54" i="1"/>
  <c r="AT53" i="1"/>
  <c r="AS53" i="1"/>
  <c r="AR53" i="1"/>
  <c r="AT52" i="1"/>
  <c r="AS52" i="1"/>
  <c r="AT51" i="1"/>
  <c r="AS51" i="1"/>
  <c r="AT50" i="1"/>
  <c r="AS50" i="1"/>
  <c r="AR50" i="1"/>
  <c r="AT49" i="1"/>
  <c r="AS49" i="1"/>
  <c r="AR49" i="1"/>
  <c r="AT48" i="1"/>
  <c r="AS48" i="1"/>
  <c r="AT47" i="1"/>
  <c r="AS47" i="1"/>
  <c r="AR47" i="1"/>
  <c r="AT46" i="1"/>
  <c r="AS46" i="1"/>
  <c r="AT45" i="1"/>
  <c r="AS45" i="1"/>
  <c r="AT44" i="1"/>
  <c r="AS44" i="1"/>
  <c r="AR44" i="1"/>
  <c r="AT43" i="1"/>
  <c r="AS43" i="1"/>
  <c r="AR43" i="1"/>
  <c r="AT42" i="1"/>
  <c r="AS42" i="1"/>
  <c r="AT41" i="1"/>
  <c r="AS41" i="1"/>
  <c r="AT40" i="1"/>
  <c r="AS40" i="1"/>
  <c r="AR40" i="1"/>
  <c r="AT39" i="1"/>
  <c r="AS39" i="1"/>
  <c r="AT38" i="1"/>
  <c r="AS38" i="1"/>
  <c r="AT37" i="1"/>
  <c r="AS37" i="1"/>
  <c r="AR37" i="1"/>
  <c r="AT36" i="1"/>
  <c r="AS36" i="1"/>
  <c r="AR36" i="1"/>
  <c r="AT35" i="1"/>
  <c r="AS35" i="1"/>
  <c r="AT34" i="1"/>
  <c r="AS34" i="1"/>
  <c r="AR34" i="1"/>
  <c r="AT33" i="1"/>
  <c r="AS33" i="1"/>
  <c r="AR33" i="1"/>
  <c r="AT32" i="1"/>
  <c r="AS32" i="1"/>
  <c r="AR32" i="1"/>
  <c r="AT31" i="1"/>
  <c r="AS31" i="1"/>
  <c r="AR31" i="1"/>
  <c r="AT30" i="1"/>
  <c r="AS30" i="1"/>
  <c r="AR30" i="1"/>
  <c r="AT29" i="1"/>
  <c r="AS29" i="1"/>
  <c r="AR29" i="1"/>
  <c r="AT28" i="1"/>
  <c r="AS28" i="1"/>
  <c r="AR28" i="1"/>
  <c r="AT27" i="1"/>
  <c r="AS27" i="1"/>
  <c r="AR27" i="1"/>
  <c r="AT26" i="1"/>
  <c r="AS26" i="1"/>
  <c r="AR26" i="1"/>
  <c r="AT25" i="1"/>
  <c r="AS25" i="1"/>
  <c r="AR25" i="1"/>
  <c r="AT24" i="1"/>
  <c r="AS24" i="1"/>
  <c r="AR24" i="1"/>
  <c r="AT23" i="1"/>
  <c r="AS23" i="1"/>
  <c r="AT22" i="1"/>
  <c r="AS22" i="1"/>
  <c r="AR22" i="1"/>
  <c r="AT21" i="1"/>
  <c r="AS21" i="1"/>
  <c r="AT20" i="1"/>
  <c r="AS20" i="1"/>
  <c r="AT19" i="1"/>
  <c r="AS19" i="1"/>
  <c r="AR19" i="1"/>
  <c r="AT18" i="1"/>
  <c r="AS18" i="1"/>
  <c r="AR18" i="1"/>
  <c r="AT17" i="1"/>
  <c r="AS17" i="1"/>
  <c r="AR17" i="1"/>
  <c r="AT16" i="1"/>
  <c r="AS16" i="1"/>
  <c r="AT15" i="1"/>
  <c r="AS15" i="1"/>
  <c r="AR15" i="1"/>
  <c r="AT14" i="1"/>
  <c r="AS14" i="1"/>
  <c r="AR14" i="1"/>
  <c r="AT13" i="1"/>
  <c r="AS13" i="1"/>
  <c r="AR13" i="1"/>
  <c r="AT12" i="1"/>
  <c r="AS12" i="1"/>
  <c r="AT11" i="1"/>
  <c r="AS11" i="1"/>
  <c r="AT10" i="1"/>
  <c r="AS10" i="1"/>
  <c r="AR10" i="1"/>
  <c r="AT9" i="1"/>
  <c r="AS9" i="1"/>
  <c r="AR9" i="1"/>
  <c r="AT8" i="1"/>
  <c r="AS8" i="1"/>
  <c r="AR8" i="1"/>
  <c r="AT7" i="1"/>
  <c r="AS7" i="1"/>
  <c r="AR7" i="1"/>
  <c r="AT6" i="1"/>
  <c r="AS6" i="1"/>
  <c r="AT5" i="1"/>
  <c r="AS5" i="1"/>
  <c r="AR5" i="1"/>
  <c r="AT4" i="1"/>
  <c r="AS4" i="1"/>
  <c r="AR4" i="1"/>
  <c r="AT3" i="1"/>
  <c r="AS3" i="1"/>
  <c r="AT2" i="1"/>
  <c r="AS2" i="1"/>
  <c r="AR2" i="1"/>
</calcChain>
</file>

<file path=xl/sharedStrings.xml><?xml version="1.0" encoding="utf-8"?>
<sst xmlns="http://schemas.openxmlformats.org/spreadsheetml/2006/main" count="32659" uniqueCount="12951">
  <si>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</si>
  <si>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</si>
  <si>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</si>
  <si>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</si>
  <si>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</si>
  <si>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</si>
  <si>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</si>
  <si>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</si>
  <si>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</si>
  <si>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</si>
  <si>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</si>
  <si>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</si>
  <si>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</si>
  <si>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</si>
  <si>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</si>
  <si>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</si>
  <si>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</si>
  <si>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</si>
  <si>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</si>
  <si>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</si>
  <si>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</si>
  <si>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</si>
  <si>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</si>
  <si>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</si>
  <si>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</si>
  <si>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 xml:space="preserve">US Holdings </t>
  </si>
  <si>
    <t>Nebraska Holdings - Same Edition</t>
  </si>
  <si>
    <t>Nebraska Holdings</t>
  </si>
  <si>
    <t>All Comparator Library Holdings - Same Edition</t>
  </si>
  <si>
    <t xml:space="preserve">All Comparator Library Holdings </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</si>
  <si>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</si>
  <si>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</si>
  <si>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</si>
  <si>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</si>
  <si>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</si>
  <si>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</si>
  <si>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</si>
  <si>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</si>
  <si>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</si>
  <si>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</si>
  <si>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</si>
  <si>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</si>
  <si>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</si>
  <si>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</si>
  <si>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</si>
  <si>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</si>
  <si>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</si>
  <si>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</si>
  <si>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</si>
  <si>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</si>
  <si>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</si>
  <si>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</si>
  <si>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</si>
  <si>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</si>
  <si>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</si>
  <si>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QP1 .P62 v.12</t>
  </si>
  <si>
    <t>0                      QP 0001000P  62                                                      v.12</t>
  </si>
  <si>
    <t>Gastrointestinal physiology II / edited by Robert K. Crane.</t>
  </si>
  <si>
    <t>V. 12</t>
  </si>
  <si>
    <t>No</t>
  </si>
  <si>
    <t>1</t>
  </si>
  <si>
    <t>0</t>
  </si>
  <si>
    <t>Baltimore : University Park Press, c1977.</t>
  </si>
  <si>
    <t>1977</t>
  </si>
  <si>
    <t>eng</t>
  </si>
  <si>
    <t>mdu</t>
  </si>
  <si>
    <t>International review of physiology ; v. 12</t>
  </si>
  <si>
    <t xml:space="preserve">QP </t>
  </si>
  <si>
    <t>1997-03-26</t>
  </si>
  <si>
    <t>1993-02-23</t>
  </si>
  <si>
    <t>Yes</t>
  </si>
  <si>
    <t>14949977:eng</t>
  </si>
  <si>
    <t>33933118</t>
  </si>
  <si>
    <t>991004185069702656</t>
  </si>
  <si>
    <t>2266104850002656</t>
  </si>
  <si>
    <t>BOOK</t>
  </si>
  <si>
    <t>9780839110613</t>
  </si>
  <si>
    <t>32285001548675</t>
  </si>
  <si>
    <t>893800697</t>
  </si>
  <si>
    <t>QP101 .D385 1997</t>
  </si>
  <si>
    <t>0                      QP 0101000D  385         1997</t>
  </si>
  <si>
    <t>Development of cardiovascular systems : molecules to organisms / edited by Warren W. Burggren, Bradley B. Keller.</t>
  </si>
  <si>
    <t>Cambridge, U.K. ; New York : Cambridge University Press, 1997.</t>
  </si>
  <si>
    <t>1997</t>
  </si>
  <si>
    <t>enk</t>
  </si>
  <si>
    <t>2000-03-20</t>
  </si>
  <si>
    <t>1998-02-05</t>
  </si>
  <si>
    <t>896284911:eng</t>
  </si>
  <si>
    <t>35688152</t>
  </si>
  <si>
    <t>991002721789702656</t>
  </si>
  <si>
    <t>2263421040002656</t>
  </si>
  <si>
    <t>9780521560726</t>
  </si>
  <si>
    <t>32285003312476</t>
  </si>
  <si>
    <t>893704428</t>
  </si>
  <si>
    <t>QP101 .R47</t>
  </si>
  <si>
    <t>0                      QP 0101000R  47</t>
  </si>
  <si>
    <t>Respiration and circulation / compiled and edited by Philip L. Altman and Dorothy S. Dittmer. Prepared under the auspices of the Committee on Biological Handbooks.</t>
  </si>
  <si>
    <t>Bethesda, Md. : Federation of American Societies for Experimental Biology, [c1971]</t>
  </si>
  <si>
    <t>1971</t>
  </si>
  <si>
    <t>Biological handbooks</t>
  </si>
  <si>
    <t>1994-02-19</t>
  </si>
  <si>
    <t>1992-01-20</t>
  </si>
  <si>
    <t>346787892:eng</t>
  </si>
  <si>
    <t>118258</t>
  </si>
  <si>
    <t>991001788199702656</t>
  </si>
  <si>
    <t>2261717390002656</t>
  </si>
  <si>
    <t>32285000914456</t>
  </si>
  <si>
    <t>893703329</t>
  </si>
  <si>
    <t>QP102 .G73 1987</t>
  </si>
  <si>
    <t>0                      QP 0102000G  73          1987</t>
  </si>
  <si>
    <t>Fundamental cardiovascular and pulmonary physiology / Jerry Franklin Green.</t>
  </si>
  <si>
    <t>Green, Jerry Franklin.</t>
  </si>
  <si>
    <t>Philadelphia : Lea &amp; Febiger, 1987.</t>
  </si>
  <si>
    <t>1987</t>
  </si>
  <si>
    <t>2nd ed.</t>
  </si>
  <si>
    <t>pau</t>
  </si>
  <si>
    <t>1994-02-23</t>
  </si>
  <si>
    <t>1990-06-22</t>
  </si>
  <si>
    <t>8223185:eng</t>
  </si>
  <si>
    <t>14213950</t>
  </si>
  <si>
    <t>991000922649702656</t>
  </si>
  <si>
    <t>2269413230002656</t>
  </si>
  <si>
    <t>9780812110685</t>
  </si>
  <si>
    <t>32285000179639</t>
  </si>
  <si>
    <t>893884879</t>
  </si>
  <si>
    <t>QP102 .P59 1992</t>
  </si>
  <si>
    <t>0                      QP 0102000P  59          1992</t>
  </si>
  <si>
    <t>Physiological adaptations in vertebrates : respiration, circulation, and metabolism / edited by Stephen C. Wood ... [et al.].</t>
  </si>
  <si>
    <t>New York : Dekker, c1992.</t>
  </si>
  <si>
    <t>1992</t>
  </si>
  <si>
    <t>nyu</t>
  </si>
  <si>
    <t>Lung biology in health and disease ; 56</t>
  </si>
  <si>
    <t>2006-05-11</t>
  </si>
  <si>
    <t>1992-03-17</t>
  </si>
  <si>
    <t>26928021:eng</t>
  </si>
  <si>
    <t>24430104</t>
  </si>
  <si>
    <t>991001934269702656</t>
  </si>
  <si>
    <t>2267982820002656</t>
  </si>
  <si>
    <t>9780824785581</t>
  </si>
  <si>
    <t>32285000939784</t>
  </si>
  <si>
    <t>893250624</t>
  </si>
  <si>
    <t>QP106 .P47</t>
  </si>
  <si>
    <t>0                      QP 0106000P  47</t>
  </si>
  <si>
    <t>Peripheral circulation / [edited by] Paul C. Johnson.</t>
  </si>
  <si>
    <t>New York : Wiley, c1978.</t>
  </si>
  <si>
    <t>1978</t>
  </si>
  <si>
    <t>A Wiley medical publication</t>
  </si>
  <si>
    <t>1995-05-04</t>
  </si>
  <si>
    <t>1993-02-26</t>
  </si>
  <si>
    <t>11384997:eng</t>
  </si>
  <si>
    <t>3542699</t>
  </si>
  <si>
    <t>991001790709702656</t>
  </si>
  <si>
    <t>2264852970002656</t>
  </si>
  <si>
    <t>9780471446378</t>
  </si>
  <si>
    <t>32285001549798</t>
  </si>
  <si>
    <t>893891843</t>
  </si>
  <si>
    <t>QP111.3 .H42 v...</t>
  </si>
  <si>
    <t>0                      QP 0111300H  42                                                      v...</t>
  </si>
  <si>
    <t>Hearts and heart-like organs / edited by Geoffrey H. Bourne.</t>
  </si>
  <si>
    <t>V. 1</t>
  </si>
  <si>
    <t>New York : Academic Press, c1980-</t>
  </si>
  <si>
    <t>1980</t>
  </si>
  <si>
    <t>1995-01-29</t>
  </si>
  <si>
    <t>1994-03-16</t>
  </si>
  <si>
    <t>4663566945:eng</t>
  </si>
  <si>
    <t>6485058</t>
  </si>
  <si>
    <t>991005015199702656</t>
  </si>
  <si>
    <t>2255518820002656</t>
  </si>
  <si>
    <t>9780121194017</t>
  </si>
  <si>
    <t>32285001853604</t>
  </si>
  <si>
    <t>893807711</t>
  </si>
  <si>
    <t>QP111.4 .H43 1999</t>
  </si>
  <si>
    <t>0                      QP 0111400H  43          1999</t>
  </si>
  <si>
    <t>Heart development / edited by Richard P. Harvey, Nadia Rosenthal.</t>
  </si>
  <si>
    <t>San Diego : Academic Press, c1999.</t>
  </si>
  <si>
    <t>1999</t>
  </si>
  <si>
    <t>cau</t>
  </si>
  <si>
    <t>2008-02-24</t>
  </si>
  <si>
    <t>1999-04-27</t>
  </si>
  <si>
    <t>2517101137:eng</t>
  </si>
  <si>
    <t>40292358</t>
  </si>
  <si>
    <t>991002988049702656</t>
  </si>
  <si>
    <t>2262466870002656</t>
  </si>
  <si>
    <t>9780123298607</t>
  </si>
  <si>
    <t>32285003556635</t>
  </si>
  <si>
    <t>893409791</t>
  </si>
  <si>
    <t>QP113.2 .C38 1986</t>
  </si>
  <si>
    <t>0                      QP 0113200C  38          1986</t>
  </si>
  <si>
    <t>Cardiac muscle : the regulation of excitation and contraction / edited by Richard D. Nathan.</t>
  </si>
  <si>
    <t>Orlando : Academic Press, 1986.</t>
  </si>
  <si>
    <t>1986</t>
  </si>
  <si>
    <t>flu</t>
  </si>
  <si>
    <t>Research topics in physiology ; 8</t>
  </si>
  <si>
    <t>1996-09-26</t>
  </si>
  <si>
    <t>4841926:eng</t>
  </si>
  <si>
    <t>12550531</t>
  </si>
  <si>
    <t>991000701789702656</t>
  </si>
  <si>
    <t>2267289280002656</t>
  </si>
  <si>
    <t>9780125143707</t>
  </si>
  <si>
    <t>32285001549806</t>
  </si>
  <si>
    <t>893444430</t>
  </si>
  <si>
    <t>QP114.E9 K37 1987</t>
  </si>
  <si>
    <t>0                      QP 0114000E  9                  K  37          1987</t>
  </si>
  <si>
    <t>Cardiovascular system and physical exercise / author, Victor L. Karpman.</t>
  </si>
  <si>
    <t>Karpman, V. L. (Viktor Lʹvovich)</t>
  </si>
  <si>
    <t>Boca Raton, Fla. : CRC Press, c1987.</t>
  </si>
  <si>
    <t>1997-06-18</t>
  </si>
  <si>
    <t>1993-02-09</t>
  </si>
  <si>
    <t>5845759:eng</t>
  </si>
  <si>
    <t>13094506</t>
  </si>
  <si>
    <t>991000779899702656</t>
  </si>
  <si>
    <t>2271914940002656</t>
  </si>
  <si>
    <t>9780849365287</t>
  </si>
  <si>
    <t>32285001495166</t>
  </si>
  <si>
    <t>893321332</t>
  </si>
  <si>
    <t>QP121 .A574 1990</t>
  </si>
  <si>
    <t>0                      QP 0121000A  574         1990</t>
  </si>
  <si>
    <t>Airway smooth muscle : modulation of receptors and response / editors : Devendra K. Agrawal, Robert G. Townley.</t>
  </si>
  <si>
    <t>Boca Raton : CRC Press, 1990.</t>
  </si>
  <si>
    <t>1990</t>
  </si>
  <si>
    <t>2005-05-02</t>
  </si>
  <si>
    <t>1990-12-04</t>
  </si>
  <si>
    <t>366208244:eng</t>
  </si>
  <si>
    <t>21408955</t>
  </si>
  <si>
    <t>991001687519702656</t>
  </si>
  <si>
    <t>2272733860002656</t>
  </si>
  <si>
    <t>9780849359040</t>
  </si>
  <si>
    <t>32285000358191</t>
  </si>
  <si>
    <t>893879087</t>
  </si>
  <si>
    <t>QP121 .C26 1989</t>
  </si>
  <si>
    <t>0                      QP 0121000C  26          1989</t>
  </si>
  <si>
    <t>The respiratory physiology of animals / James N. Cameron.</t>
  </si>
  <si>
    <t>Cameron, James N.</t>
  </si>
  <si>
    <t>New York : Oxford University Press, 1989.</t>
  </si>
  <si>
    <t>1989</t>
  </si>
  <si>
    <t>2000-09-19</t>
  </si>
  <si>
    <t>1990-10-12</t>
  </si>
  <si>
    <t>20146914:eng</t>
  </si>
  <si>
    <t>19886857</t>
  </si>
  <si>
    <t>991004451899702656</t>
  </si>
  <si>
    <t>2258431080002656</t>
  </si>
  <si>
    <t>9780195060195</t>
  </si>
  <si>
    <t>32285000318914</t>
  </si>
  <si>
    <t>893895023</t>
  </si>
  <si>
    <t>QP121 .E96</t>
  </si>
  <si>
    <t>0                      QP 0121000E  96</t>
  </si>
  <si>
    <t>The Evolution of air breathing in vertebrates / David J. Randall ... [et al.].</t>
  </si>
  <si>
    <t>Cambridge [Eng.] ; New York : Cambridge University Press, 1981.</t>
  </si>
  <si>
    <t>1981</t>
  </si>
  <si>
    <t>2000-10-24</t>
  </si>
  <si>
    <t>1992-01-17</t>
  </si>
  <si>
    <t>504013:eng</t>
  </si>
  <si>
    <t>5946633</t>
  </si>
  <si>
    <t>991004905789702656</t>
  </si>
  <si>
    <t>2257644250002656</t>
  </si>
  <si>
    <t>9780521222594</t>
  </si>
  <si>
    <t>32285000915164</t>
  </si>
  <si>
    <t>893236037</t>
  </si>
  <si>
    <t>QP121 .H8</t>
  </si>
  <si>
    <t>0                      QP 0121000H  8</t>
  </si>
  <si>
    <t>Comparative physiology of vertebrate respiration.</t>
  </si>
  <si>
    <t>Hughes, G. M. (George Morgan)</t>
  </si>
  <si>
    <t>Cambridge, Mass. : Harvard University Press, 1963.</t>
  </si>
  <si>
    <t>1963</t>
  </si>
  <si>
    <t>mau</t>
  </si>
  <si>
    <t>1995-03-15</t>
  </si>
  <si>
    <t>1902495:eng</t>
  </si>
  <si>
    <t>942710</t>
  </si>
  <si>
    <t>991003403239702656</t>
  </si>
  <si>
    <t>2268367130002656</t>
  </si>
  <si>
    <t>32285002012242</t>
  </si>
  <si>
    <t>893518452</t>
  </si>
  <si>
    <t>QP121 .K3</t>
  </si>
  <si>
    <t>0                      QP 0121000K  3</t>
  </si>
  <si>
    <t>A study of individual differences in breathing capacity in relation to some physical characteristics / by Helen Garside Kelly.</t>
  </si>
  <si>
    <t>Kelly, Helen Garside.</t>
  </si>
  <si>
    <t>Iowa City, Ia. : The University, 1933.</t>
  </si>
  <si>
    <t>1933</t>
  </si>
  <si>
    <t xml:space="preserve">xx </t>
  </si>
  <si>
    <t>University of Iowa. University of Iowa studies in child welfare, v.7, no.5</t>
  </si>
  <si>
    <t>1995-02-04</t>
  </si>
  <si>
    <t>6224642:eng</t>
  </si>
  <si>
    <t>2789313</t>
  </si>
  <si>
    <t>991004242079702656</t>
  </si>
  <si>
    <t>2267429250002656</t>
  </si>
  <si>
    <t>32285000914449</t>
  </si>
  <si>
    <t>893800768</t>
  </si>
  <si>
    <t>QP121 .M578 1986</t>
  </si>
  <si>
    <t>0                      QP 0121000M  578         1986</t>
  </si>
  <si>
    <t>Respiratory physiology / Allan H. Mines.</t>
  </si>
  <si>
    <t>Mines, Allan H.</t>
  </si>
  <si>
    <t>New York : Raven Press, c1986.</t>
  </si>
  <si>
    <t>Raven Press series in physiology</t>
  </si>
  <si>
    <t>1995-02-11</t>
  </si>
  <si>
    <t>3855421846:eng</t>
  </si>
  <si>
    <t>13124306</t>
  </si>
  <si>
    <t>991000785569702656</t>
  </si>
  <si>
    <t>2255408230002656</t>
  </si>
  <si>
    <t>9780881671872</t>
  </si>
  <si>
    <t>32285000915156</t>
  </si>
  <si>
    <t>893515605</t>
  </si>
  <si>
    <t>QP121 .R448 1990</t>
  </si>
  <si>
    <t>0                      QP 0121000R  448         1990</t>
  </si>
  <si>
    <t>Respiratory biomechanics : engineering analysis of structure and function / Mary A. Farrell Epstein, James R. Ligas, editors.</t>
  </si>
  <si>
    <t>New York : Springer-Verlag, c1990.</t>
  </si>
  <si>
    <t>2003-02-06</t>
  </si>
  <si>
    <t>1992-05-05</t>
  </si>
  <si>
    <t>908303880:eng</t>
  </si>
  <si>
    <t>25632581</t>
  </si>
  <si>
    <t>991002016539702656</t>
  </si>
  <si>
    <t>2268181290002656</t>
  </si>
  <si>
    <t>9780387974040</t>
  </si>
  <si>
    <t>32285001037885</t>
  </si>
  <si>
    <t>893328589</t>
  </si>
  <si>
    <t>QP121 .W395 1984</t>
  </si>
  <si>
    <t>0                      QP 0121000W  395         1984</t>
  </si>
  <si>
    <t>The pathway for oxygen : structure and function in the mammalian respiratory system / Ewald R. Weibel.</t>
  </si>
  <si>
    <t>Weibel, Ewald R.</t>
  </si>
  <si>
    <t>Cambridge, Mass. : Harvard University Press, 1984.</t>
  </si>
  <si>
    <t>1984</t>
  </si>
  <si>
    <t>1998-04-26</t>
  </si>
  <si>
    <t>836633791:eng</t>
  </si>
  <si>
    <t>10020345</t>
  </si>
  <si>
    <t>991000299209702656</t>
  </si>
  <si>
    <t>2265211030002656</t>
  </si>
  <si>
    <t>9780674657908</t>
  </si>
  <si>
    <t>32285000915149</t>
  </si>
  <si>
    <t>893407076</t>
  </si>
  <si>
    <t>QP135 .C5 1985</t>
  </si>
  <si>
    <t>0                      QP 0135000C  5           1985</t>
  </si>
  <si>
    <t>Man and his thermal environment / R.P. Clark, O.G. Edholm.</t>
  </si>
  <si>
    <t>Clark, R. P.</t>
  </si>
  <si>
    <t>London : Edward Arnold, 1985.</t>
  </si>
  <si>
    <t>1985</t>
  </si>
  <si>
    <t>2005-03-23</t>
  </si>
  <si>
    <t>1993-03-24</t>
  </si>
  <si>
    <t>5399814:eng</t>
  </si>
  <si>
    <t>12664798</t>
  </si>
  <si>
    <t>991001778329702656</t>
  </si>
  <si>
    <t>2258096090002656</t>
  </si>
  <si>
    <t>9780713144451</t>
  </si>
  <si>
    <t>32285001579829</t>
  </si>
  <si>
    <t>893772899</t>
  </si>
  <si>
    <t>QP135 .G57 1993</t>
  </si>
  <si>
    <t>0                      QP 0135000G  57          1993</t>
  </si>
  <si>
    <t>Temperature regulation in laboratory rodents / Christopher J. Gordon.</t>
  </si>
  <si>
    <t>Gordon, Christopher J.</t>
  </si>
  <si>
    <t>Cambridge [England] ; New York, NY, USA : Cambridge University Press, 1993.</t>
  </si>
  <si>
    <t>1993</t>
  </si>
  <si>
    <t>2006-10-03</t>
  </si>
  <si>
    <t>1994-01-26</t>
  </si>
  <si>
    <t>29178255:eng</t>
  </si>
  <si>
    <t>26636322</t>
  </si>
  <si>
    <t>991002078429702656</t>
  </si>
  <si>
    <t>2263157000002656</t>
  </si>
  <si>
    <t>9780521414265</t>
  </si>
  <si>
    <t>32285001833614</t>
  </si>
  <si>
    <t>893497697</t>
  </si>
  <si>
    <t>QP135 .H69 1982</t>
  </si>
  <si>
    <t>0                      QP 0135000H  69          1982</t>
  </si>
  <si>
    <t>Human body temperature : its measurement and regulation / by Y. Houdas and E.F.J. Ring.</t>
  </si>
  <si>
    <t>Houdas, Y. (Yvon), 1932-</t>
  </si>
  <si>
    <t>New York : Plenum Press, c1982.</t>
  </si>
  <si>
    <t>1982</t>
  </si>
  <si>
    <t>308961469:eng</t>
  </si>
  <si>
    <t>8476980</t>
  </si>
  <si>
    <t>991005249869702656</t>
  </si>
  <si>
    <t>2257714200002656</t>
  </si>
  <si>
    <t>9780306408724</t>
  </si>
  <si>
    <t>32285001549830</t>
  </si>
  <si>
    <t>893808072</t>
  </si>
  <si>
    <t>QP135 .I48 1971a</t>
  </si>
  <si>
    <t>0                      QP 0135000I  48          1971a</t>
  </si>
  <si>
    <t>Essays on temperature regulation / editors: J. Bligh [and] R. E. Moore.</t>
  </si>
  <si>
    <t>International Symposium on Bioenergetics and Temperature Regulation (1971 : Dublin, Ireland)</t>
  </si>
  <si>
    <t>Amsterdam : North-Holland Pub. Co. ; New York : American Elsevier Pub. Co., 1972.</t>
  </si>
  <si>
    <t>1972</t>
  </si>
  <si>
    <t>1995-01-28</t>
  </si>
  <si>
    <t>2057774:eng</t>
  </si>
  <si>
    <t>392116</t>
  </si>
  <si>
    <t>991002663089702656</t>
  </si>
  <si>
    <t>2263525010002656</t>
  </si>
  <si>
    <t>32285001579811</t>
  </si>
  <si>
    <t>893685625</t>
  </si>
  <si>
    <t>QP135 .I58 1985</t>
  </si>
  <si>
    <t>0                      QP 0135000I  58          1985</t>
  </si>
  <si>
    <t>Homeostasis and thermal stress : experimental and therapeutic advances / 6th International Symposium on the Pharmacology of Thermoregulation, Jasper, Alta., August 26-31, 1985 ; editors, K. Cooper ... [et al.].</t>
  </si>
  <si>
    <t>International Symposium on the Pharmacology of Thermoregulation (6th : 1985 : Jasper, Alta.)</t>
  </si>
  <si>
    <t>Basel ; New York : Karger, 1986.</t>
  </si>
  <si>
    <t xml:space="preserve">sz </t>
  </si>
  <si>
    <t>Symposia on the pharmacology of thermoregulation</t>
  </si>
  <si>
    <t>1996-10-01</t>
  </si>
  <si>
    <t>5821820:eng</t>
  </si>
  <si>
    <t>12749372</t>
  </si>
  <si>
    <t>991000732539702656</t>
  </si>
  <si>
    <t>2265535230002656</t>
  </si>
  <si>
    <t>9783805542289</t>
  </si>
  <si>
    <t>32285001549848</t>
  </si>
  <si>
    <t>893425986</t>
  </si>
  <si>
    <t>QP135 .I58 1988</t>
  </si>
  <si>
    <t>0                      QP 0135000I  58          1988</t>
  </si>
  <si>
    <t>Thermoregulation : research and clinical applications / 7th International Symposium on the Pharmacology of Thermoregulation, Odense, August 22-26, 1988 ; editors, P. Lomax, E. Schönbaum.</t>
  </si>
  <si>
    <t>International Symposium on the Pharmacology of Thermoregulation (7th : 1988 : Odense, Denmark)</t>
  </si>
  <si>
    <t>Basel ; New York : Karger, c1989.</t>
  </si>
  <si>
    <t>1995-04-15</t>
  </si>
  <si>
    <t>1989-10-23</t>
  </si>
  <si>
    <t>137426673:eng</t>
  </si>
  <si>
    <t>18715756</t>
  </si>
  <si>
    <t>991001385729702656</t>
  </si>
  <si>
    <t>2262914130002656</t>
  </si>
  <si>
    <t>9783805549219</t>
  </si>
  <si>
    <t>32285000001999</t>
  </si>
  <si>
    <t>893891538</t>
  </si>
  <si>
    <t>QP135 .M35 1983</t>
  </si>
  <si>
    <t>0                      QP 0135000M  35          1983</t>
  </si>
  <si>
    <t>Mammalian thermogenesis / edited by Lucien Girardier and Michael J. Stock.</t>
  </si>
  <si>
    <t>London ; New York : Chapman and Hall, 1983.</t>
  </si>
  <si>
    <t>1983</t>
  </si>
  <si>
    <t>1992-05-07</t>
  </si>
  <si>
    <t>1992-05-06</t>
  </si>
  <si>
    <t>355677760:eng</t>
  </si>
  <si>
    <t>9323303</t>
  </si>
  <si>
    <t>991000169859702656</t>
  </si>
  <si>
    <t>2257781680002656</t>
  </si>
  <si>
    <t>9780412235504</t>
  </si>
  <si>
    <t>32285000987049</t>
  </si>
  <si>
    <t>893890479</t>
  </si>
  <si>
    <t>QP135 .M465 1983</t>
  </si>
  <si>
    <t>0                      QP 0135000M  465         1983</t>
  </si>
  <si>
    <t>Microwaves and thermoregulation / edited by Eleanor R. Adair.</t>
  </si>
  <si>
    <t>New York : Academic Press, 1983.</t>
  </si>
  <si>
    <t>42963971:eng</t>
  </si>
  <si>
    <t>9440937</t>
  </si>
  <si>
    <t>991000195159702656</t>
  </si>
  <si>
    <t>2264575080002656</t>
  </si>
  <si>
    <t>9780120440207</t>
  </si>
  <si>
    <t>32285001549855</t>
  </si>
  <si>
    <t>893708198</t>
  </si>
  <si>
    <t>QP135 .R46</t>
  </si>
  <si>
    <t>0                      QP 0135000R  46</t>
  </si>
  <si>
    <t>Temperature regulation / [by] S. A. Richards.</t>
  </si>
  <si>
    <t>Richards, Stewart.</t>
  </si>
  <si>
    <t>London : Wykeham Publications, 1973.</t>
  </si>
  <si>
    <t>1973</t>
  </si>
  <si>
    <t>The Wykeham science series</t>
  </si>
  <si>
    <t>1996-11-21</t>
  </si>
  <si>
    <t>1995-03-21</t>
  </si>
  <si>
    <t>2019689:eng</t>
  </si>
  <si>
    <t>1438645</t>
  </si>
  <si>
    <t>991003756699702656</t>
  </si>
  <si>
    <t>2271031590002656</t>
  </si>
  <si>
    <t>9780851093901</t>
  </si>
  <si>
    <t>32285002012663</t>
  </si>
  <si>
    <t>893429164</t>
  </si>
  <si>
    <t>QP135 .S77</t>
  </si>
  <si>
    <t>0                      QP 0135000S  77</t>
  </si>
  <si>
    <t>Strategies in cold : natural torpidity and thermogenesis / edited by Lawrence C. H. Wang, Jack W. Hudson.</t>
  </si>
  <si>
    <t>New York : Academic Press, 1978.</t>
  </si>
  <si>
    <t>1994-07-17</t>
  </si>
  <si>
    <t>137241375:eng</t>
  </si>
  <si>
    <t>3869244</t>
  </si>
  <si>
    <t>991004535139702656</t>
  </si>
  <si>
    <t>2263001820002656</t>
  </si>
  <si>
    <t>9780127345505</t>
  </si>
  <si>
    <t>32285001549863</t>
  </si>
  <si>
    <t>893430181</t>
  </si>
  <si>
    <t>QP135 .S92</t>
  </si>
  <si>
    <t>0                      QP 0135000S  92</t>
  </si>
  <si>
    <t>Thermoregulation and bioenergetics : patterns for vertebrate survival.</t>
  </si>
  <si>
    <t>Swan, Henry, II, 1913-1996.</t>
  </si>
  <si>
    <t>New York : American Elsevier Pub. Co., [1974]</t>
  </si>
  <si>
    <t>1974</t>
  </si>
  <si>
    <t>1995-09-30</t>
  </si>
  <si>
    <t>1995-02-24</t>
  </si>
  <si>
    <t>487954373:eng</t>
  </si>
  <si>
    <t>915699</t>
  </si>
  <si>
    <t>991003379439702656</t>
  </si>
  <si>
    <t>2264681480002656</t>
  </si>
  <si>
    <t>9780444001443</t>
  </si>
  <si>
    <t>32285002010204</t>
  </si>
  <si>
    <t>893692678</t>
  </si>
  <si>
    <t>QP135 .T48</t>
  </si>
  <si>
    <t>0                      QP 0135000T  48</t>
  </si>
  <si>
    <t>Thermoregulation / edited by Evelyn Satinoff.</t>
  </si>
  <si>
    <t>Stroudsburg, Pa. : Dowden, Hutchinson &amp; Ross ; New York : distributed by Academic Press, c1980.</t>
  </si>
  <si>
    <t>1979</t>
  </si>
  <si>
    <t>Benchmark papers in behavior ; 13</t>
  </si>
  <si>
    <t>1995-07-20</t>
  </si>
  <si>
    <t>54281542:eng</t>
  </si>
  <si>
    <t>4775322</t>
  </si>
  <si>
    <t>991004713799702656</t>
  </si>
  <si>
    <t>2255378570002656</t>
  </si>
  <si>
    <t>9780879333492</t>
  </si>
  <si>
    <t>32285001579803</t>
  </si>
  <si>
    <t>893331955</t>
  </si>
  <si>
    <t>QP135 .W48</t>
  </si>
  <si>
    <t>0                      QP 0135000W  48</t>
  </si>
  <si>
    <t>Comparative physiology of thermoregulation. Edited by G. Causey Whittow.</t>
  </si>
  <si>
    <t>Whittow, G. Causey, 1930-</t>
  </si>
  <si>
    <t>New York, Academic Press, 1970-73.</t>
  </si>
  <si>
    <t>1970</t>
  </si>
  <si>
    <t>1997-08-06</t>
  </si>
  <si>
    <t>9422633685:eng</t>
  </si>
  <si>
    <t>92873</t>
  </si>
  <si>
    <t>991001764259702656</t>
  </si>
  <si>
    <t>2262527990002656</t>
  </si>
  <si>
    <t>9780127476025</t>
  </si>
  <si>
    <t>32285003012647</t>
  </si>
  <si>
    <t>893684623</t>
  </si>
  <si>
    <t>V. 3</t>
  </si>
  <si>
    <t>32285003012662</t>
  </si>
  <si>
    <t>893709515</t>
  </si>
  <si>
    <t>V. 2</t>
  </si>
  <si>
    <t>32285003012654</t>
  </si>
  <si>
    <t>893709516</t>
  </si>
  <si>
    <t>QP136 .A678 1994</t>
  </si>
  <si>
    <t>0                      QP 0136000A  678         1994</t>
  </si>
  <si>
    <t>Appetite : neural and behavioural bases / edited by Charles R. Legg and David Booth.</t>
  </si>
  <si>
    <t>Oxford ; New York : Oxford University Press, 1994.</t>
  </si>
  <si>
    <t>1994</t>
  </si>
  <si>
    <t>EBBS publications series ; 1</t>
  </si>
  <si>
    <t>2007-02-24</t>
  </si>
  <si>
    <t>1996-03-14</t>
  </si>
  <si>
    <t>836820366:eng</t>
  </si>
  <si>
    <t>30075383</t>
  </si>
  <si>
    <t>991002318429702656</t>
  </si>
  <si>
    <t>2261709810002656</t>
  </si>
  <si>
    <t>9780198547877</t>
  </si>
  <si>
    <t>32285002142288</t>
  </si>
  <si>
    <t>893497974</t>
  </si>
  <si>
    <t>QP141 .C5 1966</t>
  </si>
  <si>
    <t>0                      QP 0141000C  5           1966</t>
  </si>
  <si>
    <t>Nutrition [by] Margaret S. Chaney [and] Margaret L. Ross.</t>
  </si>
  <si>
    <t>Chaney, Margaret Stella, 1892-</t>
  </si>
  <si>
    <t>Boston, Houghton Mifflin [1966]</t>
  </si>
  <si>
    <t>1966</t>
  </si>
  <si>
    <t>7th ed.</t>
  </si>
  <si>
    <t>1996-10-08</t>
  </si>
  <si>
    <t>1262221:eng</t>
  </si>
  <si>
    <t>711691</t>
  </si>
  <si>
    <t>991003180649702656</t>
  </si>
  <si>
    <t>2261895030002656</t>
  </si>
  <si>
    <t>32285001549897</t>
  </si>
  <si>
    <t>893258133</t>
  </si>
  <si>
    <t>QP141 .D47</t>
  </si>
  <si>
    <t>0                      QP 0141000D  47</t>
  </si>
  <si>
    <t>Realities of nutrition / Ronald M. Deutsch ; [cover and ill. Diana Dennington].</t>
  </si>
  <si>
    <t>Deutsch, Ronald M.</t>
  </si>
  <si>
    <t>Palo Alto, CA : Bull Pub. Co., c1976.</t>
  </si>
  <si>
    <t>1976</t>
  </si>
  <si>
    <t>Berkeley series in nutrition</t>
  </si>
  <si>
    <t>1997-04-05</t>
  </si>
  <si>
    <t>1990-04-04</t>
  </si>
  <si>
    <t>381786:eng</t>
  </si>
  <si>
    <t>2409636</t>
  </si>
  <si>
    <t>991004115189702656</t>
  </si>
  <si>
    <t>2269223440002656</t>
  </si>
  <si>
    <t>9780915950072</t>
  </si>
  <si>
    <t>32285000110006</t>
  </si>
  <si>
    <t>893228946</t>
  </si>
  <si>
    <t>QP141 .H79</t>
  </si>
  <si>
    <t>0                      QP 0141000H  79</t>
  </si>
  <si>
    <t>Human nutrition : readings from Scientific American / with introductions by Norman Kretchmer and William van B. Robertson.</t>
  </si>
  <si>
    <t>San Francisco : W. H. Freeman, c1978.</t>
  </si>
  <si>
    <t>447016:eng</t>
  </si>
  <si>
    <t>3966254</t>
  </si>
  <si>
    <t>991004555889702656</t>
  </si>
  <si>
    <t>2263801080002656</t>
  </si>
  <si>
    <t>9780716701835</t>
  </si>
  <si>
    <t>32285001549913</t>
  </si>
  <si>
    <t>893319389</t>
  </si>
  <si>
    <t>QP141 .L64 1986</t>
  </si>
  <si>
    <t>0                      QP 0141000L  64          1986</t>
  </si>
  <si>
    <t>The psychology of eating and drinking / A.W. Logue.</t>
  </si>
  <si>
    <t>Logue, A. W. (Alexandra W.)</t>
  </si>
  <si>
    <t>New York : W.H. Freeman, c1986.</t>
  </si>
  <si>
    <t>A Series of books in psychology</t>
  </si>
  <si>
    <t>2009-12-16</t>
  </si>
  <si>
    <t>1992-07-27</t>
  </si>
  <si>
    <t>1016310:eng</t>
  </si>
  <si>
    <t>12344667</t>
  </si>
  <si>
    <t>991000675379702656</t>
  </si>
  <si>
    <t>2265347810002656</t>
  </si>
  <si>
    <t>9780716717386</t>
  </si>
  <si>
    <t>32285001206456</t>
  </si>
  <si>
    <t>893790752</t>
  </si>
  <si>
    <t>QP141 .M64 1988</t>
  </si>
  <si>
    <t>0                      QP 0141000M  64          1988</t>
  </si>
  <si>
    <t>Modern nutrition in health and disease / edited by Maurice E. Shils, Vernon R. Young.</t>
  </si>
  <si>
    <t>Philadelphia : Lea &amp; Febiger, 1988.</t>
  </si>
  <si>
    <t>1988</t>
  </si>
  <si>
    <t>2002-04-19</t>
  </si>
  <si>
    <t>1990-06-18</t>
  </si>
  <si>
    <t>2207715766:eng</t>
  </si>
  <si>
    <t>13903179</t>
  </si>
  <si>
    <t>991000889199702656</t>
  </si>
  <si>
    <t>2270033480002656</t>
  </si>
  <si>
    <t>9780812109849</t>
  </si>
  <si>
    <t>32285000177880</t>
  </si>
  <si>
    <t>893696260</t>
  </si>
  <si>
    <t>QP141 .N7765 1995</t>
  </si>
  <si>
    <t>0                      QP 0141000N  7765        1995</t>
  </si>
  <si>
    <t>Nutrition and health : topics and controversies / edited by Felix Bronner.</t>
  </si>
  <si>
    <t>Boca Raton, FL : CRC Press, c1995.</t>
  </si>
  <si>
    <t>1995</t>
  </si>
  <si>
    <t>CRC series on modern nutrition</t>
  </si>
  <si>
    <t>2005-12-05</t>
  </si>
  <si>
    <t>1999-04-13</t>
  </si>
  <si>
    <t>836912272:eng</t>
  </si>
  <si>
    <t>32392879</t>
  </si>
  <si>
    <t>991002489139702656</t>
  </si>
  <si>
    <t>2256374350002656</t>
  </si>
  <si>
    <t>9780849378492</t>
  </si>
  <si>
    <t>32285003551859</t>
  </si>
  <si>
    <t>893440205</t>
  </si>
  <si>
    <t>QP141 .S348 1979</t>
  </si>
  <si>
    <t>0                      QP 0141000S  348         1979</t>
  </si>
  <si>
    <t>Food power : how foods can change your mind, your personality, and your life / by George Schwartz.</t>
  </si>
  <si>
    <t>Schwartz, George R.</t>
  </si>
  <si>
    <t>New York : McGraw-Hill, c1979.</t>
  </si>
  <si>
    <t>2008-02-11</t>
  </si>
  <si>
    <t>1992-04-16</t>
  </si>
  <si>
    <t>278904015:eng</t>
  </si>
  <si>
    <t>4593377</t>
  </si>
  <si>
    <t>991004687479702656</t>
  </si>
  <si>
    <t>2271213080002656</t>
  </si>
  <si>
    <t>9780070556737</t>
  </si>
  <si>
    <t>32285001070019</t>
  </si>
  <si>
    <t>893782535</t>
  </si>
  <si>
    <t>QP141 .S626 1987</t>
  </si>
  <si>
    <t>0                      QP 0141000S  626         1987</t>
  </si>
  <si>
    <t>Basic nutrition : self-instructional modules / Peggy Stanfield ; with the special assistance of Y.H. Hui.</t>
  </si>
  <si>
    <t>Stanfield, Peggy.</t>
  </si>
  <si>
    <t>Boston : Jones and Bartlett, c1987.</t>
  </si>
  <si>
    <t>1990-01-23</t>
  </si>
  <si>
    <t>866199965:eng</t>
  </si>
  <si>
    <t>15017389</t>
  </si>
  <si>
    <t>991000978339702656</t>
  </si>
  <si>
    <t>2265051190002656</t>
  </si>
  <si>
    <t>9780867203875</t>
  </si>
  <si>
    <t>32285000035179</t>
  </si>
  <si>
    <t>893346142</t>
  </si>
  <si>
    <t>QP141 .T32 1966</t>
  </si>
  <si>
    <t>0                      QP 0141000T  32          1966</t>
  </si>
  <si>
    <t>Foundations of nutrition / [by] Clara Mae Taylor and Orrea Florence Pye.</t>
  </si>
  <si>
    <t>Taylor, Clara Mae, 1898-</t>
  </si>
  <si>
    <t>New York : Macmillan, [1966]</t>
  </si>
  <si>
    <t>6th ed.</t>
  </si>
  <si>
    <t>1995-11-28</t>
  </si>
  <si>
    <t>1990-02-21</t>
  </si>
  <si>
    <t>1619991:eng</t>
  </si>
  <si>
    <t>498783</t>
  </si>
  <si>
    <t>991002870449702656</t>
  </si>
  <si>
    <t>2272418470002656</t>
  </si>
  <si>
    <t>32285000044395</t>
  </si>
  <si>
    <t>893524141</t>
  </si>
  <si>
    <t>QP141 .W514 1988</t>
  </si>
  <si>
    <t>0                      QP 0141000W  514         1988</t>
  </si>
  <si>
    <t>Nutrition for fitness and sport / Melvin H. Williams.</t>
  </si>
  <si>
    <t>Williams, Melvin H.</t>
  </si>
  <si>
    <t>Dubuque, Iowa : W.C. Brown, c1988.</t>
  </si>
  <si>
    <t>iau</t>
  </si>
  <si>
    <t>1991-05-09</t>
  </si>
  <si>
    <t>3856074223:eng</t>
  </si>
  <si>
    <t>17893920</t>
  </si>
  <si>
    <t>991001278949702656</t>
  </si>
  <si>
    <t>2257191170002656</t>
  </si>
  <si>
    <t>9780697072801</t>
  </si>
  <si>
    <t>32285000572015</t>
  </si>
  <si>
    <t>893315668</t>
  </si>
  <si>
    <t>QP141 .W515</t>
  </si>
  <si>
    <t>0                      QP 0141000W  515</t>
  </si>
  <si>
    <t>Nutritional aspects of human physical and athletic performance / by Melvin H. Williams.</t>
  </si>
  <si>
    <t>Springfield, Ill. : Thomas, c1976.</t>
  </si>
  <si>
    <t>ilu</t>
  </si>
  <si>
    <t>2001-03-07</t>
  </si>
  <si>
    <t>2744193:eng</t>
  </si>
  <si>
    <t>1976090</t>
  </si>
  <si>
    <t>991003962649702656</t>
  </si>
  <si>
    <t>2266596750002656</t>
  </si>
  <si>
    <t>9780398035488</t>
  </si>
  <si>
    <t>32285001549921</t>
  </si>
  <si>
    <t>893228732</t>
  </si>
  <si>
    <t>QP141.A1 H84 1979, v.1</t>
  </si>
  <si>
    <t>0                      QP 0141000A  1                  H  84          1979                  v.1</t>
  </si>
  <si>
    <t>Nutrition : pre- and postnatal development / edited by Myron Winick.</t>
  </si>
  <si>
    <t>New York : Plenum Press, c1979.</t>
  </si>
  <si>
    <t>Human nutrition ; v. 1</t>
  </si>
  <si>
    <t>1990-09-24</t>
  </si>
  <si>
    <t>3855787881:eng</t>
  </si>
  <si>
    <t>4515950</t>
  </si>
  <si>
    <t>991001775229702656</t>
  </si>
  <si>
    <t>2262867620002656</t>
  </si>
  <si>
    <t>9780306401329</t>
  </si>
  <si>
    <t>32285000278266</t>
  </si>
  <si>
    <t>893709530</t>
  </si>
  <si>
    <t>QP145 .S78 1995</t>
  </si>
  <si>
    <t>0                      QP 0145000S  78          1995</t>
  </si>
  <si>
    <t>Comparative physiology of the vertebrate digestive system / C. Edward Stevens, Ian D. Hume.</t>
  </si>
  <si>
    <t>Stevens, C. E. (Charles E.)</t>
  </si>
  <si>
    <t>Cambridge, UK ; New York : Cambridge University Press, c1995.</t>
  </si>
  <si>
    <t>1997-11-04</t>
  </si>
  <si>
    <t>1996-05-15</t>
  </si>
  <si>
    <t>31362:eng</t>
  </si>
  <si>
    <t>32273338</t>
  </si>
  <si>
    <t>991002478629702656</t>
  </si>
  <si>
    <t>2258389550002656</t>
  </si>
  <si>
    <t>9780521444187</t>
  </si>
  <si>
    <t>32285002168036</t>
  </si>
  <si>
    <t>893427638</t>
  </si>
  <si>
    <t>QP171 .A67 1987</t>
  </si>
  <si>
    <t>0                      QP 0171000A  67          1987</t>
  </si>
  <si>
    <t>Animal energetics / edited by T.J. Pandian, F. John Vernberg.</t>
  </si>
  <si>
    <t>V.2</t>
  </si>
  <si>
    <t>San Diego : Academic Press, c1987.</t>
  </si>
  <si>
    <t>1995-09-21</t>
  </si>
  <si>
    <t>792962375:eng</t>
  </si>
  <si>
    <t>15489385</t>
  </si>
  <si>
    <t>991001028829702656</t>
  </si>
  <si>
    <t>2272522840002656</t>
  </si>
  <si>
    <t>9780125447928</t>
  </si>
  <si>
    <t>32285001549947</t>
  </si>
  <si>
    <t>893413892</t>
  </si>
  <si>
    <t>V.1</t>
  </si>
  <si>
    <t>32285001549939</t>
  </si>
  <si>
    <t>893413893</t>
  </si>
  <si>
    <t>QP171 .F45 1997</t>
  </si>
  <si>
    <t>0                      QP 0171000F  45          1997</t>
  </si>
  <si>
    <t>Understanding the control of metabolism / by David Fell.</t>
  </si>
  <si>
    <t>Fell, David (David A.)</t>
  </si>
  <si>
    <t>London ; Miami : Portland Press ; Brookfield, VT : Distributed by Ashgate Pub. Co. in North America, 1997.</t>
  </si>
  <si>
    <t>1st ed.</t>
  </si>
  <si>
    <t>Frontiers in metabolism, 1353-6516 ; 2</t>
  </si>
  <si>
    <t>2001-11-08</t>
  </si>
  <si>
    <t>2000-07-24</t>
  </si>
  <si>
    <t>6140711:eng</t>
  </si>
  <si>
    <t>36267572</t>
  </si>
  <si>
    <t>991003215449702656</t>
  </si>
  <si>
    <t>2259891930002656</t>
  </si>
  <si>
    <t>9781855780477</t>
  </si>
  <si>
    <t>32285003741880</t>
  </si>
  <si>
    <t>893410024</t>
  </si>
  <si>
    <t>QP171 .G46 1999</t>
  </si>
  <si>
    <t>0                      QP 0171000G  46          1999</t>
  </si>
  <si>
    <t>Gender differences in metabolism : practical and nutritional implications / edited by Mark Tarnopolsky.</t>
  </si>
  <si>
    <t>Boca Raton : CRC Press, c1999.</t>
  </si>
  <si>
    <t>Modern nutrition</t>
  </si>
  <si>
    <t>2008-03-30</t>
  </si>
  <si>
    <t>1999-03-30</t>
  </si>
  <si>
    <t>837016059:eng</t>
  </si>
  <si>
    <t>40311445</t>
  </si>
  <si>
    <t>991002988519702656</t>
  </si>
  <si>
    <t>2264914340002656</t>
  </si>
  <si>
    <t>9780849381942</t>
  </si>
  <si>
    <t>32285003547329</t>
  </si>
  <si>
    <t>893717185</t>
  </si>
  <si>
    <t>QP171 .H53</t>
  </si>
  <si>
    <t>0                      QP 0171000H  53</t>
  </si>
  <si>
    <t>Energy transformations in mammals : regulatory mechanisms / [by] Frederic L. Hoch.</t>
  </si>
  <si>
    <t>Hoch, Frederic L., 1920-</t>
  </si>
  <si>
    <t>Philadelphia : Saunders, 1971.</t>
  </si>
  <si>
    <t>Physiological chemistry ; 3</t>
  </si>
  <si>
    <t>1996-02-24</t>
  </si>
  <si>
    <t>1991-09-04</t>
  </si>
  <si>
    <t>181390276:eng</t>
  </si>
  <si>
    <t>133167</t>
  </si>
  <si>
    <t>991000776639702656</t>
  </si>
  <si>
    <t>2256068080002656</t>
  </si>
  <si>
    <t>9780721647005</t>
  </si>
  <si>
    <t>32285000734110</t>
  </si>
  <si>
    <t>893515595</t>
  </si>
  <si>
    <t>QP171 .I58</t>
  </si>
  <si>
    <t>0                      QP 0171000I  58</t>
  </si>
  <si>
    <t>Physiological chemistry of exercise and training / First International Course on Physiological Chemistry of Exercise and Training, Fiuggi Terme, October 1-4, 1979 ; volume editors, P.E. di Prampero and J. Poortmans.</t>
  </si>
  <si>
    <t>International Course on Physiological Chemistry of Exercise and Training (1st : 1979 : Fiuggi, Italy)</t>
  </si>
  <si>
    <t>Basel ; New York : Karger, 1981.</t>
  </si>
  <si>
    <t>Medicine and sport ; v. 13</t>
  </si>
  <si>
    <t>1995-11-07</t>
  </si>
  <si>
    <t>29774892:eng</t>
  </si>
  <si>
    <t>7739371</t>
  </si>
  <si>
    <t>991005155599702656</t>
  </si>
  <si>
    <t>2258659680002656</t>
  </si>
  <si>
    <t>9783805520287</t>
  </si>
  <si>
    <t>32285001549970</t>
  </si>
  <si>
    <t>893536419</t>
  </si>
  <si>
    <t>QP171 .N44</t>
  </si>
  <si>
    <t>0                      QP 0171000N  44</t>
  </si>
  <si>
    <t>Regulation in metabolism / [by] E. A. Newsholme and C. Start.</t>
  </si>
  <si>
    <t>Newsholme, E. A.</t>
  </si>
  <si>
    <t>London ; New York : Wiley, [1973]</t>
  </si>
  <si>
    <t>1995-05-09</t>
  </si>
  <si>
    <t>1693931:eng</t>
  </si>
  <si>
    <t>718215</t>
  </si>
  <si>
    <t>991003193199702656</t>
  </si>
  <si>
    <t>2256294920002656</t>
  </si>
  <si>
    <t>9780471635307</t>
  </si>
  <si>
    <t>32285002032828</t>
  </si>
  <si>
    <t>893717403</t>
  </si>
  <si>
    <t>QP171 .P695</t>
  </si>
  <si>
    <t>0                      QP 0171000P  695</t>
  </si>
  <si>
    <t>Principles of metabolic control in mammalian systems / edited by Robert H. Herman, Robert M. Cohn, and Pamela D. McNamara.</t>
  </si>
  <si>
    <t>New York : Plenum Press, c1980.</t>
  </si>
  <si>
    <t>355439519:eng</t>
  </si>
  <si>
    <t>5101903</t>
  </si>
  <si>
    <t>991004778539702656</t>
  </si>
  <si>
    <t>2259108960002656</t>
  </si>
  <si>
    <t>9780306402616</t>
  </si>
  <si>
    <t>32285001549988</t>
  </si>
  <si>
    <t>893513669</t>
  </si>
  <si>
    <t>QP171 .S737 1984</t>
  </si>
  <si>
    <t>0                      QP 0171000S  737         1984</t>
  </si>
  <si>
    <t>Energy balance and temperature regulation / M.W. Stanier, L.E. Mount, J. Bligh.</t>
  </si>
  <si>
    <t>Stanier, M. W. (Margaret Wilson), 1919-</t>
  </si>
  <si>
    <t>Cambridge [Cambridgeshire] ; New York : Cambridge University Press, 1984.</t>
  </si>
  <si>
    <t>Cambridge texts in the physiological sciences ; 4</t>
  </si>
  <si>
    <t>2000-11-21</t>
  </si>
  <si>
    <t>43381938:eng</t>
  </si>
  <si>
    <t>9945607</t>
  </si>
  <si>
    <t>991000287759702656</t>
  </si>
  <si>
    <t>2261967770002656</t>
  </si>
  <si>
    <t>9780521277273</t>
  </si>
  <si>
    <t>32285001549996</t>
  </si>
  <si>
    <t>893327194</t>
  </si>
  <si>
    <t>QP176 .B83 1993</t>
  </si>
  <si>
    <t>0                      QP 0176000B  83          1993</t>
  </si>
  <si>
    <t>Nutrients as ergogenic aids for sports and exercise / Luke Bucci.</t>
  </si>
  <si>
    <t>Bucci, Luke.</t>
  </si>
  <si>
    <t>Boca Raton, FL : CRC Press, c1993.</t>
  </si>
  <si>
    <t>Nutrition in exercise and sport</t>
  </si>
  <si>
    <t>2002-04-23</t>
  </si>
  <si>
    <t>1993-12-29</t>
  </si>
  <si>
    <t>29359265:eng</t>
  </si>
  <si>
    <t>26398891</t>
  </si>
  <si>
    <t>991002063349702656</t>
  </si>
  <si>
    <t>2263280110002656</t>
  </si>
  <si>
    <t>9780849342233</t>
  </si>
  <si>
    <t>32285001818508</t>
  </si>
  <si>
    <t>893256822</t>
  </si>
  <si>
    <t>QP176 .K36 2008</t>
  </si>
  <si>
    <t>0                      QP 0176000K  36          2008</t>
  </si>
  <si>
    <t>Bioenergetics primer for exercise science / Jie Kang.</t>
  </si>
  <si>
    <t>Kang, Jie.</t>
  </si>
  <si>
    <t>Champaign, IL : Human Kinetics, c2008.</t>
  </si>
  <si>
    <t>2008</t>
  </si>
  <si>
    <t>Primers in exercise science series</t>
  </si>
  <si>
    <t>2008-04-07</t>
  </si>
  <si>
    <t>2008-01-09</t>
  </si>
  <si>
    <t>103294923:eng</t>
  </si>
  <si>
    <t>144598095</t>
  </si>
  <si>
    <t>991005132719702656</t>
  </si>
  <si>
    <t>2267360860002656</t>
  </si>
  <si>
    <t>9780736062411</t>
  </si>
  <si>
    <t>32285005376016</t>
  </si>
  <si>
    <t>893254522</t>
  </si>
  <si>
    <t>QP177 .B27 1983</t>
  </si>
  <si>
    <t>0                      QP 0177000B  27          1983</t>
  </si>
  <si>
    <t>Hypoxia, exercise, and altitude : proceedings of the Third Banff International Hypoxia Symposium : Banff, Alberta, Canada, January 25-28, 1983 / editors, John R. Sutton, Charles S. Houston, Norman L. Jones.</t>
  </si>
  <si>
    <t>Banff International Hypoxia Symposium (3rd : 1983)</t>
  </si>
  <si>
    <t>New York : A.R. Liss, c1983.</t>
  </si>
  <si>
    <t>Progress in clinical and biological research ; v. 136</t>
  </si>
  <si>
    <t>2004-03-30</t>
  </si>
  <si>
    <t>43308988:eng</t>
  </si>
  <si>
    <t>9943318</t>
  </si>
  <si>
    <t>991000300609702656</t>
  </si>
  <si>
    <t>2266583180002656</t>
  </si>
  <si>
    <t>9780845101360</t>
  </si>
  <si>
    <t>32285001550002</t>
  </si>
  <si>
    <t>893896765</t>
  </si>
  <si>
    <t>QP177 .B55</t>
  </si>
  <si>
    <t>0                      QP 0177000B  55</t>
  </si>
  <si>
    <t>Biological oxidations. Edited by Thomas P. Singer.</t>
  </si>
  <si>
    <t>New York, Interscience Publishers, 1968.</t>
  </si>
  <si>
    <t>1968</t>
  </si>
  <si>
    <t>53999042:eng</t>
  </si>
  <si>
    <t>712133</t>
  </si>
  <si>
    <t>991003182799702656</t>
  </si>
  <si>
    <t>2256739310002656</t>
  </si>
  <si>
    <t>32285003012746</t>
  </si>
  <si>
    <t>893787045</t>
  </si>
  <si>
    <t>QP177 .H63</t>
  </si>
  <si>
    <t>0                      QP 0177000H  63</t>
  </si>
  <si>
    <t>Living without oxygen : closed and open systems in hypoxia tolerance / Peter W. Hochachka.</t>
  </si>
  <si>
    <t>Hochachka, Peter W.</t>
  </si>
  <si>
    <t>Cambridge : Harvard University Press, 1980.</t>
  </si>
  <si>
    <t>1997-09-28</t>
  </si>
  <si>
    <t>1993-03-31</t>
  </si>
  <si>
    <t>293341969:eng</t>
  </si>
  <si>
    <t>5336832</t>
  </si>
  <si>
    <t>991004822549702656</t>
  </si>
  <si>
    <t>2265240230002656</t>
  </si>
  <si>
    <t>9780674536708</t>
  </si>
  <si>
    <t>32285001596765</t>
  </si>
  <si>
    <t>893229874</t>
  </si>
  <si>
    <t>QP177 .O93 1991</t>
  </si>
  <si>
    <t>0                      QP 0177000O  93          1991</t>
  </si>
  <si>
    <t>Oxidative stress : oxidants and antioxidants / edited by Helmut Sies.</t>
  </si>
  <si>
    <t>London ; San Diego : Academic Press, 1991.</t>
  </si>
  <si>
    <t>1991</t>
  </si>
  <si>
    <t>1992-06-18</t>
  </si>
  <si>
    <t>793297483:eng</t>
  </si>
  <si>
    <t>26220029</t>
  </si>
  <si>
    <t>991001961979702656</t>
  </si>
  <si>
    <t>2259477140002656</t>
  </si>
  <si>
    <t>9780126427622</t>
  </si>
  <si>
    <t>32285001129401</t>
  </si>
  <si>
    <t>893609300</t>
  </si>
  <si>
    <t>QP187 .B352</t>
  </si>
  <si>
    <t>0                      QP 0187000B  352</t>
  </si>
  <si>
    <t>Hormones and evolution, by E.J.W. Barrington.</t>
  </si>
  <si>
    <t>Barrington, E. J. W. (Ernest James William)</t>
  </si>
  <si>
    <t>Princeton, N.J., Van Nostrand [1964]</t>
  </si>
  <si>
    <t>1964</t>
  </si>
  <si>
    <t>nju</t>
  </si>
  <si>
    <t>[Modern biology]</t>
  </si>
  <si>
    <t>1630574:eng</t>
  </si>
  <si>
    <t>559720</t>
  </si>
  <si>
    <t>991002989549702656</t>
  </si>
  <si>
    <t>2262190530002656</t>
  </si>
  <si>
    <t>32285003012779</t>
  </si>
  <si>
    <t>893440792</t>
  </si>
  <si>
    <t>QP187 .B46 1998</t>
  </si>
  <si>
    <t>0                      QP 0187000B  46          1998</t>
  </si>
  <si>
    <t>Comparative vertebrate endocrinology / P.J. Bentley.</t>
  </si>
  <si>
    <t>Bentley, P. J.</t>
  </si>
  <si>
    <t>Cambridge, UK ; New York : Cambridge University Press, 1998.</t>
  </si>
  <si>
    <t>1998</t>
  </si>
  <si>
    <t>3rd ed.</t>
  </si>
  <si>
    <t>2007-04-23</t>
  </si>
  <si>
    <t>1999-04-05</t>
  </si>
  <si>
    <t>505792:eng</t>
  </si>
  <si>
    <t>37239013</t>
  </si>
  <si>
    <t>991002827969702656</t>
  </si>
  <si>
    <t>2254863870002656</t>
  </si>
  <si>
    <t>9780521620024</t>
  </si>
  <si>
    <t>32285003548707</t>
  </si>
  <si>
    <t>893440571</t>
  </si>
  <si>
    <t>QP187 .D645</t>
  </si>
  <si>
    <t>0                      QP 0187000D  645</t>
  </si>
  <si>
    <t>Mammalian neuroendocrinology, by B. T. Donovan.</t>
  </si>
  <si>
    <t>Donovan, Bernard T.</t>
  </si>
  <si>
    <t>Maidenhead, New York, McGraw-Hill, 1970.</t>
  </si>
  <si>
    <t>European animal biology series</t>
  </si>
  <si>
    <t>2003-09-29</t>
  </si>
  <si>
    <t>1295071:eng</t>
  </si>
  <si>
    <t>138681</t>
  </si>
  <si>
    <t>991000800359702656</t>
  </si>
  <si>
    <t>2258275970002656</t>
  </si>
  <si>
    <t>9780070941359</t>
  </si>
  <si>
    <t>32285003012837</t>
  </si>
  <si>
    <t>893891035</t>
  </si>
  <si>
    <t>QP187 .E57 1988</t>
  </si>
  <si>
    <t>0                      QP 0187000E  57          1988</t>
  </si>
  <si>
    <t>Endocrinology : people and ideas / edited by S.M. McCann.</t>
  </si>
  <si>
    <t>Bethesda, Md. : American Physiological Society ; New York : Distributed by Oxford University Press, c1988.</t>
  </si>
  <si>
    <t>889404508:eng</t>
  </si>
  <si>
    <t>16129132</t>
  </si>
  <si>
    <t>991001085929702656</t>
  </si>
  <si>
    <t>2269050050002656</t>
  </si>
  <si>
    <t>9780195207187</t>
  </si>
  <si>
    <t>32285001560118</t>
  </si>
  <si>
    <t>893885029</t>
  </si>
  <si>
    <t>QP187 .F68</t>
  </si>
  <si>
    <t>0                      QP 0187000F  68</t>
  </si>
  <si>
    <t>Biochemical endocrinology of the vertebrates [by] Earl Frieden [and] Harry Lipner.</t>
  </si>
  <si>
    <t>Frieden, Earl.</t>
  </si>
  <si>
    <t>Englewood Cliffs, N.J., Prentice-Hall [1971]</t>
  </si>
  <si>
    <t>Foundations of modern biochemistry series</t>
  </si>
  <si>
    <t>1997-12-05</t>
  </si>
  <si>
    <t>1308572:eng</t>
  </si>
  <si>
    <t>141979</t>
  </si>
  <si>
    <t>991005266449702656</t>
  </si>
  <si>
    <t>2254831180002656</t>
  </si>
  <si>
    <t>9780130764898</t>
  </si>
  <si>
    <t>32285003012860</t>
  </si>
  <si>
    <t>893338835</t>
  </si>
  <si>
    <t>QP187 .F795 1987</t>
  </si>
  <si>
    <t>0                      QP 0187000F  795         1987</t>
  </si>
  <si>
    <t>Fundamentals of comparative vertebrate endocrinology / edited by I. Chester-Jones and P.M. Ingleton and J.G. Phillips.</t>
  </si>
  <si>
    <t>New York : Plenum Press, c1987.</t>
  </si>
  <si>
    <t>1996-01-08</t>
  </si>
  <si>
    <t>355395208:eng</t>
  </si>
  <si>
    <t>14243660</t>
  </si>
  <si>
    <t>991000929329702656</t>
  </si>
  <si>
    <t>2267064960002656</t>
  </si>
  <si>
    <t>9780306423147</t>
  </si>
  <si>
    <t>32285001560134</t>
  </si>
  <si>
    <t>893784637</t>
  </si>
  <si>
    <t>QP187 .J4</t>
  </si>
  <si>
    <t>0                      QP 0187000J  4</t>
  </si>
  <si>
    <t>Animal hormones : a comparative survey / with a foreword by John E. Harris.</t>
  </si>
  <si>
    <t>Jenkin, Penelope M.</t>
  </si>
  <si>
    <t>Oxford ; New York : Pergamon Press, 1962-[70]</t>
  </si>
  <si>
    <t>1962</t>
  </si>
  <si>
    <t>International series of monographs on pure and applied biology. Division, Zoology ; v. 6</t>
  </si>
  <si>
    <t>2007-02-23</t>
  </si>
  <si>
    <t>1997-12-30</t>
  </si>
  <si>
    <t>1998-01-06</t>
  </si>
  <si>
    <t>133517124:eng</t>
  </si>
  <si>
    <t>275402</t>
  </si>
  <si>
    <t>991002166039702656</t>
  </si>
  <si>
    <t>2263325840002656</t>
  </si>
  <si>
    <t>9780080156484</t>
  </si>
  <si>
    <t>32285003300547</t>
  </si>
  <si>
    <t>893510380</t>
  </si>
  <si>
    <t>QP187 .J4 PT.2</t>
  </si>
  <si>
    <t>0                      QP 0187000J  4                                                       PT.2</t>
  </si>
  <si>
    <t>PT.2*</t>
  </si>
  <si>
    <t>32285003306130</t>
  </si>
  <si>
    <t>893504085</t>
  </si>
  <si>
    <t>QP187 .M346 1985</t>
  </si>
  <si>
    <t>0                      QP 0187000M  346         1985</t>
  </si>
  <si>
    <t>Endocrine physiology / Constance R. Martin.</t>
  </si>
  <si>
    <t>Martin, Constance R.</t>
  </si>
  <si>
    <t>New York : Oxford University Press, 1985.</t>
  </si>
  <si>
    <t>2942335:eng</t>
  </si>
  <si>
    <t>10660082</t>
  </si>
  <si>
    <t>991000404289702656</t>
  </si>
  <si>
    <t>2272551310002656</t>
  </si>
  <si>
    <t>9780195033595</t>
  </si>
  <si>
    <t>32285001105559</t>
  </si>
  <si>
    <t>893237279</t>
  </si>
  <si>
    <t>QP187 .V564 1986, v...</t>
  </si>
  <si>
    <t>0                      QP 0187000V  564         1986                                        v...</t>
  </si>
  <si>
    <t>Vertebrate endocrinology : fundamentals and biomedical implications / edited by Peter K.T. Pang, Martin P. Schreibman.</t>
  </si>
  <si>
    <t>Orlando : Academic Press, 1986-</t>
  </si>
  <si>
    <t>1999-12-02</t>
  </si>
  <si>
    <t>5090355850:eng</t>
  </si>
  <si>
    <t>13581724</t>
  </si>
  <si>
    <t>991000849859702656</t>
  </si>
  <si>
    <t>2259664500002656</t>
  </si>
  <si>
    <t>9780125449014</t>
  </si>
  <si>
    <t>32285001560191</t>
  </si>
  <si>
    <t>893772032</t>
  </si>
  <si>
    <t>32285001560183</t>
  </si>
  <si>
    <t>893797041</t>
  </si>
  <si>
    <t>QP187 .Z38 1964</t>
  </si>
  <si>
    <t>0                      QP 0187000Z  38          1964</t>
  </si>
  <si>
    <t>Experimental endocrinology, a sourcebook of basic techniques, by M.X. Zarrow, J.M. Yochim [and] J.L. McCarthy. With a chapter on invertebrate hormones, by R.C. Sanborn.</t>
  </si>
  <si>
    <t>Zarrow, M. X.</t>
  </si>
  <si>
    <t>New York, Academic Press, 1964.</t>
  </si>
  <si>
    <t>289243326:eng</t>
  </si>
  <si>
    <t>556850</t>
  </si>
  <si>
    <t>991005266589702656</t>
  </si>
  <si>
    <t>2259934540002656</t>
  </si>
  <si>
    <t>32285003012944</t>
  </si>
  <si>
    <t>893695041</t>
  </si>
  <si>
    <t>QP187.3.A34 H67 1995</t>
  </si>
  <si>
    <t>0                      QP 0187300A  34                 H  67          1995</t>
  </si>
  <si>
    <t>Hormones and aging / edited by Paola S. Timiras, Wilbur B. Quay, Antonia Vernadakis.</t>
  </si>
  <si>
    <t>Boca Raton, Fla. : CRC Press, c1995.</t>
  </si>
  <si>
    <t>2005-10-05</t>
  </si>
  <si>
    <t>355770494:eng</t>
  </si>
  <si>
    <t>31242894</t>
  </si>
  <si>
    <t>991002403319702656</t>
  </si>
  <si>
    <t>2271964020002656</t>
  </si>
  <si>
    <t>9780849324468</t>
  </si>
  <si>
    <t>32285002320082</t>
  </si>
  <si>
    <t>893316774</t>
  </si>
  <si>
    <t>QP187.3.C44 C44 1988</t>
  </si>
  <si>
    <t>0                      QP 0187300C  44                 C  44          1988</t>
  </si>
  <si>
    <t>Cell to cell communication in endocrinology / editors, F. Piva ... [et al.].</t>
  </si>
  <si>
    <t>Serono symposia publications from Raven Press ; v. 49</t>
  </si>
  <si>
    <t>428006928:eng</t>
  </si>
  <si>
    <t>19280666</t>
  </si>
  <si>
    <t>991001446479702656</t>
  </si>
  <si>
    <t>2267525040002656</t>
  </si>
  <si>
    <t>9780881673241</t>
  </si>
  <si>
    <t>32285001560209</t>
  </si>
  <si>
    <t>893696754</t>
  </si>
  <si>
    <t>QP187.A1 C6 v.12</t>
  </si>
  <si>
    <t>0                      QP 0187000A  1                  C  6                                 v.12</t>
  </si>
  <si>
    <t>The Pineal gland / editor, Russel J. Reiter.</t>
  </si>
  <si>
    <t>New York : Raven Press, c1984.</t>
  </si>
  <si>
    <t>Comprehensive endocrinology ; v. 12</t>
  </si>
  <si>
    <t>2001-05-09</t>
  </si>
  <si>
    <t>3759068968:eng</t>
  </si>
  <si>
    <t>10533622</t>
  </si>
  <si>
    <t>991000389259702656</t>
  </si>
  <si>
    <t>2257589650002656</t>
  </si>
  <si>
    <t>9780890043141</t>
  </si>
  <si>
    <t>32285001560050</t>
  </si>
  <si>
    <t>893528004</t>
  </si>
  <si>
    <t>QP187.A1 C6 v.2</t>
  </si>
  <si>
    <t>0                      QP 0187000A  1                  C  6                                 v.2</t>
  </si>
  <si>
    <t>Endocrine control of sexual behavior / editor, Carlos Beyer.</t>
  </si>
  <si>
    <t>New York : Raven Press, [1979] c1978.</t>
  </si>
  <si>
    <t>Comprehensive endocrinology ; v. 2</t>
  </si>
  <si>
    <t>15071201:eng</t>
  </si>
  <si>
    <t>4835190</t>
  </si>
  <si>
    <t>991004731719702656</t>
  </si>
  <si>
    <t>2265246770002656</t>
  </si>
  <si>
    <t>9780890042076</t>
  </si>
  <si>
    <t>32285001560035</t>
  </si>
  <si>
    <t>893612702</t>
  </si>
  <si>
    <t>QP187.A1 C6 v.5</t>
  </si>
  <si>
    <t>0                      QP 0187000A  1                  C  6                                 v.5</t>
  </si>
  <si>
    <t>The Endocrine functions of the brain / editor, Marcella Motta.</t>
  </si>
  <si>
    <t>V. 5</t>
  </si>
  <si>
    <t>New York : Raven Press, c1980.</t>
  </si>
  <si>
    <t>Comprehensive endocrinology ; v. 5</t>
  </si>
  <si>
    <t>1997-02-16</t>
  </si>
  <si>
    <t>2001-03-11</t>
  </si>
  <si>
    <t>24429008:eng</t>
  </si>
  <si>
    <t>6891090</t>
  </si>
  <si>
    <t>991001791649702656</t>
  </si>
  <si>
    <t>2261997420002656</t>
  </si>
  <si>
    <t>9780890043431</t>
  </si>
  <si>
    <t>32285001560043</t>
  </si>
  <si>
    <t>893703334</t>
  </si>
  <si>
    <t>QP187.A1 I52 1989</t>
  </si>
  <si>
    <t>0                      QP 0187000A  1                  I  52          1989</t>
  </si>
  <si>
    <t>Progress in comparative endocrinology : proceedings of the Eleventh International Symposium on Comparative Endocrinology, held in Malaga, Spain, May 14-20, 1989 / editors, August Epple, Colin G. Scanes, Milton H. Stetson.</t>
  </si>
  <si>
    <t>International Symposium on Comparative Endocrinology (11th : 1989 : Málaga, Spain)</t>
  </si>
  <si>
    <t>New York : Wiley-Liss, c1990.</t>
  </si>
  <si>
    <t>Progress in clinical and biological research ; vol. 342</t>
  </si>
  <si>
    <t>2004-01-28</t>
  </si>
  <si>
    <t>1990-10-26</t>
  </si>
  <si>
    <t>356311955:eng</t>
  </si>
  <si>
    <t>21149031</t>
  </si>
  <si>
    <t>991001657369702656</t>
  </si>
  <si>
    <t>2269602940002656</t>
  </si>
  <si>
    <t>9780471568001</t>
  </si>
  <si>
    <t>32285000311893</t>
  </si>
  <si>
    <t>893250369</t>
  </si>
  <si>
    <t>QP187.A1 S952 1977</t>
  </si>
  <si>
    <t>0                      QP 0187000A  1                  S  952         1977</t>
  </si>
  <si>
    <t>Evolution of vertebrate endocrine systems / edited by P.K.T. Pang and A. Epple.</t>
  </si>
  <si>
    <t>Symposium on Evolution of Vertebrate Endocrine Systems (1977 : Thomas Jefferson University)</t>
  </si>
  <si>
    <t>Lubbock : Texas Tech Press, 1980.</t>
  </si>
  <si>
    <t>txu</t>
  </si>
  <si>
    <t>Graduate studies (Texas Tech University), 0082-3198 ; no. 21</t>
  </si>
  <si>
    <t>1999-08-09</t>
  </si>
  <si>
    <t>24994871:eng</t>
  </si>
  <si>
    <t>7279364</t>
  </si>
  <si>
    <t>991005099249702656</t>
  </si>
  <si>
    <t>2262336330002656</t>
  </si>
  <si>
    <t>9780896720763</t>
  </si>
  <si>
    <t>32285001560092</t>
  </si>
  <si>
    <t>893783013</t>
  </si>
  <si>
    <t>QP188.5.H67 N88 1991</t>
  </si>
  <si>
    <t>0                      QP 0188500H  67                 N  88          1991</t>
  </si>
  <si>
    <t>Nuclear hormone receptors : molecular mechanisms, cellular functions, clinical abnormalities / edited by Malcolm G. Parker.</t>
  </si>
  <si>
    <t>London ; San Diego : Academic, c1991.</t>
  </si>
  <si>
    <t>1996-11-15</t>
  </si>
  <si>
    <t>1993-01-05</t>
  </si>
  <si>
    <t>889448559:eng</t>
  </si>
  <si>
    <t>27817174</t>
  </si>
  <si>
    <t>991001854579702656</t>
  </si>
  <si>
    <t>2260895390002656</t>
  </si>
  <si>
    <t>9780125450720</t>
  </si>
  <si>
    <t>32285001404945</t>
  </si>
  <si>
    <t>893232319</t>
  </si>
  <si>
    <t>QP188.P55 B494 1988</t>
  </si>
  <si>
    <t>0                      QP 0188000P  55                 B  494         1988</t>
  </si>
  <si>
    <t>The pineal : endocrine and nonendocrine function / by Sue Binkley.</t>
  </si>
  <si>
    <t>Tatem, Sue Binkley, 1944-</t>
  </si>
  <si>
    <t>Englewood Cliffs, N.J. : Prentice Hall, 1988.</t>
  </si>
  <si>
    <t>Prentice Hall endocrinology series</t>
  </si>
  <si>
    <t>1995-06-07</t>
  </si>
  <si>
    <t>889507068:eng</t>
  </si>
  <si>
    <t>16276731</t>
  </si>
  <si>
    <t>991001097229702656</t>
  </si>
  <si>
    <t>2262051930002656</t>
  </si>
  <si>
    <t>9780136761815</t>
  </si>
  <si>
    <t>32285001560225</t>
  </si>
  <si>
    <t>893885040</t>
  </si>
  <si>
    <t>QP211 .H37 2006</t>
  </si>
  <si>
    <t>0                      QP 0211000H  37          2006</t>
  </si>
  <si>
    <t>Taking the piss : a potted history of pee / Adam Hart-Davis &amp; Emily Troscianko ; with illustrations by Jolyon Troscianko.</t>
  </si>
  <si>
    <t>Hart-Davis, Adam.</t>
  </si>
  <si>
    <t>Stroud : Chalford, 2006.</t>
  </si>
  <si>
    <t>2006</t>
  </si>
  <si>
    <t>2009-09-18</t>
  </si>
  <si>
    <t>2007-11-13</t>
  </si>
  <si>
    <t>58449035:eng</t>
  </si>
  <si>
    <t>71542948</t>
  </si>
  <si>
    <t>991005143449702656</t>
  </si>
  <si>
    <t>2266918740002656</t>
  </si>
  <si>
    <t>9781845883515</t>
  </si>
  <si>
    <t>32285005366843</t>
  </si>
  <si>
    <t>893533256</t>
  </si>
  <si>
    <t>QP231 .F74 1985</t>
  </si>
  <si>
    <t>0                      QP 0231000F  74          1985</t>
  </si>
  <si>
    <t>Crying : the mystery of tears / William H. Frey II, with Muriel Langseth.</t>
  </si>
  <si>
    <t>Frey, William H., 1947-</t>
  </si>
  <si>
    <t>Minneapolis, Minn. : Winston Press, c1985.</t>
  </si>
  <si>
    <t>mnu</t>
  </si>
  <si>
    <t>1993-02-17</t>
  </si>
  <si>
    <t>1990-07-03</t>
  </si>
  <si>
    <t>5489584:eng</t>
  </si>
  <si>
    <t>12864514</t>
  </si>
  <si>
    <t>991000746879702656</t>
  </si>
  <si>
    <t>2257634470002656</t>
  </si>
  <si>
    <t>9780866838290</t>
  </si>
  <si>
    <t>32285000220904</t>
  </si>
  <si>
    <t>893689993</t>
  </si>
  <si>
    <t>QP246 .S94</t>
  </si>
  <si>
    <t>0                      QP 0246000S  94</t>
  </si>
  <si>
    <t>Hypothalamic control of lactation [by] F. G. Sulman, in collaboration with M. Ben-David [and others]</t>
  </si>
  <si>
    <t>Sulman, Felix Gad, 1907-</t>
  </si>
  <si>
    <t>Berlin, New York, Springer-Verlag, 1970.</t>
  </si>
  <si>
    <t xml:space="preserve">gw </t>
  </si>
  <si>
    <t>Monographs on endocrinology ; v. 3</t>
  </si>
  <si>
    <t>1166855:eng</t>
  </si>
  <si>
    <t>100166</t>
  </si>
  <si>
    <t>991000609399702656</t>
  </si>
  <si>
    <t>2258339580002656</t>
  </si>
  <si>
    <t>9780433289913</t>
  </si>
  <si>
    <t>32285003013074</t>
  </si>
  <si>
    <t>893695988</t>
  </si>
  <si>
    <t>QP249 .H53 1986</t>
  </si>
  <si>
    <t>0                      QP 0249000H  53          1986</t>
  </si>
  <si>
    <t>Body fluid and kidney physiology / S.B. Hladky, T.J. Rink.</t>
  </si>
  <si>
    <t>Hladky, S. B.</t>
  </si>
  <si>
    <t>London : Edward Arnold, 1986.</t>
  </si>
  <si>
    <t>Physiological principles in medicine, 0260-2946</t>
  </si>
  <si>
    <t>1993-12-14</t>
  </si>
  <si>
    <t>1992-12-22</t>
  </si>
  <si>
    <t>10146392:eng</t>
  </si>
  <si>
    <t>15518679</t>
  </si>
  <si>
    <t>991000713599702656</t>
  </si>
  <si>
    <t>2261026690002656</t>
  </si>
  <si>
    <t>9780713144116</t>
  </si>
  <si>
    <t>32285001471209</t>
  </si>
  <si>
    <t>893345913</t>
  </si>
  <si>
    <t>QP249 .S39 1987</t>
  </si>
  <si>
    <t>0                      QP 0249000S  39          1987</t>
  </si>
  <si>
    <t>Organogenesis of the kidney / Lauri Saxén.</t>
  </si>
  <si>
    <t>Saxén, Lauri.</t>
  </si>
  <si>
    <t>Cambridge [Cambridgeshire] ; New York : Cambridge University Press, 1987.</t>
  </si>
  <si>
    <t>Developmental and cell biology series ; 19</t>
  </si>
  <si>
    <t>2004-02-28</t>
  </si>
  <si>
    <t>1990-07-26</t>
  </si>
  <si>
    <t>6880063:eng</t>
  </si>
  <si>
    <t>13903725</t>
  </si>
  <si>
    <t>991000889809702656</t>
  </si>
  <si>
    <t>2270144570002656</t>
  </si>
  <si>
    <t>9780521301527</t>
  </si>
  <si>
    <t>32285000240738</t>
  </si>
  <si>
    <t>893346066</t>
  </si>
  <si>
    <t>QP251 .A68 1964</t>
  </si>
  <si>
    <t>0                      QP 0251000A  68          1964</t>
  </si>
  <si>
    <t>Intersexuality in vertebrates including man, edited by C.N. Armstrong and A.J. Marshall.</t>
  </si>
  <si>
    <t>Armstrong, C. N., editor.</t>
  </si>
  <si>
    <t>London, New York, Academic Press, 1964.</t>
  </si>
  <si>
    <t>2008-04-01</t>
  </si>
  <si>
    <t>1619950:eng</t>
  </si>
  <si>
    <t>556830</t>
  </si>
  <si>
    <t>991002984439702656</t>
  </si>
  <si>
    <t>2259936590002656</t>
  </si>
  <si>
    <t>32285003013090</t>
  </si>
  <si>
    <t>893329803</t>
  </si>
  <si>
    <t>QP251 .B27</t>
  </si>
  <si>
    <t>0                      QP 0251000B  27</t>
  </si>
  <si>
    <t>Reproductive biology / editors: Howard Balin [and] Stanley Glasser.</t>
  </si>
  <si>
    <t>Balin, Howard.</t>
  </si>
  <si>
    <t>Amsterdam : Excerpta Medica, 1972.</t>
  </si>
  <si>
    <t xml:space="preserve">ne </t>
  </si>
  <si>
    <t>1994-12-12</t>
  </si>
  <si>
    <t>353755520:eng</t>
  </si>
  <si>
    <t>672583</t>
  </si>
  <si>
    <t>991005265169702656</t>
  </si>
  <si>
    <t>2267939840002656</t>
  </si>
  <si>
    <t>9789021920313</t>
  </si>
  <si>
    <t>32285001981363</t>
  </si>
  <si>
    <t>893628651</t>
  </si>
  <si>
    <t>QP251 .B6 1990</t>
  </si>
  <si>
    <t>0                      QP 0251000B  6           1990</t>
  </si>
  <si>
    <t>Births and power : social change and the politics of reproduction / edited by W. Penn Handwerker.</t>
  </si>
  <si>
    <t>Boulder : Westview Press, 1990.</t>
  </si>
  <si>
    <t>cou</t>
  </si>
  <si>
    <t>1999-10-06</t>
  </si>
  <si>
    <t>1990-08-01</t>
  </si>
  <si>
    <t>864039985:eng</t>
  </si>
  <si>
    <t>20853241</t>
  </si>
  <si>
    <t>991001626969702656</t>
  </si>
  <si>
    <t>2271678370002656</t>
  </si>
  <si>
    <t>9780813377872</t>
  </si>
  <si>
    <t>32285000241405</t>
  </si>
  <si>
    <t>893408240</t>
  </si>
  <si>
    <t>QP251 .B727</t>
  </si>
  <si>
    <t>0                      QP 0251000B  727</t>
  </si>
  <si>
    <t>Modes of reproduction in fishes [by] Charles M. Breder, Jr., and Donn Eric Rosen.</t>
  </si>
  <si>
    <t>Breder, Charles M. (Charles Marcus), 1897-1983.</t>
  </si>
  <si>
    <t>New York, Published for the American Museum of Natural History by the Natural History Press, Garden City, N.Y., 1966.</t>
  </si>
  <si>
    <t>[1st ed.].</t>
  </si>
  <si>
    <t>2004-02-24</t>
  </si>
  <si>
    <t>1620911:eng</t>
  </si>
  <si>
    <t>557027</t>
  </si>
  <si>
    <t>991002984809702656</t>
  </si>
  <si>
    <t>2261299550002656</t>
  </si>
  <si>
    <t>32285003013108</t>
  </si>
  <si>
    <t>893348201</t>
  </si>
  <si>
    <t>QP251 .C78 1985</t>
  </si>
  <si>
    <t>0                      QP 0251000C  78          1985</t>
  </si>
  <si>
    <t>The mother machine : reproductive technologies from artificial insemination to artificial wombs / Gena Corea.</t>
  </si>
  <si>
    <t>Corea, Gena.</t>
  </si>
  <si>
    <t>New York : Harper &amp; Row, c1985.</t>
  </si>
  <si>
    <t>2002-11-11</t>
  </si>
  <si>
    <t>3838803:eng</t>
  </si>
  <si>
    <t>11068031</t>
  </si>
  <si>
    <t>991000484379702656</t>
  </si>
  <si>
    <t>2261685270002656</t>
  </si>
  <si>
    <t>9780060153908</t>
  </si>
  <si>
    <t>32285000110014</t>
  </si>
  <si>
    <t>893508824</t>
  </si>
  <si>
    <t>QP251 .C8</t>
  </si>
  <si>
    <t>0                      QP 0251000C  8</t>
  </si>
  <si>
    <t>The hormones in human reproduction [by] George W. Corner.</t>
  </si>
  <si>
    <t>Corner, George W. (George Washington), 1889-1981.</t>
  </si>
  <si>
    <t>Princeton, Princeton University Press; London, H. Milford, Oxford University Press, 1942.</t>
  </si>
  <si>
    <t>1942</t>
  </si>
  <si>
    <t>16420073:eng</t>
  </si>
  <si>
    <t>972361</t>
  </si>
  <si>
    <t>991005266469702656</t>
  </si>
  <si>
    <t>2258927290002656</t>
  </si>
  <si>
    <t>32285003013132</t>
  </si>
  <si>
    <t>893326497</t>
  </si>
  <si>
    <t>QP251 .C95 1954</t>
  </si>
  <si>
    <t>0                      QP 0251000C  95          1954</t>
  </si>
  <si>
    <t>Sex determination.</t>
  </si>
  <si>
    <t>Crew, F. A. E. (Francis Albert Eley), 1888-1973.</t>
  </si>
  <si>
    <t>London, Methuen [1954]</t>
  </si>
  <si>
    <t>1954</t>
  </si>
  <si>
    <t>[3d ed., rev.]</t>
  </si>
  <si>
    <t>Methuen's monographs on biological subjects</t>
  </si>
  <si>
    <t>2006-03-28</t>
  </si>
  <si>
    <t>1960475:eng</t>
  </si>
  <si>
    <t>14677889</t>
  </si>
  <si>
    <t>991000951349702656</t>
  </si>
  <si>
    <t>2265368090002656</t>
  </si>
  <si>
    <t>32285003013140</t>
  </si>
  <si>
    <t>893791021</t>
  </si>
  <si>
    <t>QP251 .E35 1966</t>
  </si>
  <si>
    <t>0                      QP 0251000E  35          1966</t>
  </si>
  <si>
    <t>Reproduction in the female mammal; proceedings. Edited by G. E. Lamming and E. C. Amoroso.</t>
  </si>
  <si>
    <t>Easter School in Agricultural Science (13th : 1966 : University of Nottingham)</t>
  </si>
  <si>
    <t>New York, Plenum Press [c1967]</t>
  </si>
  <si>
    <t>1967</t>
  </si>
  <si>
    <t>2000-04-26</t>
  </si>
  <si>
    <t>3943391149:eng</t>
  </si>
  <si>
    <t>953644</t>
  </si>
  <si>
    <t>991005264379702656</t>
  </si>
  <si>
    <t>2258397710002656</t>
  </si>
  <si>
    <t>32285003013157</t>
  </si>
  <si>
    <t>893707551</t>
  </si>
  <si>
    <t>QP251 .E42 2004</t>
  </si>
  <si>
    <t>0                      QP 0251000E  42          2004</t>
  </si>
  <si>
    <t>Why we do it : rethinking sex and the selfish gene / Niles Eldredge.</t>
  </si>
  <si>
    <t>Eldredge, Niles.</t>
  </si>
  <si>
    <t>New York : Norton, c2004.</t>
  </si>
  <si>
    <t>2004</t>
  </si>
  <si>
    <t>2008-11-17</t>
  </si>
  <si>
    <t>2005-04-18</t>
  </si>
  <si>
    <t>1010525:eng</t>
  </si>
  <si>
    <t>53970701</t>
  </si>
  <si>
    <t>991004518499702656</t>
  </si>
  <si>
    <t>2267912100002656</t>
  </si>
  <si>
    <t>9780393050820</t>
  </si>
  <si>
    <t>32285005031181</t>
  </si>
  <si>
    <t>893788796</t>
  </si>
  <si>
    <t>QP251 .G54 1990</t>
  </si>
  <si>
    <t>0                      QP 0251000G  54          1990</t>
  </si>
  <si>
    <t>The Gift of life : the proceedings of a national conference on the Vatican instruction on reproductive ethics and technology / [edited by] Marilyn Wallace, Thomas W. Hilgers.</t>
  </si>
  <si>
    <t>Omaha, Nebraska : Pope Paul VI Institute Press, c1990.</t>
  </si>
  <si>
    <t>nbu</t>
  </si>
  <si>
    <t>2005-02-24</t>
  </si>
  <si>
    <t>1990-08-29</t>
  </si>
  <si>
    <t>23178232:eng</t>
  </si>
  <si>
    <t>22115805</t>
  </si>
  <si>
    <t>991001743199702656</t>
  </si>
  <si>
    <t>2266339960002656</t>
  </si>
  <si>
    <t>9780962648502</t>
  </si>
  <si>
    <t>32285000275296</t>
  </si>
  <si>
    <t>893414437</t>
  </si>
  <si>
    <t>QP251 .I63 1973</t>
  </si>
  <si>
    <t>0                      QP 0251000I  63          1973</t>
  </si>
  <si>
    <t>Physiology and genetics of reproduction : [proceedings] / edited by Elsimar M. Coutinho and Fritz Fuchs.</t>
  </si>
  <si>
    <t>International Latin American Symposium (13th : 1973 : Salvador, Brazil)</t>
  </si>
  <si>
    <t>New York : Plenum Press, [1974]</t>
  </si>
  <si>
    <t>Basic life sciences ; v. 4</t>
  </si>
  <si>
    <t>2008-02-21</t>
  </si>
  <si>
    <t>116221276:eng</t>
  </si>
  <si>
    <t>1046037</t>
  </si>
  <si>
    <t>991003495579702656</t>
  </si>
  <si>
    <t>2266865920002656</t>
  </si>
  <si>
    <t>9780306365911</t>
  </si>
  <si>
    <t>32285001981348</t>
  </si>
  <si>
    <t>893793656</t>
  </si>
  <si>
    <t>QP251 .J46 1982</t>
  </si>
  <si>
    <t>0                      QP 0251000J  46          1982</t>
  </si>
  <si>
    <t>Reproduction : the cycle of life / by Karen Jensen and the editors of U.S. News Books.</t>
  </si>
  <si>
    <t>Jensen, Karen, 1957-</t>
  </si>
  <si>
    <t>Washington, D.C. : U.S. News Books, 1982.</t>
  </si>
  <si>
    <t>dcu</t>
  </si>
  <si>
    <t>The Human body</t>
  </si>
  <si>
    <t>1992-04-24</t>
  </si>
  <si>
    <t>31169620:eng</t>
  </si>
  <si>
    <t>8282975</t>
  </si>
  <si>
    <t>991005226359702656</t>
  </si>
  <si>
    <t>2268682470002656</t>
  </si>
  <si>
    <t>9780891936060</t>
  </si>
  <si>
    <t>32285001071470</t>
  </si>
  <si>
    <t>893896097</t>
  </si>
  <si>
    <t>QP251 .J635 1984</t>
  </si>
  <si>
    <t>0                      QP 0251000J  635         1984</t>
  </si>
  <si>
    <t>Human reproduction and sexual behavior / Richard E. Jones.</t>
  </si>
  <si>
    <t>Jones, Richard E. (Richard Evan), 1940-</t>
  </si>
  <si>
    <t>Englewood Cliffs, N.J. : Prentice-Hall, c1984.</t>
  </si>
  <si>
    <t>1992-04-06</t>
  </si>
  <si>
    <t>43079084:eng</t>
  </si>
  <si>
    <t>9392294</t>
  </si>
  <si>
    <t>991000182169702656</t>
  </si>
  <si>
    <t>2266461610002656</t>
  </si>
  <si>
    <t>9780134475240</t>
  </si>
  <si>
    <t>32285001049591</t>
  </si>
  <si>
    <t>893502320</t>
  </si>
  <si>
    <t>QP251 .L37 1987</t>
  </si>
  <si>
    <t>0                      QP 0251000L  37          1987</t>
  </si>
  <si>
    <t>In search of parenthood : coping with infertility and high-tech conception / Judith N. Lasker and Susan Borg.</t>
  </si>
  <si>
    <t>Lasker, Judith, 1947-</t>
  </si>
  <si>
    <t>Boston : Beacon Press, c1987.</t>
  </si>
  <si>
    <t>1992-03-23</t>
  </si>
  <si>
    <t>1991-12-11</t>
  </si>
  <si>
    <t>10173217:eng</t>
  </si>
  <si>
    <t>15519697</t>
  </si>
  <si>
    <t>991001032199702656</t>
  </si>
  <si>
    <t>2265247140002656</t>
  </si>
  <si>
    <t>9780807027066</t>
  </si>
  <si>
    <t>32285000900778</t>
  </si>
  <si>
    <t>893596128</t>
  </si>
  <si>
    <t>QP251 .L4213</t>
  </si>
  <si>
    <t>0                      QP 0251000L  4213</t>
  </si>
  <si>
    <t>Human fertility : the basic components / Henri Leridon ; translated by Judith F. Helzner. --</t>
  </si>
  <si>
    <t>Léridon, Henri.</t>
  </si>
  <si>
    <t>Chicago : University of Chicago Press, 1977.</t>
  </si>
  <si>
    <t>3901152151:eng</t>
  </si>
  <si>
    <t>2797816</t>
  </si>
  <si>
    <t>991004244219702656</t>
  </si>
  <si>
    <t>2265595640002656</t>
  </si>
  <si>
    <t>9780226472973</t>
  </si>
  <si>
    <t>32285001560308</t>
  </si>
  <si>
    <t>893875858</t>
  </si>
  <si>
    <t>QP251 .M278 1987</t>
  </si>
  <si>
    <t>0                      QP 0251000M  278         1987</t>
  </si>
  <si>
    <t>Made to order : the myth of reproductive and genetic progress / edited by Patricia Spallone and Deborah Lynn Steinberg.</t>
  </si>
  <si>
    <t>Oxford [Oxfordshire] ; New York : Pergamon Press, 1987.</t>
  </si>
  <si>
    <t>The Athene series</t>
  </si>
  <si>
    <t>1995-06-22</t>
  </si>
  <si>
    <t>836713530:eng</t>
  </si>
  <si>
    <t>15317773</t>
  </si>
  <si>
    <t>991001016099702656</t>
  </si>
  <si>
    <t>2256401100002656</t>
  </si>
  <si>
    <t>9780080349534</t>
  </si>
  <si>
    <t>32285001086064</t>
  </si>
  <si>
    <t>893589948</t>
  </si>
  <si>
    <t>QP251 .M32</t>
  </si>
  <si>
    <t>0                      QP 0251000M  32</t>
  </si>
  <si>
    <t>Physiology of reproduction, edited by A. S. Parkes.</t>
  </si>
  <si>
    <t>V.1 PT.2</t>
  </si>
  <si>
    <t>Marshall, F. H. A. (Francis Hugh Adam), 1878-1949.</t>
  </si>
  <si>
    <t>London, New York, Longmans, Green [1952-</t>
  </si>
  <si>
    <t>1952</t>
  </si>
  <si>
    <t>[3d ed.]</t>
  </si>
  <si>
    <t>2811553306:eng</t>
  </si>
  <si>
    <t>845240</t>
  </si>
  <si>
    <t>991003318749702656</t>
  </si>
  <si>
    <t>2271441900002656</t>
  </si>
  <si>
    <t>32285003013223</t>
  </si>
  <si>
    <t>893805667</t>
  </si>
  <si>
    <t>V.3</t>
  </si>
  <si>
    <t>32285003013249</t>
  </si>
  <si>
    <t>893805665</t>
  </si>
  <si>
    <t>32285003013231</t>
  </si>
  <si>
    <t>893805666</t>
  </si>
  <si>
    <t>V.1 PT.1</t>
  </si>
  <si>
    <t>32285003013215</t>
  </si>
  <si>
    <t>893780851</t>
  </si>
  <si>
    <t>QP251 .O83 1987</t>
  </si>
  <si>
    <t>0                      QP 0251000O  83          1987</t>
  </si>
  <si>
    <t>Ethics and human reproduction : a feminist analysis / Christine Overall.</t>
  </si>
  <si>
    <t>Overall, Christine, 1949-</t>
  </si>
  <si>
    <t>Boston : Allen &amp; Unwin, c1987.</t>
  </si>
  <si>
    <t>2002-09-23</t>
  </si>
  <si>
    <t>836682648:eng</t>
  </si>
  <si>
    <t>15316629</t>
  </si>
  <si>
    <t>991001014649702656</t>
  </si>
  <si>
    <t>2258574190002656</t>
  </si>
  <si>
    <t>9780044970101</t>
  </si>
  <si>
    <t>32285001560324</t>
  </si>
  <si>
    <t>893432522</t>
  </si>
  <si>
    <t>QP251 .O84 1993</t>
  </si>
  <si>
    <t>0                      QP 0251000O  84          1993</t>
  </si>
  <si>
    <t>Human reproduction : principles, practices, policies / Christine Overall.</t>
  </si>
  <si>
    <t>Toronto : Oxford University Press, 1993.</t>
  </si>
  <si>
    <t>onc</t>
  </si>
  <si>
    <t>2008-02-07</t>
  </si>
  <si>
    <t>1997-03-18</t>
  </si>
  <si>
    <t>836743150:eng</t>
  </si>
  <si>
    <t>29844195</t>
  </si>
  <si>
    <t>991002299179702656</t>
  </si>
  <si>
    <t>2264951970002656</t>
  </si>
  <si>
    <t>9780195409611</t>
  </si>
  <si>
    <t>32285002443900</t>
  </si>
  <si>
    <t>893597273</t>
  </si>
  <si>
    <t>QP251 .P47</t>
  </si>
  <si>
    <t>0                      QP 0251000P  47</t>
  </si>
  <si>
    <t>Estrogens and brain function : neural analysis of a hormone-controlled mammalian reporductive behavior / Donald W. Pfaff.</t>
  </si>
  <si>
    <t>Pfaff, Donald W., 1939-</t>
  </si>
  <si>
    <t>New York : Springer-Verlag, c1980.</t>
  </si>
  <si>
    <t>290513628:eng</t>
  </si>
  <si>
    <t>6086471</t>
  </si>
  <si>
    <t>991004926559702656</t>
  </si>
  <si>
    <t>2257735660002656</t>
  </si>
  <si>
    <t>9780387904870</t>
  </si>
  <si>
    <t>32285001560332</t>
  </si>
  <si>
    <t>893619227</t>
  </si>
  <si>
    <t>QP251 .P65 1994</t>
  </si>
  <si>
    <t>0                      QP 0251000P  65          1994</t>
  </si>
  <si>
    <t>A guide to reproduction : social issues and human concerns / Irina Pollard.</t>
  </si>
  <si>
    <t>Pollard, Irina.</t>
  </si>
  <si>
    <t>Cambridge ; New York, USA : Cambridge University Press, 1994.</t>
  </si>
  <si>
    <t>2009-10-01</t>
  </si>
  <si>
    <t>1995-08-14</t>
  </si>
  <si>
    <t>375426019:eng</t>
  </si>
  <si>
    <t>29182782</t>
  </si>
  <si>
    <t>991002252429702656</t>
  </si>
  <si>
    <t>2262403710002656</t>
  </si>
  <si>
    <t>9780521418621</t>
  </si>
  <si>
    <t>32285002077435</t>
  </si>
  <si>
    <t>893439947</t>
  </si>
  <si>
    <t>QP251 .Q45 1985</t>
  </si>
  <si>
    <t>0                      QP 0251000Q  45          1985</t>
  </si>
  <si>
    <t>Questions about the beginning of life : Christian appraisals of seven bioethical issues / edited by Edward D. Schneider.</t>
  </si>
  <si>
    <t>Minneapolis : Augsburg Pub. House, c1985.</t>
  </si>
  <si>
    <t>2004-02-29</t>
  </si>
  <si>
    <t>1992-12-01</t>
  </si>
  <si>
    <t>4915674:eng</t>
  </si>
  <si>
    <t>12262872</t>
  </si>
  <si>
    <t>991000664489702656</t>
  </si>
  <si>
    <t>2270918170002656</t>
  </si>
  <si>
    <t>9780806621678</t>
  </si>
  <si>
    <t>32285001410777</t>
  </si>
  <si>
    <t>893790744</t>
  </si>
  <si>
    <t>QP251 .R4445 1986</t>
  </si>
  <si>
    <t>0                      QP 0251000R  4445        1986</t>
  </si>
  <si>
    <t>Reproductive endocrinology : physiology, pathophysiology and clinical management / Samuel S.C. Yen, Robert B. Jaffe.</t>
  </si>
  <si>
    <t>Philadelphia : Saunders, 1986.</t>
  </si>
  <si>
    <t>836704988:eng</t>
  </si>
  <si>
    <t>8907586</t>
  </si>
  <si>
    <t>991000092619702656</t>
  </si>
  <si>
    <t>2262901250002656</t>
  </si>
  <si>
    <t>9780721696300</t>
  </si>
  <si>
    <t>32285001560340</t>
  </si>
  <si>
    <t>893261358</t>
  </si>
  <si>
    <t>QP251 .R4446</t>
  </si>
  <si>
    <t>0                      QP 0251000R  4446</t>
  </si>
  <si>
    <t>Reproductive processes and contraception / edited by Kenneth W. McKerns.</t>
  </si>
  <si>
    <t>New York : Plenum Press, [1981]</t>
  </si>
  <si>
    <t>Biochemical endocrinology</t>
  </si>
  <si>
    <t>2007-12-03</t>
  </si>
  <si>
    <t>355499285:eng</t>
  </si>
  <si>
    <t>6666546</t>
  </si>
  <si>
    <t>991005023139702656</t>
  </si>
  <si>
    <t>2261172310002656</t>
  </si>
  <si>
    <t>9780306405341</t>
  </si>
  <si>
    <t>32285001560357</t>
  </si>
  <si>
    <t>893513918</t>
  </si>
  <si>
    <t>QP251 .R626 1988</t>
  </si>
  <si>
    <t>0                      QP 0251000R  626         1988</t>
  </si>
  <si>
    <t>Patterns of sexual arousal : psychophysiological processes and clinical applications / Raymond C. Rosen and J. Gayle Beck ; foreword by James H. Geer.</t>
  </si>
  <si>
    <t>Rosen, Raymond, 1946-</t>
  </si>
  <si>
    <t>New York : Guilford Press, c1988.</t>
  </si>
  <si>
    <t>2007-07-20</t>
  </si>
  <si>
    <t>1990-03-12</t>
  </si>
  <si>
    <t>430839942:eng</t>
  </si>
  <si>
    <t>16226776</t>
  </si>
  <si>
    <t>991001093239702656</t>
  </si>
  <si>
    <t>2266377990002656</t>
  </si>
  <si>
    <t>9780898627121</t>
  </si>
  <si>
    <t>32285000044783</t>
  </si>
  <si>
    <t>893496811</t>
  </si>
  <si>
    <t>QP251 .S485 1988</t>
  </si>
  <si>
    <t>0                      QP 0251000S  485         1988</t>
  </si>
  <si>
    <t>Religion and artificial reproduction : an inquiry into the Vatican "Instruction on respect for human life in its origin and on the dignity of human reproduction" / Thomas A. Shannon and Lisa Sowle Cahill.</t>
  </si>
  <si>
    <t>Shannon, Thomas A. (Thomas Anthony), 1940-</t>
  </si>
  <si>
    <t>New York : Crossroad, 1988.</t>
  </si>
  <si>
    <t>2006-06-27</t>
  </si>
  <si>
    <t>281114625:eng</t>
  </si>
  <si>
    <t>16985893</t>
  </si>
  <si>
    <t>991005408559702656</t>
  </si>
  <si>
    <t>2272052290002656</t>
  </si>
  <si>
    <t>9780824508609</t>
  </si>
  <si>
    <t>32285001560365</t>
  </si>
  <si>
    <t>893254958</t>
  </si>
  <si>
    <t>QP251 .S88</t>
  </si>
  <si>
    <t>0                      QP 0251000S  88</t>
  </si>
  <si>
    <t>Effects of external stimuli on reproduction. In honour of Professor B. Zondek. Edited by G.E.W. Wolstenholme and Maeve O'Connor.</t>
  </si>
  <si>
    <t>Study Group on the Effects of External Stimuli on Reproduction (1966 : London, England)</t>
  </si>
  <si>
    <t>Boston, Little, Brown, 1967.</t>
  </si>
  <si>
    <t>2007-09-24</t>
  </si>
  <si>
    <t>30169958:eng</t>
  </si>
  <si>
    <t>566022</t>
  </si>
  <si>
    <t>991002997409702656</t>
  </si>
  <si>
    <t>2258748850002656</t>
  </si>
  <si>
    <t>32285003013272</t>
  </si>
  <si>
    <t>893409806</t>
  </si>
  <si>
    <t>QP251 .V37 1996</t>
  </si>
  <si>
    <t>0                      QP 0251000V  37          1996</t>
  </si>
  <si>
    <t>Variability in human fertility / edited by Lyliane Rosetta and C.G.N. Mascie-Taylor.</t>
  </si>
  <si>
    <t>Cambridge [England] ; New York, NY. USA : Cambridge University Press, 1996.</t>
  </si>
  <si>
    <t>1996</t>
  </si>
  <si>
    <t>Cambridge studies in biological anthropology ; 19</t>
  </si>
  <si>
    <t>2006-09-26</t>
  </si>
  <si>
    <t>2006-05-30</t>
  </si>
  <si>
    <t>896282989:eng</t>
  </si>
  <si>
    <t>34730120</t>
  </si>
  <si>
    <t>991004779979702656</t>
  </si>
  <si>
    <t>2270437370002656</t>
  </si>
  <si>
    <t>9780521495691</t>
  </si>
  <si>
    <t>32285005189740</t>
  </si>
  <si>
    <t>893443046</t>
  </si>
  <si>
    <t>QP251 .W89 1974</t>
  </si>
  <si>
    <t>0                      QP 0251000W  89          1974</t>
  </si>
  <si>
    <t>Biological and clinical aspects of reproduction : selected, updated papers presented at VIII World Congress of Fertility and Sterility, Buenos Aires, November 3-9, 1974 / editors, F. J. G. Ebling, I. W. Henderson.</t>
  </si>
  <si>
    <t>World Congress on Fertility and Sterility (8th : 1974 : Buenos Aires, Argentina)</t>
  </si>
  <si>
    <t>Amsterdam : Excerpta Medica ; New York : distributors for the USA and Canada, Elsevier/North-Holland Inc., 1976.</t>
  </si>
  <si>
    <t>International congress series ; no. 394</t>
  </si>
  <si>
    <t>5380393:eng</t>
  </si>
  <si>
    <t>2493578</t>
  </si>
  <si>
    <t>991004139449702656</t>
  </si>
  <si>
    <t>2256737150002656</t>
  </si>
  <si>
    <t>9780444152329</t>
  </si>
  <si>
    <t>32285003013298</t>
  </si>
  <si>
    <t>893512859</t>
  </si>
  <si>
    <t>QP253 .M46 1984</t>
  </si>
  <si>
    <t>0                      QP 0253000M  46          1984</t>
  </si>
  <si>
    <t>Men's reproductive health / Janice M. Swanson, Katherine A. Forrest, editors ; foreword by Malcolm Potts.</t>
  </si>
  <si>
    <t>New York : Springer Pub. Co., c1984.</t>
  </si>
  <si>
    <t>Springer series, focus on men, 0277-3422 ; v. 3</t>
  </si>
  <si>
    <t>1994-12-29</t>
  </si>
  <si>
    <t>54651669:eng</t>
  </si>
  <si>
    <t>10913391</t>
  </si>
  <si>
    <t>991000454639702656</t>
  </si>
  <si>
    <t>2258626290002656</t>
  </si>
  <si>
    <t>9780826142009</t>
  </si>
  <si>
    <t>32285001560373</t>
  </si>
  <si>
    <t>893903010</t>
  </si>
  <si>
    <t>QP255 .I58 1978</t>
  </si>
  <si>
    <t>0                      QP 0255000I  58          1978</t>
  </si>
  <si>
    <t>The spermatozoon : maturation, motility, surface properties, and comparative aspects : proceedings of the Third International Symposium on the Spermatozoon held at the American Academy of Arts and Sciences, Boston, and the Swope Conference Center of the Marine Biological Laboratories, Woods Hole, Massachusetts May 2-5, 1978 / edited by Don W. Fawcett and J. Michael Bedford.</t>
  </si>
  <si>
    <t>International Symposium on the Spermatozoon (3rd : 1978 : Boston, Mass.; Woods Hole, Mass.)</t>
  </si>
  <si>
    <t>Baltimore : Urban &amp; Schwarzenberg, 1979.</t>
  </si>
  <si>
    <t>141001594:eng</t>
  </si>
  <si>
    <t>5101887</t>
  </si>
  <si>
    <t>991005266609702656</t>
  </si>
  <si>
    <t>2259010590002656</t>
  </si>
  <si>
    <t>9780806706016</t>
  </si>
  <si>
    <t>32285001560381</t>
  </si>
  <si>
    <t>893501606</t>
  </si>
  <si>
    <t>QP255 .M23 1964</t>
  </si>
  <si>
    <t>0                      QP 0255000M  23          1964</t>
  </si>
  <si>
    <t>The biochemistry of semen and of the male reproductive tract.</t>
  </si>
  <si>
    <t>Mann, Thaddeus, 1908-</t>
  </si>
  <si>
    <t>London, Methuen; New York, Wiley [1964]</t>
  </si>
  <si>
    <t>1999-08-05</t>
  </si>
  <si>
    <t>2037512:eng</t>
  </si>
  <si>
    <t>1126381</t>
  </si>
  <si>
    <t>991003557319702656</t>
  </si>
  <si>
    <t>2270302530002656</t>
  </si>
  <si>
    <t>32285003013322</t>
  </si>
  <si>
    <t>893252488</t>
  </si>
  <si>
    <t>QP255 .M633 1993</t>
  </si>
  <si>
    <t>0                      QP 0255000M  633         1993</t>
  </si>
  <si>
    <t>Molecular biology of the male reproductive system / edited by David de Kretser.</t>
  </si>
  <si>
    <t>San Diego : Academic Press, c1993.</t>
  </si>
  <si>
    <t>1994-08-16</t>
  </si>
  <si>
    <t>1994-07-21</t>
  </si>
  <si>
    <t>326503:eng</t>
  </si>
  <si>
    <t>27935437</t>
  </si>
  <si>
    <t>991002170189702656</t>
  </si>
  <si>
    <t>2258681890002656</t>
  </si>
  <si>
    <t>9780122090301</t>
  </si>
  <si>
    <t>32285001932184</t>
  </si>
  <si>
    <t>893433569</t>
  </si>
  <si>
    <t>QP255 .S64 1984</t>
  </si>
  <si>
    <t>0                      QP 0255000S  64          1984</t>
  </si>
  <si>
    <t>Sperm competition and the evolution of animal mating systems / edited by Robert L. Smith.</t>
  </si>
  <si>
    <t>Orlando : Academic Press, 1984.</t>
  </si>
  <si>
    <t>1991-07-31</t>
  </si>
  <si>
    <t>138553224:eng</t>
  </si>
  <si>
    <t>11291459</t>
  </si>
  <si>
    <t>991000517319702656</t>
  </si>
  <si>
    <t>2262142660002656</t>
  </si>
  <si>
    <t>9780126525700</t>
  </si>
  <si>
    <t>32285000679885</t>
  </si>
  <si>
    <t>893720712</t>
  </si>
  <si>
    <t>QP26.P35 C83 1964</t>
  </si>
  <si>
    <t>0                      QP 0026000P  35                 C  83          1964</t>
  </si>
  <si>
    <t>Ivan Pavlov; the man and his theories. Translated by Patrick Evans.</t>
  </si>
  <si>
    <t>Cuny, Hilaire.</t>
  </si>
  <si>
    <t>[London] Souvenir Press [1964]</t>
  </si>
  <si>
    <t>Profiles in science</t>
  </si>
  <si>
    <t>2010-02-26</t>
  </si>
  <si>
    <t>1997-08-04</t>
  </si>
  <si>
    <t>1150901658:eng</t>
  </si>
  <si>
    <t>12909344</t>
  </si>
  <si>
    <t>991000750339702656</t>
  </si>
  <si>
    <t>2266678700002656</t>
  </si>
  <si>
    <t>32285003011631</t>
  </si>
  <si>
    <t>893521983</t>
  </si>
  <si>
    <t>QP261 .O8</t>
  </si>
  <si>
    <t>0                      QP 0261000O  8</t>
  </si>
  <si>
    <t>Ovarian follicular development and function / editors, A. Rees Midgley, William A. Sadler.</t>
  </si>
  <si>
    <t>New York : Raven Press, c1979.</t>
  </si>
  <si>
    <t>1994-07-30</t>
  </si>
  <si>
    <t>3753216677:eng</t>
  </si>
  <si>
    <t>4595979</t>
  </si>
  <si>
    <t>991004689009702656</t>
  </si>
  <si>
    <t>2271989220002656</t>
  </si>
  <si>
    <t>9780890041864</t>
  </si>
  <si>
    <t>32285001560431</t>
  </si>
  <si>
    <t>893700543</t>
  </si>
  <si>
    <t>QP261 .P47 1980</t>
  </si>
  <si>
    <t>0                      QP 0261000P  47          1980</t>
  </si>
  <si>
    <t>The ovary : a correlation of structure and function in mammals / Hannah Peters and Kenneth P. McNatty.</t>
  </si>
  <si>
    <t>Peters, Hannah.</t>
  </si>
  <si>
    <t>Berkeley : University of California Press, c1980.</t>
  </si>
  <si>
    <t>502195:eng</t>
  </si>
  <si>
    <t>5941001</t>
  </si>
  <si>
    <t>991004901999702656</t>
  </si>
  <si>
    <t>2270109900002656</t>
  </si>
  <si>
    <t>9780520041240</t>
  </si>
  <si>
    <t>32285001560449</t>
  </si>
  <si>
    <t>893810743</t>
  </si>
  <si>
    <t>QP261 .V47</t>
  </si>
  <si>
    <t>0                      QP 0261000V  47</t>
  </si>
  <si>
    <t>The Vertebrate ovary : comparative biology and evolution / edited by Richard E. Jones.</t>
  </si>
  <si>
    <t>New York : Plenum Press, c1978.</t>
  </si>
  <si>
    <t>13706355:eng</t>
  </si>
  <si>
    <t>4056133</t>
  </si>
  <si>
    <t>991005264909702656</t>
  </si>
  <si>
    <t>2271932240002656</t>
  </si>
  <si>
    <t>9780306311390</t>
  </si>
  <si>
    <t>32285001560456</t>
  </si>
  <si>
    <t>893230463</t>
  </si>
  <si>
    <t>QP263 .A77 1983</t>
  </si>
  <si>
    <t>0                      QP 0263000A  77          1983</t>
  </si>
  <si>
    <t>The real menstrual cycle / Doreen Asso.</t>
  </si>
  <si>
    <t>Asso, Doreen.</t>
  </si>
  <si>
    <t>Chichester [West Sussex] ; New York : Wiley, c1983.</t>
  </si>
  <si>
    <t>1992-01-07</t>
  </si>
  <si>
    <t>42986472:eng</t>
  </si>
  <si>
    <t>9392855</t>
  </si>
  <si>
    <t>991000183139702656</t>
  </si>
  <si>
    <t>2268715170002656</t>
  </si>
  <si>
    <t>9780471901754</t>
  </si>
  <si>
    <t>32285000896885</t>
  </si>
  <si>
    <t>893243063</t>
  </si>
  <si>
    <t>QP263 .L36 1988</t>
  </si>
  <si>
    <t>0                      QP 0263000L  36          1988</t>
  </si>
  <si>
    <t>Images of bleeding : menstruation as ideology / Louise Lander.</t>
  </si>
  <si>
    <t>Lander, Louise.</t>
  </si>
  <si>
    <t>New York : Orlando Press, c1988.</t>
  </si>
  <si>
    <t>2004-10-15</t>
  </si>
  <si>
    <t>451143070:eng</t>
  </si>
  <si>
    <t>17620277</t>
  </si>
  <si>
    <t>991001241619702656</t>
  </si>
  <si>
    <t>2261541890002656</t>
  </si>
  <si>
    <t>9780962009013</t>
  </si>
  <si>
    <t>32285001560464</t>
  </si>
  <si>
    <t>893696599</t>
  </si>
  <si>
    <t>QP273 .F47</t>
  </si>
  <si>
    <t>0                      QP 0273000F  47</t>
  </si>
  <si>
    <t>Fertilization and embryonic development in vitro / edited by Luigi Mastroianni, Jr., John D. Biggers.</t>
  </si>
  <si>
    <t>New York : Plenum Press, c1981.</t>
  </si>
  <si>
    <t>1995-04-12</t>
  </si>
  <si>
    <t>1991-11-25</t>
  </si>
  <si>
    <t>355903483:eng</t>
  </si>
  <si>
    <t>7733582</t>
  </si>
  <si>
    <t>991005152079702656</t>
  </si>
  <si>
    <t>2257011060002656</t>
  </si>
  <si>
    <t>9780306407833</t>
  </si>
  <si>
    <t>32285000844877</t>
  </si>
  <si>
    <t>893877027</t>
  </si>
  <si>
    <t>QP273 .S94 1984</t>
  </si>
  <si>
    <t>0                      QP 0273000S  94          1984</t>
  </si>
  <si>
    <t>The molecular and cellular biology of fertilization / edited by Jerry L. Hedrick.</t>
  </si>
  <si>
    <t>Symposium on the Molecular and Cellular Biology of Fertilization (1984 : University of California, Davis)</t>
  </si>
  <si>
    <t>New York : Plenum Press, c1986.</t>
  </si>
  <si>
    <t>Advances in experimental medicine and biology ; v. 207</t>
  </si>
  <si>
    <t>1995-10-25</t>
  </si>
  <si>
    <t>479519410:eng</t>
  </si>
  <si>
    <t>14413150</t>
  </si>
  <si>
    <t>991000941639702656</t>
  </si>
  <si>
    <t>2266374450002656</t>
  </si>
  <si>
    <t>9780306424786</t>
  </si>
  <si>
    <t>32285001560472</t>
  </si>
  <si>
    <t>893333914</t>
  </si>
  <si>
    <t>QP275 .C44</t>
  </si>
  <si>
    <t>0                      QP 0275000C  44</t>
  </si>
  <si>
    <t>Cellular and molecular aspects of implantation / edited by Stanley R. Glasser and David W. Bullock.</t>
  </si>
  <si>
    <t>New York : Plenum Press, 1981.</t>
  </si>
  <si>
    <t>1996-10-02</t>
  </si>
  <si>
    <t>1992-10-29</t>
  </si>
  <si>
    <t>552508118:eng</t>
  </si>
  <si>
    <t>6626549</t>
  </si>
  <si>
    <t>991005016419702656</t>
  </si>
  <si>
    <t>2256235210002656</t>
  </si>
  <si>
    <t>9780306405815</t>
  </si>
  <si>
    <t>32285001387793</t>
  </si>
  <si>
    <t>893242078</t>
  </si>
  <si>
    <t>QP277 .K54 2003</t>
  </si>
  <si>
    <t>0                      QP 0277000K  54          2003</t>
  </si>
  <si>
    <t>Human embryonic stem cells : an introduction to the science and therapeutic potential / Ann A. Kiessling, Scott C. Anderson.</t>
  </si>
  <si>
    <t>Kiessling, Ann A.</t>
  </si>
  <si>
    <t>Sudbury, Mass. : Jones and Bartlett, c2003.</t>
  </si>
  <si>
    <t>2003</t>
  </si>
  <si>
    <t>2010-10-26</t>
  </si>
  <si>
    <t>2004-04-26</t>
  </si>
  <si>
    <t>63530611:eng</t>
  </si>
  <si>
    <t>51804780</t>
  </si>
  <si>
    <t>991004275969702656</t>
  </si>
  <si>
    <t>2268854610002656</t>
  </si>
  <si>
    <t>9780763723415</t>
  </si>
  <si>
    <t>32285004902689</t>
  </si>
  <si>
    <t>893417426</t>
  </si>
  <si>
    <t>QP277 .M35</t>
  </si>
  <si>
    <t>0                      QP 0277000M  35</t>
  </si>
  <si>
    <t>The Mammalian fetus : comparative biology and methodology / edited by E. S. E. Hafez.</t>
  </si>
  <si>
    <t>Springfield, Ill. : C. C. Thomas, [1975]</t>
  </si>
  <si>
    <t>1975</t>
  </si>
  <si>
    <t>1992-09-30</t>
  </si>
  <si>
    <t>1990-04-12</t>
  </si>
  <si>
    <t>1910835:eng</t>
  </si>
  <si>
    <t>960225</t>
  </si>
  <si>
    <t>991003419339702656</t>
  </si>
  <si>
    <t>2259062800002656</t>
  </si>
  <si>
    <t>9780398032852</t>
  </si>
  <si>
    <t>32285000115211</t>
  </si>
  <si>
    <t>893524795</t>
  </si>
  <si>
    <t>QP277 .S96 1988</t>
  </si>
  <si>
    <t>0                      QP 0277000S  96          1988</t>
  </si>
  <si>
    <t>Development of preimplantation embryos and their environment : proceedings of a Symposium on Development of Preimplantation Embryos and their Environment (satellite symposium of the 8th International Congress of Endocrinology), held in Kyoto, Japan, July 14-16, 1988 / editors, Koji Yoshinaga, Takahide Mori.</t>
  </si>
  <si>
    <t>Symposium on Development of Preimplantation Embryos and their Environment (1988 : Kyoto, Japan)</t>
  </si>
  <si>
    <t>New York : A.R. Liss, c1989.</t>
  </si>
  <si>
    <t>Progress in clinical and biological research ; v. 294</t>
  </si>
  <si>
    <t>1990-01-02</t>
  </si>
  <si>
    <t>138625191:eng</t>
  </si>
  <si>
    <t>19122956</t>
  </si>
  <si>
    <t>991001432069702656</t>
  </si>
  <si>
    <t>2272664730002656</t>
  </si>
  <si>
    <t>9780845151440</t>
  </si>
  <si>
    <t>32285000019637</t>
  </si>
  <si>
    <t>893709269</t>
  </si>
  <si>
    <t>QP281 .A8</t>
  </si>
  <si>
    <t>0                      QP 0281000A  8</t>
  </si>
  <si>
    <t>Biology of gestation, edited by N. S. Assali.</t>
  </si>
  <si>
    <t>Assali, Nicholas S., 1916-2004.</t>
  </si>
  <si>
    <t>New York, Academic Press, 1968.</t>
  </si>
  <si>
    <t>1998-09-08</t>
  </si>
  <si>
    <t>2864854888:eng</t>
  </si>
  <si>
    <t>287277</t>
  </si>
  <si>
    <t>991005265139702656</t>
  </si>
  <si>
    <t>2263420420002656</t>
  </si>
  <si>
    <t>32285003013389</t>
  </si>
  <si>
    <t>893236562</t>
  </si>
  <si>
    <t>32285003013371</t>
  </si>
  <si>
    <t>893248627</t>
  </si>
  <si>
    <t>QP281 .P56</t>
  </si>
  <si>
    <t>0                      QP 0281000P  56</t>
  </si>
  <si>
    <t>Placental transfer / edited by Geoffrey Chamberlain and Andrew Wilkinson.</t>
  </si>
  <si>
    <t>Tunbridge Wells, Eng. : Pitman Medical ; Baltimore : distributed by University Park Press, 1979.</t>
  </si>
  <si>
    <t>1993-11-22</t>
  </si>
  <si>
    <t>478626571:eng</t>
  </si>
  <si>
    <t>5251248</t>
  </si>
  <si>
    <t>991004806359702656</t>
  </si>
  <si>
    <t>2256291140002656</t>
  </si>
  <si>
    <t>9780272795316</t>
  </si>
  <si>
    <t>32285001560498</t>
  </si>
  <si>
    <t>893606485</t>
  </si>
  <si>
    <t>QP301 .A23 1986</t>
  </si>
  <si>
    <t>0                      QP 0301000A  23          1986</t>
  </si>
  <si>
    <t>Textbook of work physiology : physiological bases of exercise / Per-Olof Åstrand, Kaare Rodahl.</t>
  </si>
  <si>
    <t>Åstrand, Per-Olof.</t>
  </si>
  <si>
    <t>New York : McGraw Hill, c1986.</t>
  </si>
  <si>
    <t>McGraw-Hill series in health education, physical education, and recreation</t>
  </si>
  <si>
    <t>1998-04-07</t>
  </si>
  <si>
    <t>1991-11-21</t>
  </si>
  <si>
    <t>4872527:eng</t>
  </si>
  <si>
    <t>12552853</t>
  </si>
  <si>
    <t>991000702889702656</t>
  </si>
  <si>
    <t>2259326200002656</t>
  </si>
  <si>
    <t>9780070024168</t>
  </si>
  <si>
    <t>32285000843234</t>
  </si>
  <si>
    <t>893620719</t>
  </si>
  <si>
    <t>QP301 .A244 1994</t>
  </si>
  <si>
    <t>0                      QP 0301000A  244         1994</t>
  </si>
  <si>
    <t>Exercise physiology : laboratory manual / Gene M. Adams.</t>
  </si>
  <si>
    <t>Adams, Gene M.</t>
  </si>
  <si>
    <t>Madison, Wis. : Brown &amp; Benchmark, c1994.</t>
  </si>
  <si>
    <t>wiu</t>
  </si>
  <si>
    <t>2007-08-15</t>
  </si>
  <si>
    <t>1994-07-12</t>
  </si>
  <si>
    <t>22771276:eng</t>
  </si>
  <si>
    <t>30083198</t>
  </si>
  <si>
    <t>991002319759702656</t>
  </si>
  <si>
    <t>2255010940002656</t>
  </si>
  <si>
    <t>9780697125965</t>
  </si>
  <si>
    <t>32285001931970</t>
  </si>
  <si>
    <t>893245021</t>
  </si>
  <si>
    <t>QP301 .B47 2003</t>
  </si>
  <si>
    <t>0                      QP 0301000B  47          2003</t>
  </si>
  <si>
    <t>Animal locomotion / Andrew A. Biewener.</t>
  </si>
  <si>
    <t>Biewener, A. A. (Andrew A.)</t>
  </si>
  <si>
    <t>Oxford [England] ; New York : Oxford University Press, 2003.</t>
  </si>
  <si>
    <t>Oxford animal biology series</t>
  </si>
  <si>
    <t>2008-07-29</t>
  </si>
  <si>
    <t>2007-10-31</t>
  </si>
  <si>
    <t>663812:eng</t>
  </si>
  <si>
    <t>52145477</t>
  </si>
  <si>
    <t>991005132579702656</t>
  </si>
  <si>
    <t>2259419630002656</t>
  </si>
  <si>
    <t>9780198500223</t>
  </si>
  <si>
    <t>32285005363626</t>
  </si>
  <si>
    <t>893248421</t>
  </si>
  <si>
    <t>QP301 .B4787 2008</t>
  </si>
  <si>
    <t>0                      QP 0301000B  4787        2008</t>
  </si>
  <si>
    <t>Measurement and evaluation in physical activity applications : exercise science, physical education, coaching, athletic training, and health / Phillip A. Bishop.</t>
  </si>
  <si>
    <t>Bishop, Phillip A.</t>
  </si>
  <si>
    <t>Scottsdale, Az. : Holcomb Hathaway, c2008.</t>
  </si>
  <si>
    <t>azu</t>
  </si>
  <si>
    <t>2008-10-29</t>
  </si>
  <si>
    <t>1024571759:eng</t>
  </si>
  <si>
    <t>183608836</t>
  </si>
  <si>
    <t>991005268109702656</t>
  </si>
  <si>
    <t>2265169320002656</t>
  </si>
  <si>
    <t>9781890871833</t>
  </si>
  <si>
    <t>32285005464648</t>
  </si>
  <si>
    <t>893707557</t>
  </si>
  <si>
    <t>QP301 .B88 1966</t>
  </si>
  <si>
    <t>0                      QP 0301000B  88          1966</t>
  </si>
  <si>
    <t>Efficiency of human movement / [by] Marion R. Broer. Photos. by E. F. Marten.</t>
  </si>
  <si>
    <t>Broer, Marion Ruth.</t>
  </si>
  <si>
    <t>Philadelphia : Saunders, 1966.</t>
  </si>
  <si>
    <t>2d ed.</t>
  </si>
  <si>
    <t>1994-04-05</t>
  </si>
  <si>
    <t>1993-04-23</t>
  </si>
  <si>
    <t>1660805:eng</t>
  </si>
  <si>
    <t>711826</t>
  </si>
  <si>
    <t>991003181379702656</t>
  </si>
  <si>
    <t>2264240170002656</t>
  </si>
  <si>
    <t>32285001623767</t>
  </si>
  <si>
    <t>893342299</t>
  </si>
  <si>
    <t>QP301 .B8854 1987</t>
  </si>
  <si>
    <t>0                      QP 0301000B  8854        1987</t>
  </si>
  <si>
    <t>Fundamentals of human performance / George A. Brooks, Thomas D. Fahey.</t>
  </si>
  <si>
    <t>Brooks, George A. (George Austin), 1944-</t>
  </si>
  <si>
    <t>New York : Macmillan ; London : Collier Macmillan, c1987.</t>
  </si>
  <si>
    <t>2009-12-02</t>
  </si>
  <si>
    <t>1990-07-20</t>
  </si>
  <si>
    <t>180139463:eng</t>
  </si>
  <si>
    <t>13425614</t>
  </si>
  <si>
    <t>991000828419702656</t>
  </si>
  <si>
    <t>2265019540002656</t>
  </si>
  <si>
    <t>9780023151507</t>
  </si>
  <si>
    <t>32285000240068</t>
  </si>
  <si>
    <t>893515647</t>
  </si>
  <si>
    <t>QP301 .B95</t>
  </si>
  <si>
    <t>0                      QP 0301000B  95</t>
  </si>
  <si>
    <t>A laboratory manual for exercise physiology / by Ronald James Byrd and Freddie Melton Browning.</t>
  </si>
  <si>
    <t>Byrd, Ronald James, 1932-</t>
  </si>
  <si>
    <t>Springfield, Ill. : C. C. Thomas, c1972.</t>
  </si>
  <si>
    <t>___</t>
  </si>
  <si>
    <t>2010-09-02</t>
  </si>
  <si>
    <t>586744085:eng</t>
  </si>
  <si>
    <t>681056</t>
  </si>
  <si>
    <t>991003139349702656</t>
  </si>
  <si>
    <t>2268530010002656</t>
  </si>
  <si>
    <t>32285001560522</t>
  </si>
  <si>
    <t>893409956</t>
  </si>
  <si>
    <t>QP301 .C46 2001</t>
  </si>
  <si>
    <t>0                      QP 0301000C  46          2001</t>
  </si>
  <si>
    <t>Exercise physiology for health care professionals / Frank J. Cerny, Harold W. Burton.</t>
  </si>
  <si>
    <t>Cerny, Frank J., 1946-</t>
  </si>
  <si>
    <t>Champaign, IL : Human Kinetics, c2001.</t>
  </si>
  <si>
    <t>2001</t>
  </si>
  <si>
    <t>2003-05-02</t>
  </si>
  <si>
    <t>2006-02-28</t>
  </si>
  <si>
    <t>2001-10-13</t>
  </si>
  <si>
    <t>2003-01-10</t>
  </si>
  <si>
    <t>2285943:eng</t>
  </si>
  <si>
    <t>45835604</t>
  </si>
  <si>
    <t>991001707909702656</t>
  </si>
  <si>
    <t>2268269260002656</t>
  </si>
  <si>
    <t>9780880117524</t>
  </si>
  <si>
    <t>32285004395736</t>
  </si>
  <si>
    <t>893315980</t>
  </si>
  <si>
    <t>QP301 .D39 1986</t>
  </si>
  <si>
    <t>0                      QP 0301000D  39          1986</t>
  </si>
  <si>
    <t>Physiology of exercise for physical education and athletics / Herbert A. deVries.</t>
  </si>
  <si>
    <t>DeVries, Herbert A.</t>
  </si>
  <si>
    <t>Dubuque, Iowa : Wm. C. Brown, c1986.</t>
  </si>
  <si>
    <t>4th ed.</t>
  </si>
  <si>
    <t>2000-05-12</t>
  </si>
  <si>
    <t>1606069:eng</t>
  </si>
  <si>
    <t>13420027</t>
  </si>
  <si>
    <t>991000825309702656</t>
  </si>
  <si>
    <t>2263541900002656</t>
  </si>
  <si>
    <t>9780697009883</t>
  </si>
  <si>
    <t>32285001560548</t>
  </si>
  <si>
    <t>893683786</t>
  </si>
  <si>
    <t>QP301 .E935 1996</t>
  </si>
  <si>
    <t>0                      QP 0301000E  935         1996</t>
  </si>
  <si>
    <t>Exercise and immune function / edited by Laurie Hoffman-Goetz.</t>
  </si>
  <si>
    <t>Boca Raton : CRC Press, c1996.</t>
  </si>
  <si>
    <t>1999-11-29</t>
  </si>
  <si>
    <t>1996-10-11</t>
  </si>
  <si>
    <t>55979264:eng</t>
  </si>
  <si>
    <t>33359480</t>
  </si>
  <si>
    <t>991002566739702656</t>
  </si>
  <si>
    <t>2263166750002656</t>
  </si>
  <si>
    <t>9780849381904</t>
  </si>
  <si>
    <t>32285002365632</t>
  </si>
  <si>
    <t>893898926</t>
  </si>
  <si>
    <t>QP301 .E95 1985</t>
  </si>
  <si>
    <t>0                      QP 0301000E  95          1985</t>
  </si>
  <si>
    <t>Exercise endocrinology / editors, K. Fotherby, S.B. Pal.</t>
  </si>
  <si>
    <t>Berlin ; New York : De Gruyter, 1985.</t>
  </si>
  <si>
    <t>1993-11-24</t>
  </si>
  <si>
    <t>350248056:eng</t>
  </si>
  <si>
    <t>11497957</t>
  </si>
  <si>
    <t>991000543719702656</t>
  </si>
  <si>
    <t>2262906310002656</t>
  </si>
  <si>
    <t>9780899250304</t>
  </si>
  <si>
    <t>32285001560555</t>
  </si>
  <si>
    <t>893871774</t>
  </si>
  <si>
    <t>QP301 .H634 2006</t>
  </si>
  <si>
    <t>0                      QP 0301000H  634         2006</t>
  </si>
  <si>
    <t>Norms for fitness, performance, and health / Jay Hoffman.</t>
  </si>
  <si>
    <t>Hoffman, Jay, 1961-</t>
  </si>
  <si>
    <t>Champaign, IL : Human Kinetics, c2006.</t>
  </si>
  <si>
    <t>2007-11-28</t>
  </si>
  <si>
    <t>48502471:eng</t>
  </si>
  <si>
    <t>61513011</t>
  </si>
  <si>
    <t>991005132799702656</t>
  </si>
  <si>
    <t>2261723470002656</t>
  </si>
  <si>
    <t>9780736054836</t>
  </si>
  <si>
    <t>32285005368658</t>
  </si>
  <si>
    <t>893332444</t>
  </si>
  <si>
    <t>QP301 .I57 1979</t>
  </si>
  <si>
    <t>0                      QP 0301000I  57          1979</t>
  </si>
  <si>
    <t>Biochemistry of exercise IV / edited by Jacques Poortmans and Georges Niset.</t>
  </si>
  <si>
    <t>International Symposium on Biochemistry of Exercise (4th : 1979 : University of Brussels)</t>
  </si>
  <si>
    <t>Baltimore : University Park Press, c1981.</t>
  </si>
  <si>
    <t>International series on sports sciences ; v. 11A-11B</t>
  </si>
  <si>
    <t>2000-01-30</t>
  </si>
  <si>
    <t>5090995054:eng</t>
  </si>
  <si>
    <t>7006644</t>
  </si>
  <si>
    <t>991005069849702656</t>
  </si>
  <si>
    <t>2267952130002656</t>
  </si>
  <si>
    <t>9780839116196</t>
  </si>
  <si>
    <t>32285001560589</t>
  </si>
  <si>
    <t>893606771</t>
  </si>
  <si>
    <t>QP301 .I57 1979 PT.B</t>
  </si>
  <si>
    <t>0                      QP 0301000I  57          1979                                        PT.B</t>
  </si>
  <si>
    <t>PT.B*</t>
  </si>
  <si>
    <t>32285001560597</t>
  </si>
  <si>
    <t>893606770</t>
  </si>
  <si>
    <t>QP301 .I57 1988</t>
  </si>
  <si>
    <t>0                      QP 0301000I  57          1988</t>
  </si>
  <si>
    <t>Biochemistry of exercise VII / edited by Albert W. Taylor ... [et al.].</t>
  </si>
  <si>
    <t>International Biochemistry of Exercise Conference (7th : 1988 : London, Ont.)</t>
  </si>
  <si>
    <t>Champaign, Ill. : Human Kinetics Books, c1990.</t>
  </si>
  <si>
    <t>International series on sport sciences, 0160-0559 ; v. 21</t>
  </si>
  <si>
    <t>2000-02-05</t>
  </si>
  <si>
    <t>1991-11-04</t>
  </si>
  <si>
    <t>499643430:eng</t>
  </si>
  <si>
    <t>20529121</t>
  </si>
  <si>
    <t>991001585809702656</t>
  </si>
  <si>
    <t>2268085310002656</t>
  </si>
  <si>
    <t>9780873222600</t>
  </si>
  <si>
    <t>32285000729433</t>
  </si>
  <si>
    <t>893797646</t>
  </si>
  <si>
    <t>QP301 .J57 1991</t>
  </si>
  <si>
    <t>0                      QP 0301000J  57          1991</t>
  </si>
  <si>
    <t>Biomechanics and exercise physiology / Arthur T. Johnson.</t>
  </si>
  <si>
    <t>Johnson, Arthur T.</t>
  </si>
  <si>
    <t>New York : J. Wiley &amp; Sons, c1991.</t>
  </si>
  <si>
    <t>1991-06-11</t>
  </si>
  <si>
    <t>138682737:eng</t>
  </si>
  <si>
    <t>22113789</t>
  </si>
  <si>
    <t>991001746239702656</t>
  </si>
  <si>
    <t>2266765450002656</t>
  </si>
  <si>
    <t>9780471853985</t>
  </si>
  <si>
    <t>32285000655026</t>
  </si>
  <si>
    <t>893809174</t>
  </si>
  <si>
    <t>QP301 .L27 1978</t>
  </si>
  <si>
    <t>0                      QP 0301000L  27          1978</t>
  </si>
  <si>
    <t>Physiology of exercise : responses and adaptations / David R. Lamb.</t>
  </si>
  <si>
    <t>Lamb, David R.</t>
  </si>
  <si>
    <t>New York : Macmillan, c1978.</t>
  </si>
  <si>
    <t>197832524:eng</t>
  </si>
  <si>
    <t>2912360</t>
  </si>
  <si>
    <t>991004282169702656</t>
  </si>
  <si>
    <t>2267865480002656</t>
  </si>
  <si>
    <t>9780023672002</t>
  </si>
  <si>
    <t>32285001560639</t>
  </si>
  <si>
    <t>893259544</t>
  </si>
  <si>
    <t>QP301 .M3754 1999</t>
  </si>
  <si>
    <t>0                      QP 0301000M  3754        1999</t>
  </si>
  <si>
    <t>Concepts in fitness programming / Robert G. McMurray.</t>
  </si>
  <si>
    <t>McMurray, Robert G.</t>
  </si>
  <si>
    <t>CRC series in exercise physiology</t>
  </si>
  <si>
    <t>2003-02-07</t>
  </si>
  <si>
    <t>1999-03-24</t>
  </si>
  <si>
    <t>41747850:eng</t>
  </si>
  <si>
    <t>39763744</t>
  </si>
  <si>
    <t>991002970259702656</t>
  </si>
  <si>
    <t>2265955910002656</t>
  </si>
  <si>
    <t>9780849387142</t>
  </si>
  <si>
    <t>32285003545877</t>
  </si>
  <si>
    <t>893317494</t>
  </si>
  <si>
    <t>QP301 .M52</t>
  </si>
  <si>
    <t>0                      QP 0301000M  52</t>
  </si>
  <si>
    <t>Laboratory experiences in exercise physiology / Ernest D. Michael, Edmund J. Burke, Edward V. Avakian.</t>
  </si>
  <si>
    <t>Michael, Ernest D.</t>
  </si>
  <si>
    <t>Ithaca, N.Y. : Mouvement Publications, 1979.</t>
  </si>
  <si>
    <t>2008-02-25</t>
  </si>
  <si>
    <t>24909554:eng</t>
  </si>
  <si>
    <t>7026637</t>
  </si>
  <si>
    <t>991005071279702656</t>
  </si>
  <si>
    <t>2263992020002656</t>
  </si>
  <si>
    <t>32285001560654</t>
  </si>
  <si>
    <t>893895804</t>
  </si>
  <si>
    <t>QP301 .M65 1976</t>
  </si>
  <si>
    <t>0                      QP 0301000M  65          1976</t>
  </si>
  <si>
    <t>Physiology of exercise / Laurence E. Morehouse, Augustus T. Miller, Jr.</t>
  </si>
  <si>
    <t>Morehouse, Laurence Englemohr, 1913-1995.</t>
  </si>
  <si>
    <t>Saint Louis : Mosby, 1976.</t>
  </si>
  <si>
    <t>mou</t>
  </si>
  <si>
    <t>4918836865:eng</t>
  </si>
  <si>
    <t>1530774</t>
  </si>
  <si>
    <t>991003806319702656</t>
  </si>
  <si>
    <t>2269827750002656</t>
  </si>
  <si>
    <t>9780801634857</t>
  </si>
  <si>
    <t>32285001560662</t>
  </si>
  <si>
    <t>893787798</t>
  </si>
  <si>
    <t>QP301 .M82 1979</t>
  </si>
  <si>
    <t>0                      QP 0301000M  82          1979</t>
  </si>
  <si>
    <t>Muybridge's Complete human and animal locomotion : all 781 plates from the 1887 Animal locomotion / by Eadweard Muybridge ; introd. to the Dover edition by Anita Ventura Mozley.</t>
  </si>
  <si>
    <t>Muybridge, Eadweard, 1830-1904.</t>
  </si>
  <si>
    <t>New York : Dover Publications, c1979.</t>
  </si>
  <si>
    <t>1996-06-04</t>
  </si>
  <si>
    <t>1151148415:eng</t>
  </si>
  <si>
    <t>5447180</t>
  </si>
  <si>
    <t>991004835229702656</t>
  </si>
  <si>
    <t>2259346580002656</t>
  </si>
  <si>
    <t>9780486237923</t>
  </si>
  <si>
    <t>32285001560688</t>
  </si>
  <si>
    <t>893260227</t>
  </si>
  <si>
    <t>1995-03-01</t>
  </si>
  <si>
    <t>32285001560670</t>
  </si>
  <si>
    <t>893254148</t>
  </si>
  <si>
    <t>1992-04-20</t>
  </si>
  <si>
    <t>32285001044329</t>
  </si>
  <si>
    <t>893260228</t>
  </si>
  <si>
    <t>QP301 .M83 1957</t>
  </si>
  <si>
    <t>0                      QP 0301000M  83          1957</t>
  </si>
  <si>
    <t>Animals in motion. Edited by Lewis S. Brown.</t>
  </si>
  <si>
    <t>New York, Dover Publications [1957]</t>
  </si>
  <si>
    <t>1957</t>
  </si>
  <si>
    <t>2006-12-10</t>
  </si>
  <si>
    <t>491285:eng</t>
  </si>
  <si>
    <t>850428</t>
  </si>
  <si>
    <t>991005264589702656</t>
  </si>
  <si>
    <t>2265899050002656</t>
  </si>
  <si>
    <t>32285003013439</t>
  </si>
  <si>
    <t>893619708</t>
  </si>
  <si>
    <t>QP301 .M85 1955</t>
  </si>
  <si>
    <t>0                      QP 0301000M  85          1955</t>
  </si>
  <si>
    <t>The human figure in motion. Introd. by Robert Taft.</t>
  </si>
  <si>
    <t>New York, Dover Publications [1955]</t>
  </si>
  <si>
    <t>1955</t>
  </si>
  <si>
    <t>1992-04-22</t>
  </si>
  <si>
    <t>864262:eng</t>
  </si>
  <si>
    <t>242951</t>
  </si>
  <si>
    <t>991001913719702656</t>
  </si>
  <si>
    <t>2269534150002656</t>
  </si>
  <si>
    <t>32285001069318</t>
  </si>
  <si>
    <t>893346885</t>
  </si>
  <si>
    <t>QP301 .N53 1986</t>
  </si>
  <si>
    <t>0                      QP 0301000N  53          1986</t>
  </si>
  <si>
    <t>The sports medicine fitness course / David C. Nieman.</t>
  </si>
  <si>
    <t>Nieman, David C., 1950-</t>
  </si>
  <si>
    <t>Palo Alto, Calif. : Bull Pub. Co. ; New York, NY : Distributed in the U.S. by Kampmann, c1986.</t>
  </si>
  <si>
    <t>1999-11-16</t>
  </si>
  <si>
    <t>7515952:eng</t>
  </si>
  <si>
    <t>13581629</t>
  </si>
  <si>
    <t>991000849749702656</t>
  </si>
  <si>
    <t>2259781230002656</t>
  </si>
  <si>
    <t>9780915950768</t>
  </si>
  <si>
    <t>32285000110022</t>
  </si>
  <si>
    <t>893884817</t>
  </si>
  <si>
    <t>QP301 .P374 1988</t>
  </si>
  <si>
    <t>0                      QP 0301000P  374         1988</t>
  </si>
  <si>
    <t>Biological effects of physical activity / R. Sanders Williams, Andrew G. Wallace, editors.</t>
  </si>
  <si>
    <t>PepsiCo Foundation Conference on Fitness and Health (1st : 1988 : Duke University)</t>
  </si>
  <si>
    <t>Champaign, Ill. : Human Kinetics Books, c1989.</t>
  </si>
  <si>
    <t>HKP sport science monograph series, 0894-4229 ; v. 2</t>
  </si>
  <si>
    <t>1992-07-03</t>
  </si>
  <si>
    <t>21437587:eng</t>
  </si>
  <si>
    <t>19222780</t>
  </si>
  <si>
    <t>991001439949702656</t>
  </si>
  <si>
    <t>2259496650002656</t>
  </si>
  <si>
    <t>9780873222181</t>
  </si>
  <si>
    <t>32285001157105</t>
  </si>
  <si>
    <t>893244138</t>
  </si>
  <si>
    <t>QP301 .P384 1988 v.2</t>
  </si>
  <si>
    <t>0                      QP 0301000P  384         1988                                        v.2</t>
  </si>
  <si>
    <t>Youth, exercise, and sport / edited by Carl V. Gisolfi, David R. Lamb.</t>
  </si>
  <si>
    <t>Indianapolis, Ind. : Benchmark Press, c1989.</t>
  </si>
  <si>
    <t>inu</t>
  </si>
  <si>
    <t>Perspectives in exercise science and sports medicine ; v. 2</t>
  </si>
  <si>
    <t>2009-02-06</t>
  </si>
  <si>
    <t>2000-06-15</t>
  </si>
  <si>
    <t>355721134:eng</t>
  </si>
  <si>
    <t>27764910</t>
  </si>
  <si>
    <t>991003187019702656</t>
  </si>
  <si>
    <t>2263022830002656</t>
  </si>
  <si>
    <t>9780936157320</t>
  </si>
  <si>
    <t>32285000935782</t>
  </si>
  <si>
    <t>893317720</t>
  </si>
  <si>
    <t>QP301 .P384 1988 v.7</t>
  </si>
  <si>
    <t>0                      QP 0301000P  384         1988                                        v.7</t>
  </si>
  <si>
    <t>Physiology and nutrition for competitive sport / edited by David R. Lamb, Howard G. Knuttgen, Robert Murray.</t>
  </si>
  <si>
    <t>V. 7</t>
  </si>
  <si>
    <t>Carmel, Ind. : Cooper Publishing Group, c1994.</t>
  </si>
  <si>
    <t>Perspectives in exercise science and sports medicine ; v. 7</t>
  </si>
  <si>
    <t>2000-11-19</t>
  </si>
  <si>
    <t>1995-02-28</t>
  </si>
  <si>
    <t>346101222:eng</t>
  </si>
  <si>
    <t>38299607</t>
  </si>
  <si>
    <t>991002372909702656</t>
  </si>
  <si>
    <t>2269913460002656</t>
  </si>
  <si>
    <t>9781884125096</t>
  </si>
  <si>
    <t>32285002010626</t>
  </si>
  <si>
    <t>893903852</t>
  </si>
  <si>
    <t>QP301 .P384 1988, v.1</t>
  </si>
  <si>
    <t>0                      QP 0301000P  384         1988                                        v.1</t>
  </si>
  <si>
    <t>Prolonged exercise / edited by David R. Lamb, Robert Murray.</t>
  </si>
  <si>
    <t>Indianapolis, Ind. : Benchmark Press, c1988.</t>
  </si>
  <si>
    <t>xxu</t>
  </si>
  <si>
    <t>Perspectives in exercise science and sports medicine ; v. 1</t>
  </si>
  <si>
    <t>1995-09-29</t>
  </si>
  <si>
    <t>1992-03-19</t>
  </si>
  <si>
    <t>55684753:eng</t>
  </si>
  <si>
    <t>27764925</t>
  </si>
  <si>
    <t>991001548429702656</t>
  </si>
  <si>
    <t>2255136510002656</t>
  </si>
  <si>
    <t>9780936157344</t>
  </si>
  <si>
    <t>32285001006237</t>
  </si>
  <si>
    <t>893690678</t>
  </si>
  <si>
    <t>QP301 .P384 1988, v.3</t>
  </si>
  <si>
    <t>0                      QP 0301000P  384         1988                                        v.3</t>
  </si>
  <si>
    <t>Fluid homeostasis during exercise / edited by Carl V. Gisolfi, David R. Lamb.</t>
  </si>
  <si>
    <t>Indianapolis, IN : Cooper Publishing Group, c1990.</t>
  </si>
  <si>
    <t>Perspectives in exercise science and sports medicine ; v. 3</t>
  </si>
  <si>
    <t>1999-10-08</t>
  </si>
  <si>
    <t>1996-06-27</t>
  </si>
  <si>
    <t>374208319:eng</t>
  </si>
  <si>
    <t>31023573</t>
  </si>
  <si>
    <t>991002388209702656</t>
  </si>
  <si>
    <t>2266157530002656</t>
  </si>
  <si>
    <t>9781884125072</t>
  </si>
  <si>
    <t>32285002174224</t>
  </si>
  <si>
    <t>893322868</t>
  </si>
  <si>
    <t>QP301 .P384 1988, v.4</t>
  </si>
  <si>
    <t>0                      QP 0301000P  384         1988                                        v.4</t>
  </si>
  <si>
    <t>Ergogenics : enhancement of performance in exercise and sport / edited by David R. Lamb, Melvin H. Williams.</t>
  </si>
  <si>
    <t>V. 4</t>
  </si>
  <si>
    <t>[Dubuque, Iowa?] : Brown &amp; Benchmark, c1991.</t>
  </si>
  <si>
    <t>Perspectives in exercise science and sports medicine ; v. 4</t>
  </si>
  <si>
    <t>1999-11-18</t>
  </si>
  <si>
    <t>375844708:eng</t>
  </si>
  <si>
    <t>25967173</t>
  </si>
  <si>
    <t>991001902409702656</t>
  </si>
  <si>
    <t>2267788660002656</t>
  </si>
  <si>
    <t>9780697149770</t>
  </si>
  <si>
    <t>32285001006245</t>
  </si>
  <si>
    <t>893244506</t>
  </si>
  <si>
    <t>QP301 .P384 1988, v.5</t>
  </si>
  <si>
    <t>0                      QP 0301000P  384         1988                                        v.5</t>
  </si>
  <si>
    <t>Energy metabolism in exercise and sport / edited by David R. Lamb, Carl V. Gisolfi.</t>
  </si>
  <si>
    <t>Dubuque, IA : Brown &amp; Benchmark, c1992.</t>
  </si>
  <si>
    <t>Perspectives in exercise science and sports medicine ; v. 5</t>
  </si>
  <si>
    <t>1999-10-05</t>
  </si>
  <si>
    <t>1992-10-15</t>
  </si>
  <si>
    <t>476567139:eng</t>
  </si>
  <si>
    <t>28427509</t>
  </si>
  <si>
    <t>991002053679702656</t>
  </si>
  <si>
    <t>2254869680002656</t>
  </si>
  <si>
    <t>9780697162755</t>
  </si>
  <si>
    <t>32285001319044</t>
  </si>
  <si>
    <t>893773162</t>
  </si>
  <si>
    <t>QP301 .P384 1988, v.6</t>
  </si>
  <si>
    <t>0                      QP 0301000P  384         1988                                        v.6</t>
  </si>
  <si>
    <t>Exercise, heat, and thermoregulation / edited by Carl V. Gisolfi, David R. Lamb, Ethan R. Nadel.</t>
  </si>
  <si>
    <t>V. 6</t>
  </si>
  <si>
    <t>Dubuque, IA : Brown &amp; Benchmark, c1993.</t>
  </si>
  <si>
    <t>Perspectives in exercise science and sports medicine ; v. 6</t>
  </si>
  <si>
    <t>1996-11-13</t>
  </si>
  <si>
    <t>347975297:eng</t>
  </si>
  <si>
    <t>29184547</t>
  </si>
  <si>
    <t>991002252939702656</t>
  </si>
  <si>
    <t>2263547260002656</t>
  </si>
  <si>
    <t>9780697204929</t>
  </si>
  <si>
    <t>32285002372174</t>
  </si>
  <si>
    <t>893685145</t>
  </si>
  <si>
    <t>QP301 .P384 1988, v.8</t>
  </si>
  <si>
    <t>0                      QP 0301000P  384         1988                                        v.8</t>
  </si>
  <si>
    <t>Exercise in older adults / edited by Carl V. Gisolfi, David R. Lamb, Ethan Nadel.</t>
  </si>
  <si>
    <t>V. 8</t>
  </si>
  <si>
    <t>Carmel, IN : Cooper Publishing Group, c1995.</t>
  </si>
  <si>
    <t>Perspectives in exercise science and sports medicine ; v. 8</t>
  </si>
  <si>
    <t>2001-10-01</t>
  </si>
  <si>
    <t>1020768542:eng</t>
  </si>
  <si>
    <t>35515542</t>
  </si>
  <si>
    <t>991002521999702656</t>
  </si>
  <si>
    <t>2261879320002656</t>
  </si>
  <si>
    <t>9781884125201</t>
  </si>
  <si>
    <t>32285002077948</t>
  </si>
  <si>
    <t>893233065</t>
  </si>
  <si>
    <t>QP301 .P57 1995</t>
  </si>
  <si>
    <t>0                      QP 0301000P  57          1995</t>
  </si>
  <si>
    <t>Physiological assessment of human fitness / [edited by] Peter J. Maud, Carl Foster.</t>
  </si>
  <si>
    <t>Champaign, IL : Human Kinetics, c1995.</t>
  </si>
  <si>
    <t>1995-11-14</t>
  </si>
  <si>
    <t>353955343:eng</t>
  </si>
  <si>
    <t>31375570</t>
  </si>
  <si>
    <t>991002410499702656</t>
  </si>
  <si>
    <t>2254754330002656</t>
  </si>
  <si>
    <t>9780873227766</t>
  </si>
  <si>
    <t>32285002102613</t>
  </si>
  <si>
    <t>893886242</t>
  </si>
  <si>
    <t>QP301 .R545 1997</t>
  </si>
  <si>
    <t>0                      QP 0301000R  545         1997</t>
  </si>
  <si>
    <t>Exercise physiology : exercise, performance, and clinical applications / Robert A. Robergs, Scott O. Roberts.</t>
  </si>
  <si>
    <t>Robergs, Robert A.</t>
  </si>
  <si>
    <t>St. Louis : Mosby, c1997.</t>
  </si>
  <si>
    <t>2009-10-26</t>
  </si>
  <si>
    <t>1996-10-16</t>
  </si>
  <si>
    <t>797235659:eng</t>
  </si>
  <si>
    <t>34546079</t>
  </si>
  <si>
    <t>991002636979702656</t>
  </si>
  <si>
    <t>2260929900002656</t>
  </si>
  <si>
    <t>9780815172413</t>
  </si>
  <si>
    <t>32285002366432</t>
  </si>
  <si>
    <t>893773842</t>
  </si>
  <si>
    <t>QP301 .S464 1981</t>
  </si>
  <si>
    <t>0                      QP 0301000S  464         1981</t>
  </si>
  <si>
    <t>Essentials of exercise physiology / Larry G. Shaver ; [artwork, Genesis 2 Inc. ; illustration and cover art, Genesis 2 Inc.]</t>
  </si>
  <si>
    <t>Shaver, Larry G.</t>
  </si>
  <si>
    <t>New York : Macmillan Pub. Co., c1981.</t>
  </si>
  <si>
    <t>2008-10-14</t>
  </si>
  <si>
    <t>398774:eng</t>
  </si>
  <si>
    <t>7182719</t>
  </si>
  <si>
    <t>991005084799702656</t>
  </si>
  <si>
    <t>2255416690002656</t>
  </si>
  <si>
    <t>9780808742005</t>
  </si>
  <si>
    <t>32285000209980</t>
  </si>
  <si>
    <t>893795581</t>
  </si>
  <si>
    <t>QP301 .S468 1994</t>
  </si>
  <si>
    <t>0                      QP 0301000S  468         1994</t>
  </si>
  <si>
    <t>Aerobic fitness &amp; health / Roy J. Shephard.</t>
  </si>
  <si>
    <t>Shephard, Roy J.</t>
  </si>
  <si>
    <t>Champaign, IL : Human Kinetics, c1994.</t>
  </si>
  <si>
    <t>2004-02-18</t>
  </si>
  <si>
    <t>375475:eng</t>
  </si>
  <si>
    <t>27677399</t>
  </si>
  <si>
    <t>991002146999702656</t>
  </si>
  <si>
    <t>2262403160002656</t>
  </si>
  <si>
    <t>9780873224178</t>
  </si>
  <si>
    <t>32285001859247</t>
  </si>
  <si>
    <t>893523247</t>
  </si>
  <si>
    <t>QP301 .S48</t>
  </si>
  <si>
    <t>0                      QP 0301000S  48</t>
  </si>
  <si>
    <t>Endurance fitness / [by] Roy J. Shephard.</t>
  </si>
  <si>
    <t>[Toronto] : Univ. of Toronto Press, [1969]</t>
  </si>
  <si>
    <t>1969</t>
  </si>
  <si>
    <t>1998-03-28</t>
  </si>
  <si>
    <t>1993-11-29</t>
  </si>
  <si>
    <t>1164960:eng</t>
  </si>
  <si>
    <t>25406</t>
  </si>
  <si>
    <t>991000062979702656</t>
  </si>
  <si>
    <t>2268573930002656</t>
  </si>
  <si>
    <t>9780802016010</t>
  </si>
  <si>
    <t>32285001813988</t>
  </si>
  <si>
    <t>893230842</t>
  </si>
  <si>
    <t>QP301 .S484 1987</t>
  </si>
  <si>
    <t>0                      QP 0301000S  484         1987</t>
  </si>
  <si>
    <t>Exercise physiology / Roy J. Shephard.</t>
  </si>
  <si>
    <t>Toronto ; Philadelphia : B.C. Decker ; Saint Louis, Mo. : Sales and distribution C.V. Mosby Co., 1987.</t>
  </si>
  <si>
    <t>1998-04-14</t>
  </si>
  <si>
    <t>2003-06-06</t>
  </si>
  <si>
    <t>3943478994:eng</t>
  </si>
  <si>
    <t>17153236</t>
  </si>
  <si>
    <t>991001789879702656</t>
  </si>
  <si>
    <t>2258314300002656</t>
  </si>
  <si>
    <t>9780941158909</t>
  </si>
  <si>
    <t>32285001560704</t>
  </si>
  <si>
    <t>893879182</t>
  </si>
  <si>
    <t>QP301 .S494 1982</t>
  </si>
  <si>
    <t>0                      QP 0301000S  494         1982</t>
  </si>
  <si>
    <t>Physiology and biochemistry of exercise / Roy J. Shephard.</t>
  </si>
  <si>
    <t>New York, N.Y. : Praeger, 1982.</t>
  </si>
  <si>
    <t>432534:eng</t>
  </si>
  <si>
    <t>7274805</t>
  </si>
  <si>
    <t>991005096819702656</t>
  </si>
  <si>
    <t>2260462020002656</t>
  </si>
  <si>
    <t>9780030592898</t>
  </si>
  <si>
    <t>32285001560712</t>
  </si>
  <si>
    <t>893443391</t>
  </si>
  <si>
    <t>QP301 .S75 1992</t>
  </si>
  <si>
    <t>0                      QP 0301000S  75          1992</t>
  </si>
  <si>
    <t>Physical activity and health : 34th Symposium volume of the Society for the Study of Human Biology / edited by N.G. Norgan.</t>
  </si>
  <si>
    <t>Society for the Study of Human Biology. Symposium (34th : 1992 : Oxford University)</t>
  </si>
  <si>
    <t>Cambridge ; New York, NY, USA : Cambridge University Press, 1992.</t>
  </si>
  <si>
    <t>Society for the Study of Human Biology symposium series ; 34</t>
  </si>
  <si>
    <t>2010-05-26</t>
  </si>
  <si>
    <t>1994-01-20</t>
  </si>
  <si>
    <t>5091513933:eng</t>
  </si>
  <si>
    <t>25510699</t>
  </si>
  <si>
    <t>991002007609702656</t>
  </si>
  <si>
    <t>2260939770002656</t>
  </si>
  <si>
    <t>9780052141517</t>
  </si>
  <si>
    <t>32285001831816</t>
  </si>
  <si>
    <t>893316265</t>
  </si>
  <si>
    <t>QP301 .T7</t>
  </si>
  <si>
    <t>0                      QP 0301000T  7</t>
  </si>
  <si>
    <t>The science of movement / [by] R. A. R. Tricker [and] B. J. K. Tricker.</t>
  </si>
  <si>
    <t>Tricker, R. A. R.</t>
  </si>
  <si>
    <t>New York : American Elsevier Pub. Co., 1967.</t>
  </si>
  <si>
    <t>1998-11-11</t>
  </si>
  <si>
    <t>1993-05-10</t>
  </si>
  <si>
    <t>1455487:eng</t>
  </si>
  <si>
    <t>373220</t>
  </si>
  <si>
    <t>991002568989702656</t>
  </si>
  <si>
    <t>2260954020002656</t>
  </si>
  <si>
    <t>32285001652071</t>
  </si>
  <si>
    <t>893498270</t>
  </si>
  <si>
    <t>QP301 .W675 1988</t>
  </si>
  <si>
    <t>0                      QP 0301000W  675         1988</t>
  </si>
  <si>
    <t>Training for sport and activity : the physiological basis of the conditioning process / Jack H. Wilmore, David L. Costill.</t>
  </si>
  <si>
    <t>Wilmore, Jack H., 1938-2014.</t>
  </si>
  <si>
    <t>Boston : Allyn and Bacon, 1988.</t>
  </si>
  <si>
    <t>1997-02-28</t>
  </si>
  <si>
    <t>1990-06-15</t>
  </si>
  <si>
    <t>348020:eng</t>
  </si>
  <si>
    <t>16404092</t>
  </si>
  <si>
    <t>991001104899702656</t>
  </si>
  <si>
    <t>2262249780002656</t>
  </si>
  <si>
    <t>9780205111398</t>
  </si>
  <si>
    <t>32285000197029</t>
  </si>
  <si>
    <t>893702734</t>
  </si>
  <si>
    <t>QP303 .A37 1989</t>
  </si>
  <si>
    <t>0                      QP 0303000A  37          1989</t>
  </si>
  <si>
    <t>The biomechanics of human movement / Marlene J. Adrian, John M. Cooper.</t>
  </si>
  <si>
    <t>Adrian, Marlene, 1933-</t>
  </si>
  <si>
    <t>Indianapolis : Benchmark Press, 1989.</t>
  </si>
  <si>
    <t>2008-02-19</t>
  </si>
  <si>
    <t>1992-02-27</t>
  </si>
  <si>
    <t>8303046:eng</t>
  </si>
  <si>
    <t>15106395</t>
  </si>
  <si>
    <t>991000990189702656</t>
  </si>
  <si>
    <t>2268587750002656</t>
  </si>
  <si>
    <t>9780936157061</t>
  </si>
  <si>
    <t>32285000978402</t>
  </si>
  <si>
    <t>893522191</t>
  </si>
  <si>
    <t>QP303 .A58 1992</t>
  </si>
  <si>
    <t>0                      QP 0303000A  58          1992</t>
  </si>
  <si>
    <t>The human machine / by R. McNeill Alexander ; illustrated by Mark Iley &amp; Sally Alexander.</t>
  </si>
  <si>
    <t>Alexander, R. McNeill.</t>
  </si>
  <si>
    <t>New York : Columbia University Press, c1992.</t>
  </si>
  <si>
    <t>1994-03-11</t>
  </si>
  <si>
    <t>3149802914:eng</t>
  </si>
  <si>
    <t>25628537</t>
  </si>
  <si>
    <t>991002012469702656</t>
  </si>
  <si>
    <t>2263499400002656</t>
  </si>
  <si>
    <t>9780231080668</t>
  </si>
  <si>
    <t>32285001844629</t>
  </si>
  <si>
    <t>893497625</t>
  </si>
  <si>
    <t>QP303 .C56</t>
  </si>
  <si>
    <t>0                      QP 0303000C  56</t>
  </si>
  <si>
    <t>Control of posture and locomotion. Edited by R. B. Stein [and others]</t>
  </si>
  <si>
    <t>New York, Plenum Press [1973]</t>
  </si>
  <si>
    <t>Advances in behavioral biology ; v. 7</t>
  </si>
  <si>
    <t>1823828:eng</t>
  </si>
  <si>
    <t>745984</t>
  </si>
  <si>
    <t>991003220709702656</t>
  </si>
  <si>
    <t>2268953740002656</t>
  </si>
  <si>
    <t>9780306379079</t>
  </si>
  <si>
    <t>32285003013454</t>
  </si>
  <si>
    <t>893774520</t>
  </si>
  <si>
    <t>QP303 .D3 1977</t>
  </si>
  <si>
    <t>0                      QP 0303000D  3           1977</t>
  </si>
  <si>
    <t>Running, walking and jumping : the science of locomotion / Anne Innis Dagg. --</t>
  </si>
  <si>
    <t>Dagg, Anne Innis.</t>
  </si>
  <si>
    <t>London : Wykeham Publications ; New York : sole distributors for the U.S.A. and Canada, Crane, Russak, 1977.</t>
  </si>
  <si>
    <t>The Wykeham science series ; [42]</t>
  </si>
  <si>
    <t>2008-02-04</t>
  </si>
  <si>
    <t>890613228:eng</t>
  </si>
  <si>
    <t>4159926</t>
  </si>
  <si>
    <t>991004598529702656</t>
  </si>
  <si>
    <t>2256651800002656</t>
  </si>
  <si>
    <t>9780844811697</t>
  </si>
  <si>
    <t>32285001560738</t>
  </si>
  <si>
    <t>893712805</t>
  </si>
  <si>
    <t>QP303 .E56 1988</t>
  </si>
  <si>
    <t>0                      QP 0303000E  56          1988</t>
  </si>
  <si>
    <t>Neuromechanical basis of kinesiology/ Roger M. Enoka.</t>
  </si>
  <si>
    <t>Enoka, Roger M., 1949-</t>
  </si>
  <si>
    <t>Champaign, Ill. : Human Kinetics Books, c1988.</t>
  </si>
  <si>
    <t>1994-11-20</t>
  </si>
  <si>
    <t>13212296:eng</t>
  </si>
  <si>
    <t>17107047</t>
  </si>
  <si>
    <t>991001179849702656</t>
  </si>
  <si>
    <t>2257667580002656</t>
  </si>
  <si>
    <t>9780873221795</t>
  </si>
  <si>
    <t>32285001560746</t>
  </si>
  <si>
    <t>893250035</t>
  </si>
  <si>
    <t>QP303 .E83</t>
  </si>
  <si>
    <t>0                      QP 0303000E  83</t>
  </si>
  <si>
    <t>Musculoskeletal function; an anatomy and kinesiology laboratory manual, by Dortha Esch and Marvin Lepley. Illus. by Jean Magney.</t>
  </si>
  <si>
    <t>Esch, Dortha.</t>
  </si>
  <si>
    <t>Minneapolis, University of Minnesota Press [1974]</t>
  </si>
  <si>
    <t>1994-02-10</t>
  </si>
  <si>
    <t>1992-02-17</t>
  </si>
  <si>
    <t>794173949:eng</t>
  </si>
  <si>
    <t>1056622</t>
  </si>
  <si>
    <t>991003504649702656</t>
  </si>
  <si>
    <t>2272248620002656</t>
  </si>
  <si>
    <t>9780816607167</t>
  </si>
  <si>
    <t>32285000959550</t>
  </si>
  <si>
    <t>893717724</t>
  </si>
  <si>
    <t>QP303 .F66</t>
  </si>
  <si>
    <t>0                      QP 0303000F  66</t>
  </si>
  <si>
    <t>Basic biomechanics of the skeletal system / Victor H. Frankel, Margareta Nordin.</t>
  </si>
  <si>
    <t>Frankel, Victor H. (Victor Hirsch), 1925-</t>
  </si>
  <si>
    <t>Philadelphia : Lea &amp; Febiger, 1980.</t>
  </si>
  <si>
    <t>2008-02-22</t>
  </si>
  <si>
    <t>1993-04-19</t>
  </si>
  <si>
    <t>3901235074:eng</t>
  </si>
  <si>
    <t>5726076</t>
  </si>
  <si>
    <t>991004864289702656</t>
  </si>
  <si>
    <t>2260817470002656</t>
  </si>
  <si>
    <t>9780812107081</t>
  </si>
  <si>
    <t>32285001429439</t>
  </si>
  <si>
    <t>893241927</t>
  </si>
  <si>
    <t>QP303 .G33</t>
  </si>
  <si>
    <t>0                      QP 0303000G  33</t>
  </si>
  <si>
    <t>Biomechanics : an approach to vertebrate biology / Carl Gans.</t>
  </si>
  <si>
    <t>Gans, Carl, 1923-2009.</t>
  </si>
  <si>
    <t>Philadelphia : Lippincott, [1974]</t>
  </si>
  <si>
    <t>2008-02-23</t>
  </si>
  <si>
    <t>795552615:eng</t>
  </si>
  <si>
    <t>858742</t>
  </si>
  <si>
    <t>991003328919702656</t>
  </si>
  <si>
    <t>2267153270002656</t>
  </si>
  <si>
    <t>9780397473090</t>
  </si>
  <si>
    <t>32285001560753</t>
  </si>
  <si>
    <t>893711270</t>
  </si>
  <si>
    <t>QP303 .G63 1988</t>
  </si>
  <si>
    <t>0                      QP 0303000G  63          1988</t>
  </si>
  <si>
    <t>Scientific bases of human movement / Barbara A. Gowitzke, Morris Milner.</t>
  </si>
  <si>
    <t>Gowitzke, Barbara A.</t>
  </si>
  <si>
    <t>Baltimore : Williams &amp; Wilkins, c1988.</t>
  </si>
  <si>
    <t>3d ed.</t>
  </si>
  <si>
    <t>3901106480:eng</t>
  </si>
  <si>
    <t>15424295</t>
  </si>
  <si>
    <t>991001023619702656</t>
  </si>
  <si>
    <t>2260226890002656</t>
  </si>
  <si>
    <t>9780683035933</t>
  </si>
  <si>
    <t>32285001121119</t>
  </si>
  <si>
    <t>893720901</t>
  </si>
  <si>
    <t>QP303 .H354 2003</t>
  </si>
  <si>
    <t>0                      QP 0303000H  354         2003</t>
  </si>
  <si>
    <t>Biomechanical basis of human movement / Joseph Hamill, Kathleen M. Knutzen.</t>
  </si>
  <si>
    <t>Hamill, Joseph, 1946-</t>
  </si>
  <si>
    <t>Philadelphia : Lippincott Williams &amp; Wilkins, c2003.</t>
  </si>
  <si>
    <t>2010-04-14</t>
  </si>
  <si>
    <t>2005-01-18</t>
  </si>
  <si>
    <t>5972705:eng</t>
  </si>
  <si>
    <t>50503177</t>
  </si>
  <si>
    <t>991004426469702656</t>
  </si>
  <si>
    <t>2272320600002656</t>
  </si>
  <si>
    <t>9780781734059</t>
  </si>
  <si>
    <t>32285005020614</t>
  </si>
  <si>
    <t>893618655</t>
  </si>
  <si>
    <t>QP303 .H389</t>
  </si>
  <si>
    <t>0                      QP 0303000H  389</t>
  </si>
  <si>
    <t>The anatomical and mechanical bases of human motion / James G. Hay, J. Gavin Reid.</t>
  </si>
  <si>
    <t>Hay, James G., 1936-2002.</t>
  </si>
  <si>
    <t>Englewood Cliffs, N.J. : Prentice-Hall, c1982.</t>
  </si>
  <si>
    <t>1992-02-25</t>
  </si>
  <si>
    <t>410116:eng</t>
  </si>
  <si>
    <t>7572387</t>
  </si>
  <si>
    <t>991005387859702656</t>
  </si>
  <si>
    <t>2269931610002656</t>
  </si>
  <si>
    <t>9780130351395</t>
  </si>
  <si>
    <t>32285000976356</t>
  </si>
  <si>
    <t>893871102</t>
  </si>
  <si>
    <t>QP303 .H54 1981</t>
  </si>
  <si>
    <t>0                      QP 0303000H  54          1981</t>
  </si>
  <si>
    <t>Kinesiology / Marilyn M. Hinson.</t>
  </si>
  <si>
    <t>Hinson, Marilyn M.</t>
  </si>
  <si>
    <t>[Dubuque, Iowa] : W.C. Brown Co. Publishers, c1981.</t>
  </si>
  <si>
    <t>1992-10-07</t>
  </si>
  <si>
    <t>443342:eng</t>
  </si>
  <si>
    <t>7378730</t>
  </si>
  <si>
    <t>991005108499702656</t>
  </si>
  <si>
    <t>2268486720002656</t>
  </si>
  <si>
    <t>9780697071736</t>
  </si>
  <si>
    <t>32285001327856</t>
  </si>
  <si>
    <t>893889683</t>
  </si>
  <si>
    <t>QP303 .I488 1981</t>
  </si>
  <si>
    <t>0                      QP 0303000I  488         1981</t>
  </si>
  <si>
    <t>Biomechanics VIII : proceedings of the Eighth International Congress of Biomechanics, Nagoya, Japan / editors, Hideji Matsui, Kando Kobayashi.</t>
  </si>
  <si>
    <t>International Congress of Biomechanics (8th : 1981 : Nagoya-shi, Japan)</t>
  </si>
  <si>
    <t>Champaign, Ill. : Human Kinetics Publishers, c1983.</t>
  </si>
  <si>
    <t>International series on biomechanics, 0360-344X ; v. 4A-4B</t>
  </si>
  <si>
    <t>1992-02-11</t>
  </si>
  <si>
    <t>988301721:eng</t>
  </si>
  <si>
    <t>9797406</t>
  </si>
  <si>
    <t>991000260159702656</t>
  </si>
  <si>
    <t>2268279820002656</t>
  </si>
  <si>
    <t>9780931250446</t>
  </si>
  <si>
    <t>32285000955830</t>
  </si>
  <si>
    <t>893351470</t>
  </si>
  <si>
    <t>QP303 .I488 1981 PT.B</t>
  </si>
  <si>
    <t>0                      QP 0303000I  488         1981                                        PT.B</t>
  </si>
  <si>
    <t>1994-03-20</t>
  </si>
  <si>
    <t>32285000955848</t>
  </si>
  <si>
    <t>893345515</t>
  </si>
  <si>
    <t>QP303 .I488 1983</t>
  </si>
  <si>
    <t>0                      QP 0303000I  488         1983</t>
  </si>
  <si>
    <t>Biomechanics IX / editors, David A. Winter ... [et al.].</t>
  </si>
  <si>
    <t>International Congress of Biomechanics (9th : 1983 : Waterloo, Ont.)</t>
  </si>
  <si>
    <t>Champaign, Ill. : Human Kinetics Publishers, c1985.</t>
  </si>
  <si>
    <t>International series on biomechanics, 0360-344X ; v. 5</t>
  </si>
  <si>
    <t>2002-04-29</t>
  </si>
  <si>
    <t>5429712:eng</t>
  </si>
  <si>
    <t>13005948</t>
  </si>
  <si>
    <t>991000767799702656</t>
  </si>
  <si>
    <t>2266338770002656</t>
  </si>
  <si>
    <t>9780931250545</t>
  </si>
  <si>
    <t>32285000955814</t>
  </si>
  <si>
    <t>893790831</t>
  </si>
  <si>
    <t>QP303 .I488 1983 PT.B</t>
  </si>
  <si>
    <t>0                      QP 0303000I  488         1983                                        PT.B</t>
  </si>
  <si>
    <t>1998-10-12</t>
  </si>
  <si>
    <t>32285000955822</t>
  </si>
  <si>
    <t>893796971</t>
  </si>
  <si>
    <t>QP303 .I58 1979</t>
  </si>
  <si>
    <t>0                      QP 0303000I  58          1979</t>
  </si>
  <si>
    <t>Science in athletics / edited by Juris Terauds, George G. Dales.</t>
  </si>
  <si>
    <t>International Symposium of Science in Athletics (1978 : University of Alberta)</t>
  </si>
  <si>
    <t>Del Mar, Calif. : Academic Publishers, 1979.</t>
  </si>
  <si>
    <t>Science in sports series</t>
  </si>
  <si>
    <t>1995-03-26</t>
  </si>
  <si>
    <t>5578927385:eng</t>
  </si>
  <si>
    <t>4820634</t>
  </si>
  <si>
    <t>991004727069702656</t>
  </si>
  <si>
    <t>2268817690002656</t>
  </si>
  <si>
    <t>32285001560779</t>
  </si>
  <si>
    <t>893782585</t>
  </si>
  <si>
    <t>QP303 .I82 2000</t>
  </si>
  <si>
    <t>0                      QP 0303000I  82          2000</t>
  </si>
  <si>
    <t>Isokinetics in human performance / Lee E. Brown, editor.</t>
  </si>
  <si>
    <t>Champaign, Ill. : Human Kinetics, 2000.</t>
  </si>
  <si>
    <t>2000</t>
  </si>
  <si>
    <t>2001-02-22</t>
  </si>
  <si>
    <t>2712277:eng</t>
  </si>
  <si>
    <t>42049308</t>
  </si>
  <si>
    <t>991003353209702656</t>
  </si>
  <si>
    <t>2271959560002656</t>
  </si>
  <si>
    <t>9780736000055</t>
  </si>
  <si>
    <t>32285004296629</t>
  </si>
  <si>
    <t>893868349</t>
  </si>
  <si>
    <t>QP303 .J45</t>
  </si>
  <si>
    <t>0                      QP 0303000J  45</t>
  </si>
  <si>
    <t>Applied kinesiology ; the scientific study of human performance / Clayne R. Jensen, Gordon W. Schultz.</t>
  </si>
  <si>
    <t>Jensen, Clayne R.</t>
  </si>
  <si>
    <t>New York : McGraw-Hill, c1970.</t>
  </si>
  <si>
    <t>McGraw-Hill series in education</t>
  </si>
  <si>
    <t>1995-02-27</t>
  </si>
  <si>
    <t>1167196:eng</t>
  </si>
  <si>
    <t>27134</t>
  </si>
  <si>
    <t>991000066619702656</t>
  </si>
  <si>
    <t>2262706890002656</t>
  </si>
  <si>
    <t>9780070324626</t>
  </si>
  <si>
    <t>32285001623759</t>
  </si>
  <si>
    <t>893607584</t>
  </si>
  <si>
    <t>QP303 .K44</t>
  </si>
  <si>
    <t>0                      QP 0303000K  44</t>
  </si>
  <si>
    <t>Kinesiology; fundamentals of motion description [by] David L. Kelley.</t>
  </si>
  <si>
    <t>Kelley, David L.</t>
  </si>
  <si>
    <t>1994-11-11</t>
  </si>
  <si>
    <t>197808234:eng</t>
  </si>
  <si>
    <t>208587</t>
  </si>
  <si>
    <t>991001249409702656</t>
  </si>
  <si>
    <t>2270048830002656</t>
  </si>
  <si>
    <t>9780135162606</t>
  </si>
  <si>
    <t>32285001508190</t>
  </si>
  <si>
    <t>893439005</t>
  </si>
  <si>
    <t>QP303 .K578 2008</t>
  </si>
  <si>
    <t>0                      QP 0303000K  578         2008</t>
  </si>
  <si>
    <t>Foundations of kinesiology : studying human movement and health / P. Klavora.</t>
  </si>
  <si>
    <t>Klavora, Peter.</t>
  </si>
  <si>
    <t>Toronto : Sport Books Publisher, c2008.</t>
  </si>
  <si>
    <t>2009-03-16</t>
  </si>
  <si>
    <t>312590409:eng</t>
  </si>
  <si>
    <t>70777825</t>
  </si>
  <si>
    <t>991005298689702656</t>
  </si>
  <si>
    <t>2255159350002656</t>
  </si>
  <si>
    <t>9780920905074</t>
  </si>
  <si>
    <t>32285005509392</t>
  </si>
  <si>
    <t>893248686</t>
  </si>
  <si>
    <t>QP303 .K58 2009</t>
  </si>
  <si>
    <t>0                      QP 0303000K  58          2009</t>
  </si>
  <si>
    <t>Introduction to kinesiology : a biophysical perspective / P. Klavora.</t>
  </si>
  <si>
    <t>Toronto : Sport Books Publisher, c2009.</t>
  </si>
  <si>
    <t>2009</t>
  </si>
  <si>
    <t>2010-01-13</t>
  </si>
  <si>
    <t>2939670741:eng</t>
  </si>
  <si>
    <t>232711818</t>
  </si>
  <si>
    <t>991005349989702656</t>
  </si>
  <si>
    <t>2258487980002656</t>
  </si>
  <si>
    <t>9780920905272</t>
  </si>
  <si>
    <t>32285005556997</t>
  </si>
  <si>
    <t>893443803</t>
  </si>
  <si>
    <t>QP303 .K73 1996</t>
  </si>
  <si>
    <t>0                      QP 0303000K  73          1996</t>
  </si>
  <si>
    <t>Biomechanics : a qualitative approach for studying human movement / Ellen Kreighbaum, Katharine M. Barthels ; illustrations by the authors.</t>
  </si>
  <si>
    <t>Kreighbaum, Ellen.</t>
  </si>
  <si>
    <t>Boston : Allyn and Bacon, 1996.</t>
  </si>
  <si>
    <t>2004-08-29</t>
  </si>
  <si>
    <t>1996-03-15</t>
  </si>
  <si>
    <t>4218572:eng</t>
  </si>
  <si>
    <t>32890956</t>
  </si>
  <si>
    <t>991005421969702656</t>
  </si>
  <si>
    <t>2255570610002656</t>
  </si>
  <si>
    <t>9780205186518</t>
  </si>
  <si>
    <t>32285002142858</t>
  </si>
  <si>
    <t>893254985</t>
  </si>
  <si>
    <t>QP303 .L64 1982</t>
  </si>
  <si>
    <t>0                      QP 0303000L  64          1982</t>
  </si>
  <si>
    <t>Anatomic kinesiology / Gene A. Logan, Wayne C. McKinney.</t>
  </si>
  <si>
    <t>Logan, Gene A. (Gene Adams), 1922-1999.</t>
  </si>
  <si>
    <t>Dubuque, Iowa : W.C. Brown Co., c1982.</t>
  </si>
  <si>
    <t>2008-02-05</t>
  </si>
  <si>
    <t>7207931:eng</t>
  </si>
  <si>
    <t>8819371</t>
  </si>
  <si>
    <t>991000077689702656</t>
  </si>
  <si>
    <t>2269403750002656</t>
  </si>
  <si>
    <t>9780697071859</t>
  </si>
  <si>
    <t>32285000976349</t>
  </si>
  <si>
    <t>893884082</t>
  </si>
  <si>
    <t>QP303 .L87 1982</t>
  </si>
  <si>
    <t>0                      QP 0303000L  87          1982</t>
  </si>
  <si>
    <t>Kinesiology : scientific basis of human motion / Kathryn Luttgens, Katharine F. Wells.</t>
  </si>
  <si>
    <t>Luttgens, Kathryn, 1926-</t>
  </si>
  <si>
    <t>Philadelphia : Saunders College Pub., c1982.</t>
  </si>
  <si>
    <t>1993-03-02</t>
  </si>
  <si>
    <t>22424523:eng</t>
  </si>
  <si>
    <t>8034029</t>
  </si>
  <si>
    <t>991005194439702656</t>
  </si>
  <si>
    <t>2267219080002656</t>
  </si>
  <si>
    <t>9780030583582</t>
  </si>
  <si>
    <t>32285001560787</t>
  </si>
  <si>
    <t>893883484</t>
  </si>
  <si>
    <t>QP303 .R33 1989</t>
  </si>
  <si>
    <t>0                      QP 0303000R  33          1989</t>
  </si>
  <si>
    <t>Kinesiology and applied anatomy / Philip J. Rasch ; with contributions by Mark D. Grabiner, Robert J. Gregor, John Garhammer.</t>
  </si>
  <si>
    <t>Rasch, Philip J.</t>
  </si>
  <si>
    <t>Philadelphia : Lea &amp; Febiger, 1989.</t>
  </si>
  <si>
    <t>3858113052:eng</t>
  </si>
  <si>
    <t>18520637</t>
  </si>
  <si>
    <t>991001360249702656</t>
  </si>
  <si>
    <t>2268371860002656</t>
  </si>
  <si>
    <t>9780812111323</t>
  </si>
  <si>
    <t>32285000177914</t>
  </si>
  <si>
    <t>893522516</t>
  </si>
  <si>
    <t>QP303 .S237 2004</t>
  </si>
  <si>
    <t>0                      QP 0303000S  237         2004</t>
  </si>
  <si>
    <t>Biomechanics of human movement / Robert E. Schleihauf.</t>
  </si>
  <si>
    <t>Schleihauf, Robert Earl.</t>
  </si>
  <si>
    <t>Bloomington, Ind. : AuthorHouse, c2004.</t>
  </si>
  <si>
    <t>2008-03-19</t>
  </si>
  <si>
    <t>18666276:eng</t>
  </si>
  <si>
    <t>57662772</t>
  </si>
  <si>
    <t>991005190679702656</t>
  </si>
  <si>
    <t>2272524360002656</t>
  </si>
  <si>
    <t>9781418469580</t>
  </si>
  <si>
    <t>32285005397897</t>
  </si>
  <si>
    <t>893600780</t>
  </si>
  <si>
    <t>QP303 .V34 1985</t>
  </si>
  <si>
    <t>0                      QP 0303000V  34          1985</t>
  </si>
  <si>
    <t>Applied kinesiology : muscle response in diagnosis, therapy, and preventive medicine / by Tom &amp; Carole Valentine.</t>
  </si>
  <si>
    <t>Valentine, Tom.</t>
  </si>
  <si>
    <t>New York : Thorsons Publishers, c1985.</t>
  </si>
  <si>
    <t>Thorsons' inside health series</t>
  </si>
  <si>
    <t>1997-10-12</t>
  </si>
  <si>
    <t>2865440:eng</t>
  </si>
  <si>
    <t>11443829</t>
  </si>
  <si>
    <t>991000534969702656</t>
  </si>
  <si>
    <t>2267743610002656</t>
  </si>
  <si>
    <t>9780722511237</t>
  </si>
  <si>
    <t>32285001560811</t>
  </si>
  <si>
    <t>893502568</t>
  </si>
  <si>
    <t>QP303 .W36 2007</t>
  </si>
  <si>
    <t>0                      QP 0303000W  36          2007</t>
  </si>
  <si>
    <t>An introduction to biomechanics of sport and exercise / by James Watkins ; foreword by David G. Kerwin.</t>
  </si>
  <si>
    <t>Watkins, James, 1946-</t>
  </si>
  <si>
    <t>Edinburgh ; New York : Churchill Livingstone Elsevier, 2007.</t>
  </si>
  <si>
    <t>2007</t>
  </si>
  <si>
    <t>stk</t>
  </si>
  <si>
    <t>57765951:eng</t>
  </si>
  <si>
    <t>70708105</t>
  </si>
  <si>
    <t>991005143469702656</t>
  </si>
  <si>
    <t>2272547710002656</t>
  </si>
  <si>
    <t>9780443102820</t>
  </si>
  <si>
    <t>32285005369029</t>
  </si>
  <si>
    <t>893594542</t>
  </si>
  <si>
    <t>QP303 .W6213 1984</t>
  </si>
  <si>
    <t>0                      QP 0303000W  6213        1984</t>
  </si>
  <si>
    <t>Athletic ability &amp; the anatomy of motion / Rolf Wirhed ; translated by A.M. Hermansson.</t>
  </si>
  <si>
    <t>Wirhed, Rolf.</t>
  </si>
  <si>
    <t>London, England : Wolfe Medical Publications, c1984.</t>
  </si>
  <si>
    <t>2008-02-12</t>
  </si>
  <si>
    <t>1990-11-01</t>
  </si>
  <si>
    <t>47562276:eng</t>
  </si>
  <si>
    <t>11448789</t>
  </si>
  <si>
    <t>991000535799702656</t>
  </si>
  <si>
    <t>2264225130002656</t>
  </si>
  <si>
    <t>9780723408543</t>
  </si>
  <si>
    <t>32285000312537</t>
  </si>
  <si>
    <t>893614273</t>
  </si>
  <si>
    <t>QP303 .Z38 1998</t>
  </si>
  <si>
    <t>0                      QP 0303000Z  38          1998</t>
  </si>
  <si>
    <t>Kinematics of human motion / Vladimir M. Zatsiorsky.</t>
  </si>
  <si>
    <t>Zatsiorsky, Vladimir M., 1932-</t>
  </si>
  <si>
    <t>Champaign, IL : Human Kinetics, c1998.</t>
  </si>
  <si>
    <t>1998-09-23</t>
  </si>
  <si>
    <t>2278654391:eng</t>
  </si>
  <si>
    <t>36521099</t>
  </si>
  <si>
    <t>991001806749702656</t>
  </si>
  <si>
    <t>2268963750002656</t>
  </si>
  <si>
    <t>9780880116763</t>
  </si>
  <si>
    <t>32285003470290</t>
  </si>
  <si>
    <t>893408382</t>
  </si>
  <si>
    <t>QP306 .C758 1987</t>
  </si>
  <si>
    <t>0                      QP 0306000C  758         1987</t>
  </si>
  <si>
    <t>The human vocal tract : anatomy, function, development, and evolution / by Edmund S. Crelin.</t>
  </si>
  <si>
    <t>Crelin, Edmund S., 1923-</t>
  </si>
  <si>
    <t>New York : Vantage Press, c1987.</t>
  </si>
  <si>
    <t>2000-02-26</t>
  </si>
  <si>
    <t>1991-05-06</t>
  </si>
  <si>
    <t>13382688:eng</t>
  </si>
  <si>
    <t>16964653</t>
  </si>
  <si>
    <t>991001786219702656</t>
  </si>
  <si>
    <t>2268399100002656</t>
  </si>
  <si>
    <t>9780533069675</t>
  </si>
  <si>
    <t>32285000538917</t>
  </si>
  <si>
    <t>893516495</t>
  </si>
  <si>
    <t>QP306 .D45 1973</t>
  </si>
  <si>
    <t>0                      QP 0306000D  45          1973</t>
  </si>
  <si>
    <t>The speech chain : the physics and biology of spoken language/ [by] Peter B. Denes [and] Elliot N. Pinson.</t>
  </si>
  <si>
    <t>Denes, Peter B.</t>
  </si>
  <si>
    <t>Garden City, N.Y. : Anchor Press, 1973.</t>
  </si>
  <si>
    <t>Science study series</t>
  </si>
  <si>
    <t>1996-03-27</t>
  </si>
  <si>
    <t>254364:eng</t>
  </si>
  <si>
    <t>581035</t>
  </si>
  <si>
    <t>991003016129702656</t>
  </si>
  <si>
    <t>2271633930002656</t>
  </si>
  <si>
    <t>9780385042376</t>
  </si>
  <si>
    <t>32285000115229</t>
  </si>
  <si>
    <t>893717222</t>
  </si>
  <si>
    <t>QP306 .F6 1953</t>
  </si>
  <si>
    <t>0                      QP 0306000F  6           1953</t>
  </si>
  <si>
    <t>Speech and hearing in communication.</t>
  </si>
  <si>
    <t>Fletcher, Harvey, 1884-1981.</t>
  </si>
  <si>
    <t>New York : Van Nostrand, [1953]</t>
  </si>
  <si>
    <t>1953</t>
  </si>
  <si>
    <t>[2d ed.]</t>
  </si>
  <si>
    <t>The Bell Telephone Laboratories series</t>
  </si>
  <si>
    <t>2000-02-15</t>
  </si>
  <si>
    <t>1992-01-02</t>
  </si>
  <si>
    <t>1644290:eng</t>
  </si>
  <si>
    <t>563431</t>
  </si>
  <si>
    <t>991002995389702656</t>
  </si>
  <si>
    <t>2255747830002656</t>
  </si>
  <si>
    <t>32285000880442</t>
  </si>
  <si>
    <t>893717193</t>
  </si>
  <si>
    <t>QP306 .L33 1962</t>
  </si>
  <si>
    <t>0                      QP 0306000L  33          1962</t>
  </si>
  <si>
    <t>Elements of acoustic phonetics.</t>
  </si>
  <si>
    <t>Ladefoged, Peter.</t>
  </si>
  <si>
    <t>[Chicago] University of Chicago Press [1962]</t>
  </si>
  <si>
    <t>2002-05-16</t>
  </si>
  <si>
    <t>1371464:eng</t>
  </si>
  <si>
    <t>287831</t>
  </si>
  <si>
    <t>991002210569702656</t>
  </si>
  <si>
    <t>2263570150002656</t>
  </si>
  <si>
    <t>32285003013561</t>
  </si>
  <si>
    <t>893238776</t>
  </si>
  <si>
    <t>QP306 .Z4</t>
  </si>
  <si>
    <t>0                      QP 0306000Z  4</t>
  </si>
  <si>
    <t>Speech and hearing science; anatomy and physiology [by] Willard R. Zemlin.</t>
  </si>
  <si>
    <t>Zemlin, Willard R.</t>
  </si>
  <si>
    <t>Englewood Cliffs, N.J., Prentice-Hall [1968]</t>
  </si>
  <si>
    <t>1554054:eng</t>
  </si>
  <si>
    <t>435859</t>
  </si>
  <si>
    <t>991005264599702656</t>
  </si>
  <si>
    <t>2269258100002656</t>
  </si>
  <si>
    <t>32285003013611</t>
  </si>
  <si>
    <t>893332686</t>
  </si>
  <si>
    <t>QP309 .G7313 1997</t>
  </si>
  <si>
    <t>0                      QP 0309000G  7313        1997</t>
  </si>
  <si>
    <t>Fitting the task to the human : a textbook of occupational ergonomics / by K.H.E. Kroemer and E. Grandjean.</t>
  </si>
  <si>
    <t>Kroemer, K. H. E., 1933-</t>
  </si>
  <si>
    <t>London ; Bristol, PA : Taylor &amp; Francis, c1997.</t>
  </si>
  <si>
    <t>5th ed.</t>
  </si>
  <si>
    <t>2008-03-10</t>
  </si>
  <si>
    <t>2000-03-09</t>
  </si>
  <si>
    <t>4803442754:eng</t>
  </si>
  <si>
    <t>37709399</t>
  </si>
  <si>
    <t>991002860899702656</t>
  </si>
  <si>
    <t>2264992100002656</t>
  </si>
  <si>
    <t>9780748406647</t>
  </si>
  <si>
    <t>32285003668059</t>
  </si>
  <si>
    <t>893899334</t>
  </si>
  <si>
    <t>QP31 .L35</t>
  </si>
  <si>
    <t>0                      QP 0031000L  35</t>
  </si>
  <si>
    <t>Introduction to animal physiology. --</t>
  </si>
  <si>
    <t>Larimer, James.</t>
  </si>
  <si>
    <t>Dubuque, Iowa, W. C. Brown Co. [1968]</t>
  </si>
  <si>
    <t>Concepts of biology series</t>
  </si>
  <si>
    <t>1996-02-22</t>
  </si>
  <si>
    <t>1993-02-24</t>
  </si>
  <si>
    <t>3373126409:eng</t>
  </si>
  <si>
    <t>440983</t>
  </si>
  <si>
    <t>991002783379702656</t>
  </si>
  <si>
    <t>2257055270002656</t>
  </si>
  <si>
    <t>32285001548857</t>
  </si>
  <si>
    <t>893710674</t>
  </si>
  <si>
    <t>QP31 .P68 1961</t>
  </si>
  <si>
    <t>0                      QP 0031000P  68          1961</t>
  </si>
  <si>
    <t>Comparative animal physiology / [by] C. Ladd Prosser [and] Frank A. Brown, Jr.</t>
  </si>
  <si>
    <t>Prosser, C. Ladd (Clifford Ladd), 1907-2002.</t>
  </si>
  <si>
    <t>Philadelphia : Saunders, 1961.</t>
  </si>
  <si>
    <t>1961</t>
  </si>
  <si>
    <t>4915252924:eng</t>
  </si>
  <si>
    <t>557029</t>
  </si>
  <si>
    <t>991005254219702656</t>
  </si>
  <si>
    <t>2261280720002656</t>
  </si>
  <si>
    <t>32285001853190</t>
  </si>
  <si>
    <t>893889928</t>
  </si>
  <si>
    <t>QP31.2 .M37 1980</t>
  </si>
  <si>
    <t>0                      QP 0031200M  37          1980</t>
  </si>
  <si>
    <t>Physiology of mammals and other vertebrates / P.T. Marshall, G.M. Hughes.</t>
  </si>
  <si>
    <t>Marshall, P. T.</t>
  </si>
  <si>
    <t>Cambridge [Eng.] ; New York : Cambridge University Press, 1980.</t>
  </si>
  <si>
    <t>1997-02-24</t>
  </si>
  <si>
    <t>4920887665:eng</t>
  </si>
  <si>
    <t>5889616</t>
  </si>
  <si>
    <t>991004893609702656</t>
  </si>
  <si>
    <t>2271425240002656</t>
  </si>
  <si>
    <t>9780521226332</t>
  </si>
  <si>
    <t>32285001548865</t>
  </si>
  <si>
    <t>893883075</t>
  </si>
  <si>
    <t>QP31.2 .P78 1973</t>
  </si>
  <si>
    <t>0                      QP 0031200P  78          1973</t>
  </si>
  <si>
    <t>Comparative animal physiology / edited by C. Ladd Prosser.</t>
  </si>
  <si>
    <t>Philadelphia : Saunders, 1973.</t>
  </si>
  <si>
    <t>1994-03-30</t>
  </si>
  <si>
    <t>721059</t>
  </si>
  <si>
    <t>991003195679702656</t>
  </si>
  <si>
    <t>2259050520002656</t>
  </si>
  <si>
    <t>9780721673813</t>
  </si>
  <si>
    <t>32285001872869</t>
  </si>
  <si>
    <t>893535376</t>
  </si>
  <si>
    <t>QP31.2 .R36 1997</t>
  </si>
  <si>
    <t>0                      QP 0031200R  36          1997</t>
  </si>
  <si>
    <t>Eckert animal physiology : mechanisms and adaptations / David Randall, Warren Burggren, Kathleen French ; with contributions by Russell Fernald.</t>
  </si>
  <si>
    <t>Randall, David J., 1938-</t>
  </si>
  <si>
    <t>New York : W.H. Freeman and Co., c1997.</t>
  </si>
  <si>
    <t>2008-07-24</t>
  </si>
  <si>
    <t>1997-04-17</t>
  </si>
  <si>
    <t>3901380969:eng</t>
  </si>
  <si>
    <t>35086180</t>
  </si>
  <si>
    <t>991002685669702656</t>
  </si>
  <si>
    <t>2255522340002656</t>
  </si>
  <si>
    <t>9780716724148</t>
  </si>
  <si>
    <t>32285002498029</t>
  </si>
  <si>
    <t>893804889</t>
  </si>
  <si>
    <t>QP31.2 .S36 1970</t>
  </si>
  <si>
    <t>0                      QP 0031200S  36          1970</t>
  </si>
  <si>
    <t>Animal physiology / [by] Knut Schmidt-Nielsen.</t>
  </si>
  <si>
    <t>Schmidt-Nielsen, Knut, 1915-2007.</t>
  </si>
  <si>
    <t>Englewood Cliffs, N.J. : Prentice-Hall, [1970]</t>
  </si>
  <si>
    <t>Prentice-Hall foundations of modern biology series</t>
  </si>
  <si>
    <t>1997-03-22</t>
  </si>
  <si>
    <t>2072812:eng</t>
  </si>
  <si>
    <t>93217</t>
  </si>
  <si>
    <t>991000556699702656</t>
  </si>
  <si>
    <t>2262996540002656</t>
  </si>
  <si>
    <t>9780130373908</t>
  </si>
  <si>
    <t>32285001852853</t>
  </si>
  <si>
    <t>893683532</t>
  </si>
  <si>
    <t>QP31.2 .S363</t>
  </si>
  <si>
    <t>0                      QP 0031200S  363</t>
  </si>
  <si>
    <t>Animal physiology : adaptation and environment / Knut Schmidt-Nielsen.</t>
  </si>
  <si>
    <t>London ; New York : Cambridge University Press, 1975.</t>
  </si>
  <si>
    <t>1147197</t>
  </si>
  <si>
    <t>991003571849702656</t>
  </si>
  <si>
    <t>2262358530002656</t>
  </si>
  <si>
    <t>9780521205511</t>
  </si>
  <si>
    <t>32285001872851</t>
  </si>
  <si>
    <t>893252504</t>
  </si>
  <si>
    <t>QP31.2 .S363 1979</t>
  </si>
  <si>
    <t>0                      QP 0031200S  363         1979</t>
  </si>
  <si>
    <t>Animal physiology : adaptation and environment / Knut Schmidt-Nielsen. --</t>
  </si>
  <si>
    <t>Cambridge [Eng.] ; New York : Cambridge University Press, 1979.</t>
  </si>
  <si>
    <t>2d ed. --</t>
  </si>
  <si>
    <t>1996-02-25</t>
  </si>
  <si>
    <t>4003687</t>
  </si>
  <si>
    <t>991004562599702656</t>
  </si>
  <si>
    <t>2267737210002656</t>
  </si>
  <si>
    <t>9780521221788</t>
  </si>
  <si>
    <t>32285001548873</t>
  </si>
  <si>
    <t>893325517</t>
  </si>
  <si>
    <t>QP31.2 .W55 1979</t>
  </si>
  <si>
    <t>0                      QP 0031200W  55          1979</t>
  </si>
  <si>
    <t>Principles of animal physiology / James A. Wilson.</t>
  </si>
  <si>
    <t>Wilson, James A. (James Albert), 1929-</t>
  </si>
  <si>
    <t>New York : Macmillan, c1979.</t>
  </si>
  <si>
    <t>1997-05-06</t>
  </si>
  <si>
    <t>3887393268:eng</t>
  </si>
  <si>
    <t>3516543</t>
  </si>
  <si>
    <t>991004452849702656</t>
  </si>
  <si>
    <t>2272487800002656</t>
  </si>
  <si>
    <t>9780024283603</t>
  </si>
  <si>
    <t>32285001548899</t>
  </si>
  <si>
    <t>893895024</t>
  </si>
  <si>
    <t>QP31.2 .W65 1970</t>
  </si>
  <si>
    <t>0                      QP 0031200W  65          1970</t>
  </si>
  <si>
    <t>Principles of animal physiology / [by] Dennis W. Wood.</t>
  </si>
  <si>
    <t>Wood, Dennis W. (Dennis William)</t>
  </si>
  <si>
    <t>New York : American Elsevier Pub. Co., [1970, c1968]</t>
  </si>
  <si>
    <t>Contemporary biology</t>
  </si>
  <si>
    <t>1188290:eng</t>
  </si>
  <si>
    <t>106076</t>
  </si>
  <si>
    <t>991000631619702656</t>
  </si>
  <si>
    <t>2263764330002656</t>
  </si>
  <si>
    <t>9780444196750</t>
  </si>
  <si>
    <t>32285002010212</t>
  </si>
  <si>
    <t>893626378</t>
  </si>
  <si>
    <t>QP310.5 .I53 1986</t>
  </si>
  <si>
    <t>0                      QP 0310500I  53          1986</t>
  </si>
  <si>
    <t>Inactivity : physiological effects / edited by Harold Sandler, Joan Vernikos.</t>
  </si>
  <si>
    <t>2001-10-24</t>
  </si>
  <si>
    <t>1993-08-12</t>
  </si>
  <si>
    <t>889416113:eng</t>
  </si>
  <si>
    <t>13582524</t>
  </si>
  <si>
    <t>991000851159702656</t>
  </si>
  <si>
    <t>2259168250002656</t>
  </si>
  <si>
    <t>9780126185102</t>
  </si>
  <si>
    <t>32285001753994</t>
  </si>
  <si>
    <t>893419825</t>
  </si>
  <si>
    <t>QP310.D35 F58 1996</t>
  </si>
  <si>
    <t>0                      QP 0310000D  35                 F  58          1996</t>
  </si>
  <si>
    <t>Dance kinesiology / Sally Sevey Fitt.</t>
  </si>
  <si>
    <t>Fitt, Sally Sevey.</t>
  </si>
  <si>
    <t>New York : Schirmer Books ; London : Prentice Hall International, c1996.</t>
  </si>
  <si>
    <t>2005-11-07</t>
  </si>
  <si>
    <t>2002-12-05</t>
  </si>
  <si>
    <t>12215041:eng</t>
  </si>
  <si>
    <t>35103451</t>
  </si>
  <si>
    <t>991003956729702656</t>
  </si>
  <si>
    <t>2266875400002656</t>
  </si>
  <si>
    <t>9780028645070</t>
  </si>
  <si>
    <t>32285004667936</t>
  </si>
  <si>
    <t>893794311</t>
  </si>
  <si>
    <t>QP310.D35 L39 1984</t>
  </si>
  <si>
    <t>0                      QP 0310000D  35                 L  39          1984</t>
  </si>
  <si>
    <t>The physics of dance / Kenneth Laws ; photographs by Martha Swope.</t>
  </si>
  <si>
    <t>Laws, Kenneth.</t>
  </si>
  <si>
    <t>New York : Schirmer Books ; London : Collier Macmillan, c1984.</t>
  </si>
  <si>
    <t>2002-10-11</t>
  </si>
  <si>
    <t>3144492931:eng</t>
  </si>
  <si>
    <t>10301975</t>
  </si>
  <si>
    <t>991000351019702656</t>
  </si>
  <si>
    <t>2272035900002656</t>
  </si>
  <si>
    <t>9780028720302</t>
  </si>
  <si>
    <t>32285001560837</t>
  </si>
  <si>
    <t>893327219</t>
  </si>
  <si>
    <t>QP310.F5 A54 2002</t>
  </si>
  <si>
    <t>0                      QP 0310000F  5                  A  54          2002</t>
  </si>
  <si>
    <t>Nature's flyers : birds, insects, and the biomechanics of flight / David E. Alexander ; foreword by Steven Vogel.</t>
  </si>
  <si>
    <t>Alexander, David (David E.)</t>
  </si>
  <si>
    <t>Baltimore : Johns Hopkins University Press, c2002.</t>
  </si>
  <si>
    <t>2002</t>
  </si>
  <si>
    <t>2008-02-14</t>
  </si>
  <si>
    <t>2003-06-16</t>
  </si>
  <si>
    <t>801390341:eng</t>
  </si>
  <si>
    <t>45890321</t>
  </si>
  <si>
    <t>991004051889702656</t>
  </si>
  <si>
    <t>2265085480002656</t>
  </si>
  <si>
    <t>9780801867569</t>
  </si>
  <si>
    <t>32285004752274</t>
  </si>
  <si>
    <t>893435833</t>
  </si>
  <si>
    <t>QP310.F5 N67 1990</t>
  </si>
  <si>
    <t>0                      QP 0310000F  5                  N  67          1990</t>
  </si>
  <si>
    <t>Vertebrate flight : mechanics, physiology, morphology, ecology and evolution / U.M. Norberg.</t>
  </si>
  <si>
    <t>Norberg, U. M. (Ulla M.)</t>
  </si>
  <si>
    <t>Berlin ; New York : Springer-Verlag, c1990.</t>
  </si>
  <si>
    <t>Zoophysiology ; v. 27</t>
  </si>
  <si>
    <t>1992-06-22</t>
  </si>
  <si>
    <t>808414065:eng</t>
  </si>
  <si>
    <t>21075551</t>
  </si>
  <si>
    <t>991001647539702656</t>
  </si>
  <si>
    <t>2269327890002656</t>
  </si>
  <si>
    <t>9783540513704</t>
  </si>
  <si>
    <t>32285001129864</t>
  </si>
  <si>
    <t>893596591</t>
  </si>
  <si>
    <t>QP310.F5 W37 1984</t>
  </si>
  <si>
    <t>0                      QP 0310000F  5                  W  37          1984</t>
  </si>
  <si>
    <t>Biophysical aerodynamics and the natural environment / A.J. Ward-Smith.</t>
  </si>
  <si>
    <t>Ward-Smith, A. J. (Alfred John)</t>
  </si>
  <si>
    <t>Chichester [West Sussex] ; New York : Wiley, c1984.</t>
  </si>
  <si>
    <t>2008-02-08</t>
  </si>
  <si>
    <t>3351787:eng</t>
  </si>
  <si>
    <t>10824862</t>
  </si>
  <si>
    <t>991000441379702656</t>
  </si>
  <si>
    <t>2264550130002656</t>
  </si>
  <si>
    <t>9780471904366</t>
  </si>
  <si>
    <t>32285001560845</t>
  </si>
  <si>
    <t>893534158</t>
  </si>
  <si>
    <t>QP310.S77 A45 1988</t>
  </si>
  <si>
    <t>0                      QP 0310000S  77                 A  45          1988</t>
  </si>
  <si>
    <t>Science of stretching / Michael J. Alter.</t>
  </si>
  <si>
    <t>Alter, Michael J., 1952-</t>
  </si>
  <si>
    <t>2001-04-18</t>
  </si>
  <si>
    <t>1990-01-30</t>
  </si>
  <si>
    <t>9410988:eng</t>
  </si>
  <si>
    <t>15489937</t>
  </si>
  <si>
    <t>991001029929702656</t>
  </si>
  <si>
    <t>2272581850002656</t>
  </si>
  <si>
    <t>9780873220903</t>
  </si>
  <si>
    <t>32285000036102</t>
  </si>
  <si>
    <t>893231643</t>
  </si>
  <si>
    <t>QP310.S77 A45 1996</t>
  </si>
  <si>
    <t>0                      QP 0310000S  77                 A  45          1996</t>
  </si>
  <si>
    <t>Science of flexibility / Michael J. Alter.</t>
  </si>
  <si>
    <t>Champaign, IL : Human Kinetics, c1996.</t>
  </si>
  <si>
    <t>2000-09-20</t>
  </si>
  <si>
    <t>1998-03-12</t>
  </si>
  <si>
    <t>1037904:eng</t>
  </si>
  <si>
    <t>33862033</t>
  </si>
  <si>
    <t>991002582479702656</t>
  </si>
  <si>
    <t>2266457610002656</t>
  </si>
  <si>
    <t>9780873229777</t>
  </si>
  <si>
    <t>32285003357703</t>
  </si>
  <si>
    <t>893798750</t>
  </si>
  <si>
    <t>QP321 .C35</t>
  </si>
  <si>
    <t>0                      QP 0321000C  35</t>
  </si>
  <si>
    <t>Muscle physiology / [by] Francis D. Carlson [and] Douglas R. Wilkie.</t>
  </si>
  <si>
    <t>Carlson, Francis D.</t>
  </si>
  <si>
    <t>Englewood Cliffs, N.J. : Prentice-Hall, [1974]</t>
  </si>
  <si>
    <t>Prentice-Hall biological science series</t>
  </si>
  <si>
    <t>1723907:eng</t>
  </si>
  <si>
    <t>724452</t>
  </si>
  <si>
    <t>991003200739702656</t>
  </si>
  <si>
    <t>2254850000002656</t>
  </si>
  <si>
    <t>9780136069058</t>
  </si>
  <si>
    <t>32285001560860</t>
  </si>
  <si>
    <t>893505313</t>
  </si>
  <si>
    <t>QP321 .C365 v...</t>
  </si>
  <si>
    <t>0                      QP 0321000C  365                                                     v...</t>
  </si>
  <si>
    <t>Cell and muscle motility / edited by Robert M. Dowben and Jerry W. Shay.</t>
  </si>
  <si>
    <t>New York : Plenum Press, c1981-</t>
  </si>
  <si>
    <t>2008-02-15</t>
  </si>
  <si>
    <t>10075953343:eng</t>
  </si>
  <si>
    <t>7733574</t>
  </si>
  <si>
    <t>991005152059702656</t>
  </si>
  <si>
    <t>2257010840002656</t>
  </si>
  <si>
    <t>9780306407031</t>
  </si>
  <si>
    <t>32285001560878</t>
  </si>
  <si>
    <t>893412401</t>
  </si>
  <si>
    <t>QP321 .E94 1995</t>
  </si>
  <si>
    <t>0                      QP 0321000E  94          1995</t>
  </si>
  <si>
    <t>Exercise and intracellular regulation of cardiac and skeletal muscle / Michael I. Kalinski ... [et al.].</t>
  </si>
  <si>
    <t>HK sport science monograph series, 0894-4229 ; v. 7</t>
  </si>
  <si>
    <t>1995-10-13</t>
  </si>
  <si>
    <t>32895835:eng</t>
  </si>
  <si>
    <t>30971976</t>
  </si>
  <si>
    <t>991002382289702656</t>
  </si>
  <si>
    <t>2260879440002656</t>
  </si>
  <si>
    <t>9780873227254</t>
  </si>
  <si>
    <t>32285001415735</t>
  </si>
  <si>
    <t>893798517</t>
  </si>
  <si>
    <t>QP321 .H668 1994</t>
  </si>
  <si>
    <t>0                      QP 0321000H  668         1994</t>
  </si>
  <si>
    <t>Muscles as molecular and metabolic machines / by Peter W. Hochachka.</t>
  </si>
  <si>
    <t>Boca Raton : CRC Press, c1994.</t>
  </si>
  <si>
    <t>1995-11-27</t>
  </si>
  <si>
    <t>31828981:eng</t>
  </si>
  <si>
    <t>29908628</t>
  </si>
  <si>
    <t>991001798079702656</t>
  </si>
  <si>
    <t>2261458570002656</t>
  </si>
  <si>
    <t>9780849324680</t>
  </si>
  <si>
    <t>32285002106515</t>
  </si>
  <si>
    <t>893690926</t>
  </si>
  <si>
    <t>QP321 .H78 1983</t>
  </si>
  <si>
    <t>0                      QP 0321000H  78          1983</t>
  </si>
  <si>
    <t>Muscles and their neural control / Graham Hoyle.</t>
  </si>
  <si>
    <t>Hoyle, Graham.</t>
  </si>
  <si>
    <t>New York : Wiley, 1983.</t>
  </si>
  <si>
    <t>2008-02-18</t>
  </si>
  <si>
    <t>43002858:eng</t>
  </si>
  <si>
    <t>8590488</t>
  </si>
  <si>
    <t>991000028329702656</t>
  </si>
  <si>
    <t>2272053530002656</t>
  </si>
  <si>
    <t>9780471877097</t>
  </si>
  <si>
    <t>32285001560902</t>
  </si>
  <si>
    <t>893701770</t>
  </si>
  <si>
    <t>QP321 .H86 1986</t>
  </si>
  <si>
    <t>0                      QP 0321000H  86          1986</t>
  </si>
  <si>
    <t>Human muscle power / edited by Norman L. Jones, Neil McCartney, and Alan J. McComas.</t>
  </si>
  <si>
    <t>Champaign, IL : Human Kinetics Publishers, c1986.</t>
  </si>
  <si>
    <t>353641073:eng</t>
  </si>
  <si>
    <t>13063099</t>
  </si>
  <si>
    <t>991000774829702656</t>
  </si>
  <si>
    <t>2257171110002656</t>
  </si>
  <si>
    <t>9780873220040</t>
  </si>
  <si>
    <t>32285001560910</t>
  </si>
  <si>
    <t>893771952</t>
  </si>
  <si>
    <t>QP321 .L62 1992</t>
  </si>
  <si>
    <t>0                      QP 0321000L  62          1992</t>
  </si>
  <si>
    <t>Skeletal muscle structure and function : implications for rehabilitation and sports medicine / Richard L. Lieber.</t>
  </si>
  <si>
    <t>Lieber, Richard L.</t>
  </si>
  <si>
    <t>Baltimore : Williams &amp; Wilkins, c1992.</t>
  </si>
  <si>
    <t>1997-02-06</t>
  </si>
  <si>
    <t>325094780:eng</t>
  </si>
  <si>
    <t>24469256</t>
  </si>
  <si>
    <t>991001937639702656</t>
  </si>
  <si>
    <t>2272347500002656</t>
  </si>
  <si>
    <t>9780683050264</t>
  </si>
  <si>
    <t>32285002414422</t>
  </si>
  <si>
    <t>893340855</t>
  </si>
  <si>
    <t>QP321 .M3376 1996</t>
  </si>
  <si>
    <t>0                      QP 0321000M  3376        1996</t>
  </si>
  <si>
    <t>Skeletal muscle : form and function / Alan J. McComas.</t>
  </si>
  <si>
    <t>McComas, Alan J.</t>
  </si>
  <si>
    <t>3373127769:eng</t>
  </si>
  <si>
    <t>32859687</t>
  </si>
  <si>
    <t>991002528799702656</t>
  </si>
  <si>
    <t>2263017670002656</t>
  </si>
  <si>
    <t>9780873227803</t>
  </si>
  <si>
    <t>32285003357752</t>
  </si>
  <si>
    <t>893504498</t>
  </si>
  <si>
    <t>QP321 .M338 1984</t>
  </si>
  <si>
    <t>0                      QP 0321000M  338         1984</t>
  </si>
  <si>
    <t>Muscles, reflexes, and locomotion / Thomas A. McMahon.</t>
  </si>
  <si>
    <t>McMahon, Thomas A., 1943-1999.</t>
  </si>
  <si>
    <t>Princeton, N.J. : Princeton University Press, c1984.</t>
  </si>
  <si>
    <t>312234146:eng</t>
  </si>
  <si>
    <t>9084571</t>
  </si>
  <si>
    <t>991000127429702656</t>
  </si>
  <si>
    <t>2256488540002656</t>
  </si>
  <si>
    <t>9780691023762</t>
  </si>
  <si>
    <t>32285001560944</t>
  </si>
  <si>
    <t>893230891</t>
  </si>
  <si>
    <t>QP321 .S66 1970b</t>
  </si>
  <si>
    <t>0                      QP 0321000S  66          1970b</t>
  </si>
  <si>
    <t>Smooth muscle / edited by Edith Bülbring [and others]</t>
  </si>
  <si>
    <t>Baltimore : Williams &amp; Wilkins, 1970.</t>
  </si>
  <si>
    <t>1993-04-27</t>
  </si>
  <si>
    <t>53934094:eng</t>
  </si>
  <si>
    <t>92541</t>
  </si>
  <si>
    <t>991005265749702656</t>
  </si>
  <si>
    <t>2262658480002656</t>
  </si>
  <si>
    <t>32285001627388</t>
  </si>
  <si>
    <t>893713764</t>
  </si>
  <si>
    <t>QP321 .S936 1974</t>
  </si>
  <si>
    <t>0                      QP 0321000S  936         1974</t>
  </si>
  <si>
    <t>Physiology of smooth muscle / edited by Edith Bülbring, M. F. Shuba.</t>
  </si>
  <si>
    <t>Symposium on the Physiology of Smooth Muscles (1974 : Kiev, Ukraine)</t>
  </si>
  <si>
    <t>New York : Raven Press, c1976.</t>
  </si>
  <si>
    <t>1993-05-05</t>
  </si>
  <si>
    <t>364437941:eng</t>
  </si>
  <si>
    <t>2188405</t>
  </si>
  <si>
    <t>991004040989702656</t>
  </si>
  <si>
    <t>2266701680002656</t>
  </si>
  <si>
    <t>9780890040515</t>
  </si>
  <si>
    <t>32285001650117</t>
  </si>
  <si>
    <t>893411037</t>
  </si>
  <si>
    <t>QP321 .W43 1995</t>
  </si>
  <si>
    <t>0                      QP 0321000W  43          1995</t>
  </si>
  <si>
    <t>The blood lactate response to exercise / Arthur Weltman.</t>
  </si>
  <si>
    <t>Weltman, Arthur.</t>
  </si>
  <si>
    <t>Champaign, IL Human Kinetics, c1995.</t>
  </si>
  <si>
    <t>Current issues in exercise science, 1055-1352 ; monograph no. 4</t>
  </si>
  <si>
    <t>1995-10-19</t>
  </si>
  <si>
    <t>32837498:eng</t>
  </si>
  <si>
    <t>30548074</t>
  </si>
  <si>
    <t>991002347179702656</t>
  </si>
  <si>
    <t>2262027780002656</t>
  </si>
  <si>
    <t>9780873227698</t>
  </si>
  <si>
    <t>32285002068814</t>
  </si>
  <si>
    <t>893341327</t>
  </si>
  <si>
    <t>QP33 .G65 1982</t>
  </si>
  <si>
    <t>0                      QP 0033000G  65          1982</t>
  </si>
  <si>
    <t>Animal physiology : principles and adaptations / Malcolm S. Gordon, in collaboration with George A. Bartholomew ... [et al.].</t>
  </si>
  <si>
    <t>Gordon, Malcolm S.</t>
  </si>
  <si>
    <t>New York : Macmillan ; London : Collier Macmillan, c1982.</t>
  </si>
  <si>
    <t>2009-02-28</t>
  </si>
  <si>
    <t>364194894:eng</t>
  </si>
  <si>
    <t>7555741</t>
  </si>
  <si>
    <t>991005128939702656</t>
  </si>
  <si>
    <t>2266216720002656</t>
  </si>
  <si>
    <t>9780023453205</t>
  </si>
  <si>
    <t>32285001471217</t>
  </si>
  <si>
    <t>893795654</t>
  </si>
  <si>
    <t>QP33 .H6 1983</t>
  </si>
  <si>
    <t>0                      QP 0033000H  6           1983</t>
  </si>
  <si>
    <t>General and comparative physiology / William S. Hoar.</t>
  </si>
  <si>
    <t>Hoar, William Stewart, 1913-2006.</t>
  </si>
  <si>
    <t>Englewood Cliffs, N.J. : Prentice-Hall, c1983.</t>
  </si>
  <si>
    <t>2004-04-15</t>
  </si>
  <si>
    <t>1322166:eng</t>
  </si>
  <si>
    <t>9111125</t>
  </si>
  <si>
    <t>991000130599702656</t>
  </si>
  <si>
    <t>2266593470002656</t>
  </si>
  <si>
    <t>9780133493085</t>
  </si>
  <si>
    <t>32285000955855</t>
  </si>
  <si>
    <t>893689457</t>
  </si>
  <si>
    <t>QP33 .W53 1999</t>
  </si>
  <si>
    <t>0                      QP 0033000W  53          1999</t>
  </si>
  <si>
    <t>Why geese don't get obese (and we do) : how evolution's strategies for survival affect our everyday lives.</t>
  </si>
  <si>
    <t>Widmaier, Eric P.</t>
  </si>
  <si>
    <t>New York : W.H. Freeman ; Basingstoke : Macmillan, 1999.</t>
  </si>
  <si>
    <t>2001-12-05</t>
  </si>
  <si>
    <t>2001-12-04</t>
  </si>
  <si>
    <t>836988389:eng</t>
  </si>
  <si>
    <t>43906425</t>
  </si>
  <si>
    <t>991003667749702656</t>
  </si>
  <si>
    <t>2267561210002656</t>
  </si>
  <si>
    <t>9780716736493</t>
  </si>
  <si>
    <t>32285004425673</t>
  </si>
  <si>
    <t>893592747</t>
  </si>
  <si>
    <t>QP33 .W58 1992</t>
  </si>
  <si>
    <t>0                      QP 0033000W  58          1992</t>
  </si>
  <si>
    <t>Comparative animal physiology / Philip C. Withers.</t>
  </si>
  <si>
    <t>Withers, Philip C. (Philip Carew)</t>
  </si>
  <si>
    <t>Fort Worth : Saunders College Pub., c1992.</t>
  </si>
  <si>
    <t>2001-02-16</t>
  </si>
  <si>
    <t>3901388235:eng</t>
  </si>
  <si>
    <t>25820894</t>
  </si>
  <si>
    <t>991002028389702656</t>
  </si>
  <si>
    <t>2255871480002656</t>
  </si>
  <si>
    <t>9780030128479</t>
  </si>
  <si>
    <t>32285001844686</t>
  </si>
  <si>
    <t>893596951</t>
  </si>
  <si>
    <t>QP33.5 .C36</t>
  </si>
  <si>
    <t>0                      QP 0033500C  36</t>
  </si>
  <si>
    <t>Brain and behaviour : psychobiology of everyday life / Frank Campbell and George Singer.</t>
  </si>
  <si>
    <t>Campbell, Frank.</t>
  </si>
  <si>
    <t>Rushcutter Bay, Australia : Pergamon Press, 1979.</t>
  </si>
  <si>
    <t xml:space="preserve">at </t>
  </si>
  <si>
    <t>1999-10-23</t>
  </si>
  <si>
    <t>865278757:eng</t>
  </si>
  <si>
    <t>28999374</t>
  </si>
  <si>
    <t>991005014989702656</t>
  </si>
  <si>
    <t>2255520780002656</t>
  </si>
  <si>
    <t>9780080247885</t>
  </si>
  <si>
    <t>32285001548915</t>
  </si>
  <si>
    <t>893594349</t>
  </si>
  <si>
    <t>QP33.5 .C66 1987</t>
  </si>
  <si>
    <t>0                      QP 0033500C  66          1987</t>
  </si>
  <si>
    <t>Comparative physiology : life in water and on land / edited by Pierre Dejours ... [et al.].</t>
  </si>
  <si>
    <t>Padova : Liviana Press ; Berlin ; New York : Springer-Verlag, c1987.</t>
  </si>
  <si>
    <t xml:space="preserve">it </t>
  </si>
  <si>
    <t>FIDIA research series ; v. 9</t>
  </si>
  <si>
    <t>1998-02-09</t>
  </si>
  <si>
    <t>365119564:eng</t>
  </si>
  <si>
    <t>18781452</t>
  </si>
  <si>
    <t>991001182639702656</t>
  </si>
  <si>
    <t>2260893230002656</t>
  </si>
  <si>
    <t>9788876754289</t>
  </si>
  <si>
    <t>32285001548923</t>
  </si>
  <si>
    <t>893778621</t>
  </si>
  <si>
    <t>QP33.5 .H49 1996</t>
  </si>
  <si>
    <t>0                      QP 0033500H  49          1996</t>
  </si>
  <si>
    <t>Applied body composition assessment / Vivian H. Heyward, Lisa M. Stolarczyk.</t>
  </si>
  <si>
    <t>Heyward, Vivian H.</t>
  </si>
  <si>
    <t>2004-03-18</t>
  </si>
  <si>
    <t>17691:eng</t>
  </si>
  <si>
    <t>32855043</t>
  </si>
  <si>
    <t>991002527019702656</t>
  </si>
  <si>
    <t>2269793710002656</t>
  </si>
  <si>
    <t>9780873226530</t>
  </si>
  <si>
    <t>32285002320165</t>
  </si>
  <si>
    <t>893892668</t>
  </si>
  <si>
    <t>QP331 .H9</t>
  </si>
  <si>
    <t>0                      QP 0331000H  9</t>
  </si>
  <si>
    <t>The neuron. Edited by Holger Hydén.</t>
  </si>
  <si>
    <t>Hydén, Holger, 1917-</t>
  </si>
  <si>
    <t>Amsterdam, New York [etc.] Elsevier Pub. Co., 1967.</t>
  </si>
  <si>
    <t>2007-03-20</t>
  </si>
  <si>
    <t>1854286:eng</t>
  </si>
  <si>
    <t>914289</t>
  </si>
  <si>
    <t>991003377539702656</t>
  </si>
  <si>
    <t>2262795520002656</t>
  </si>
  <si>
    <t>32285003013702</t>
  </si>
  <si>
    <t>893246300</t>
  </si>
  <si>
    <t>QP334 .W53 1998</t>
  </si>
  <si>
    <t>0                      QP 0334000W  53          1998</t>
  </si>
  <si>
    <t>The hand : how its use shapes the brain, language, and human culture / Frank R. Wilson.</t>
  </si>
  <si>
    <t>Wilson, Frank R.</t>
  </si>
  <si>
    <t>New York : Pantheon Books, c1998.</t>
  </si>
  <si>
    <t>2002-02-26</t>
  </si>
  <si>
    <t>1999-03-29</t>
  </si>
  <si>
    <t>2002-01-10</t>
  </si>
  <si>
    <t>569940:eng</t>
  </si>
  <si>
    <t>38016564</t>
  </si>
  <si>
    <t>991001692959702656</t>
  </si>
  <si>
    <t>2268280920002656</t>
  </si>
  <si>
    <t>9780679412496</t>
  </si>
  <si>
    <t>32285003547196</t>
  </si>
  <si>
    <t>893891752</t>
  </si>
  <si>
    <t>QP34 .C25 1961</t>
  </si>
  <si>
    <t>0                      QP 0034000C  25          1961</t>
  </si>
  <si>
    <t>The machinery of the body, by Anton J. Carlson, Victor Johnson [and] H. Mead Cavert.</t>
  </si>
  <si>
    <t>Carlson, Anton J. (Anton Julius), 1875-1956.</t>
  </si>
  <si>
    <t>[Chicago] University of Chicago Press [1961]</t>
  </si>
  <si>
    <t>5th ed., rev. and enl.</t>
  </si>
  <si>
    <t>2002-10-07</t>
  </si>
  <si>
    <t>417995:eng</t>
  </si>
  <si>
    <t>557848</t>
  </si>
  <si>
    <t>991002986509702656</t>
  </si>
  <si>
    <t>2261416790002656</t>
  </si>
  <si>
    <t>32285003011771</t>
  </si>
  <si>
    <t>893774264</t>
  </si>
  <si>
    <t>QP34 .G52 1970</t>
  </si>
  <si>
    <t>0                      QP 0034000G  52          1970</t>
  </si>
  <si>
    <t>Illustrated physiology / by Ann B. McNaught and Robin Callander.</t>
  </si>
  <si>
    <t>McNaught, Ann B.</t>
  </si>
  <si>
    <t>Baltimore : Williams and Wilkins, 1970.</t>
  </si>
  <si>
    <t>1994-12-06</t>
  </si>
  <si>
    <t>1271984:eng</t>
  </si>
  <si>
    <t>132361</t>
  </si>
  <si>
    <t>991000775209702656</t>
  </si>
  <si>
    <t>2256758590002656</t>
  </si>
  <si>
    <t>9780443007057</t>
  </si>
  <si>
    <t>32285000057801</t>
  </si>
  <si>
    <t>893620780</t>
  </si>
  <si>
    <t>QP34.5 .A58 1984</t>
  </si>
  <si>
    <t>0                      QP 0034500A  58          1984</t>
  </si>
  <si>
    <t>Structure &amp; function of the body / Catherine Parker Anthony, Gary A. Thibodeau ; with 327 illustrations, Ernest W. Beck, illustrator.</t>
  </si>
  <si>
    <t>Anthony, Catherine Parker, 1907-</t>
  </si>
  <si>
    <t>St. Louis : Times-Mirror/Mosby College Pub., 1984.</t>
  </si>
  <si>
    <t>1992-06-17</t>
  </si>
  <si>
    <t>843944:eng</t>
  </si>
  <si>
    <t>9413613</t>
  </si>
  <si>
    <t>991000192939702656</t>
  </si>
  <si>
    <t>2264101960002656</t>
  </si>
  <si>
    <t>9780801602962</t>
  </si>
  <si>
    <t>32285001132223</t>
  </si>
  <si>
    <t>893695657</t>
  </si>
  <si>
    <t>QP34.5 .B37 1982</t>
  </si>
  <si>
    <t>0                      QP 0034500B  37          1982</t>
  </si>
  <si>
    <t>Basic physiology for the health sciences / edited by Ewald E. Selkurt.</t>
  </si>
  <si>
    <t>Boston : Little, Brown, c1982.</t>
  </si>
  <si>
    <t>1993-07-11</t>
  </si>
  <si>
    <t>2006-01-30</t>
  </si>
  <si>
    <t>1992-01-14</t>
  </si>
  <si>
    <t>1184203292:eng</t>
  </si>
  <si>
    <t>8030748</t>
  </si>
  <si>
    <t>991001760619702656</t>
  </si>
  <si>
    <t>2257773710002656</t>
  </si>
  <si>
    <t>9780316780483</t>
  </si>
  <si>
    <t>32285000913045</t>
  </si>
  <si>
    <t>893322225</t>
  </si>
  <si>
    <t>QP34.5 .B55 1984</t>
  </si>
  <si>
    <t>0                      QP 0034500B  55          1984</t>
  </si>
  <si>
    <t>Science and gender : a critique of biology and its theories on women / Ruth Bleier.</t>
  </si>
  <si>
    <t>Bleier, Ruth, 1923-</t>
  </si>
  <si>
    <t>New York : Pergamon Press, c1984.</t>
  </si>
  <si>
    <t>Athene series</t>
  </si>
  <si>
    <t>2006-04-01</t>
  </si>
  <si>
    <t>806413175:eng</t>
  </si>
  <si>
    <t>10072698</t>
  </si>
  <si>
    <t>991000307989702656</t>
  </si>
  <si>
    <t>2263517970002656</t>
  </si>
  <si>
    <t>9780080309712</t>
  </si>
  <si>
    <t>32285001548956</t>
  </si>
  <si>
    <t>893224892</t>
  </si>
  <si>
    <t>QP34.5 .C4855 2003</t>
  </si>
  <si>
    <t>0                      QP 0034500C  4855        2003</t>
  </si>
  <si>
    <t>Human body systems : structure, function and environment / Daniel D. Chiras.</t>
  </si>
  <si>
    <t>Chiras, Daniel D.</t>
  </si>
  <si>
    <t>2006-03-22</t>
  </si>
  <si>
    <t>2003-08-12</t>
  </si>
  <si>
    <t>758308:eng</t>
  </si>
  <si>
    <t>51009593</t>
  </si>
  <si>
    <t>991004089269702656</t>
  </si>
  <si>
    <t>2262506080002656</t>
  </si>
  <si>
    <t>9780763723569</t>
  </si>
  <si>
    <t>32285004759386</t>
  </si>
  <si>
    <t>893712146</t>
  </si>
  <si>
    <t>QP34.5 .G567 2004</t>
  </si>
  <si>
    <t>0                      QP 0034500G  567         2004</t>
  </si>
  <si>
    <t>Human biology for social workers : development, ecology, genetics, and health / Leon Ginsberg, Larry Nackerud, Christopher R. Larrison.</t>
  </si>
  <si>
    <t>Ginsberg, Leon H.</t>
  </si>
  <si>
    <t>Boston : Pearson/Allyn and Bacon, c2004.</t>
  </si>
  <si>
    <t>2006-04-04</t>
  </si>
  <si>
    <t>2004-01-21</t>
  </si>
  <si>
    <t>2916151573:eng</t>
  </si>
  <si>
    <t>51266018</t>
  </si>
  <si>
    <t>991004190509702656</t>
  </si>
  <si>
    <t>2271346460002656</t>
  </si>
  <si>
    <t>9780205344055</t>
  </si>
  <si>
    <t>32285004635610</t>
  </si>
  <si>
    <t>893882163</t>
  </si>
  <si>
    <t>QP34.5 .G867 1985</t>
  </si>
  <si>
    <t>0                      QP 0034500G  867         1985</t>
  </si>
  <si>
    <t>Anatomy and physiology / Arthur C. Guyton.</t>
  </si>
  <si>
    <t>Guyton, Arthur C.</t>
  </si>
  <si>
    <t>Philadelphia : Saunders College Pub., c1985.</t>
  </si>
  <si>
    <t>2000-08-16</t>
  </si>
  <si>
    <t>3791051:eng</t>
  </si>
  <si>
    <t>10799011</t>
  </si>
  <si>
    <t>991000436129702656</t>
  </si>
  <si>
    <t>2269960530002656</t>
  </si>
  <si>
    <t>9780030631573</t>
  </si>
  <si>
    <t>32285001579837</t>
  </si>
  <si>
    <t>893784208</t>
  </si>
  <si>
    <t>QP34.5 .G87 1987</t>
  </si>
  <si>
    <t>0                      QP 0034500G  87          1987</t>
  </si>
  <si>
    <t>Human physiology and mechanisms of disease / Arthur C. Guyton.</t>
  </si>
  <si>
    <t>Philadelphia : Saunders, 1987.</t>
  </si>
  <si>
    <t>2004-03-28</t>
  </si>
  <si>
    <t>1990-07-12</t>
  </si>
  <si>
    <t>894431:eng</t>
  </si>
  <si>
    <t>13822038</t>
  </si>
  <si>
    <t>991005253119702656</t>
  </si>
  <si>
    <t>2266829850002656</t>
  </si>
  <si>
    <t>9780721621142</t>
  </si>
  <si>
    <t>32285000236355</t>
  </si>
  <si>
    <t>893527176</t>
  </si>
  <si>
    <t>QP34.5 .G89 1979</t>
  </si>
  <si>
    <t>0                      QP 0034500G  89          1979</t>
  </si>
  <si>
    <t>Physiology of the human body / Arthur C. Guyton.</t>
  </si>
  <si>
    <t>Philadelphia : Saunders, 1979.</t>
  </si>
  <si>
    <t>1996-12-05</t>
  </si>
  <si>
    <t>1992-01-21</t>
  </si>
  <si>
    <t>1908963248:eng</t>
  </si>
  <si>
    <t>4500027</t>
  </si>
  <si>
    <t>991005253099702656</t>
  </si>
  <si>
    <t>2266658360002656</t>
  </si>
  <si>
    <t>9780721643786</t>
  </si>
  <si>
    <t>32285000916626</t>
  </si>
  <si>
    <t>893625701</t>
  </si>
  <si>
    <t>QP34.5 .G9 1976</t>
  </si>
  <si>
    <t>0                      QP 0034500G  9           1976</t>
  </si>
  <si>
    <t>Textbook of medical physiology / Arthur Guyton.</t>
  </si>
  <si>
    <t>Philadelphia : Saunders, 1976.</t>
  </si>
  <si>
    <t>1995-02-14</t>
  </si>
  <si>
    <t>3901005111:eng</t>
  </si>
  <si>
    <t>1961652</t>
  </si>
  <si>
    <t>991003954529702656</t>
  </si>
  <si>
    <t>2268149390002656</t>
  </si>
  <si>
    <t>9780721643939</t>
  </si>
  <si>
    <t>32285000529072</t>
  </si>
  <si>
    <t>893781685</t>
  </si>
  <si>
    <t>QP34.5 .L363 1980</t>
  </si>
  <si>
    <t>0                      QP 0034500L  363         1980</t>
  </si>
  <si>
    <t>Dynamic anatomy and physiology / L. L. Langley, Ira R. Telford, John B. Christensen.</t>
  </si>
  <si>
    <t>Langley, L. L. (Leroy Lester), 1916-</t>
  </si>
  <si>
    <t>New York : McGraw-Hill, c1980.</t>
  </si>
  <si>
    <t>2000-10-25</t>
  </si>
  <si>
    <t>405739:eng</t>
  </si>
  <si>
    <t>5310851</t>
  </si>
  <si>
    <t>991004817209702656</t>
  </si>
  <si>
    <t>2264414850002656</t>
  </si>
  <si>
    <t>9780070362758</t>
  </si>
  <si>
    <t>32285000236363</t>
  </si>
  <si>
    <t>893532839</t>
  </si>
  <si>
    <t>QP34.5 .L83 1983</t>
  </si>
  <si>
    <t>0                      QP 0034500L  83          1983</t>
  </si>
  <si>
    <t>Human anatomy and physiology : structure and function / Dorothy S. Luciano, Arthur J. Vander, James H. Sherman.</t>
  </si>
  <si>
    <t>Luciano, Dorothy S.</t>
  </si>
  <si>
    <t>New York : McGraw-Hill, c1983.</t>
  </si>
  <si>
    <t>1992-03-31</t>
  </si>
  <si>
    <t>405854:eng</t>
  </si>
  <si>
    <t>8688694</t>
  </si>
  <si>
    <t>991000051459702656</t>
  </si>
  <si>
    <t>2272560130002656</t>
  </si>
  <si>
    <t>9780070389625</t>
  </si>
  <si>
    <t>32285001031672</t>
  </si>
  <si>
    <t>893708053</t>
  </si>
  <si>
    <t>QP34.5 .P48513 1989</t>
  </si>
  <si>
    <t>0                      QP 0034500P  48513       1989</t>
  </si>
  <si>
    <t>Human physiology / R.F. Schmidt, G. Thews (eds.) ; translated by Marguerite A. Biederman-Thorson.</t>
  </si>
  <si>
    <t>Physiologie des Menschen. English.</t>
  </si>
  <si>
    <t>Berlin ; New York : Springer-Verlag, c1989.</t>
  </si>
  <si>
    <t>2nd completely rev. ed.</t>
  </si>
  <si>
    <t>2005-02-18</t>
  </si>
  <si>
    <t>1990-04-24</t>
  </si>
  <si>
    <t>10532223039:eng</t>
  </si>
  <si>
    <t>20013919</t>
  </si>
  <si>
    <t>991001527779702656</t>
  </si>
  <si>
    <t>2262000910002656</t>
  </si>
  <si>
    <t>9780387194325</t>
  </si>
  <si>
    <t>32285000115849</t>
  </si>
  <si>
    <t>893432903</t>
  </si>
  <si>
    <t>QP34.5 .S56</t>
  </si>
  <si>
    <t>0                      QP 0034500S  56</t>
  </si>
  <si>
    <t>The biology of people / Sam Singer, Henry R. Hilgard.</t>
  </si>
  <si>
    <t>Singer, Sam, 1944-</t>
  </si>
  <si>
    <t>A Series of books in biology</t>
  </si>
  <si>
    <t>2001-11-19</t>
  </si>
  <si>
    <t>446953:eng</t>
  </si>
  <si>
    <t>3447372</t>
  </si>
  <si>
    <t>991004438189702656</t>
  </si>
  <si>
    <t>2268777870002656</t>
  </si>
  <si>
    <t>9780716700265</t>
  </si>
  <si>
    <t>32285001548998</t>
  </si>
  <si>
    <t>893325388</t>
  </si>
  <si>
    <t>QP34.5 .S68 1983</t>
  </si>
  <si>
    <t>0                      QP 0034500S  68          1983</t>
  </si>
  <si>
    <t>Human anatomy &amp; physiology / Eldra Pearl Solomon, P. William Davis.</t>
  </si>
  <si>
    <t>2</t>
  </si>
  <si>
    <t>Solomon, Eldra Pearl.</t>
  </si>
  <si>
    <t>Philadelphia : Saunders College Pub., c1983.</t>
  </si>
  <si>
    <t>2006-02-21</t>
  </si>
  <si>
    <t>23175096:eng</t>
  </si>
  <si>
    <t>8846316</t>
  </si>
  <si>
    <t>991000083429702656</t>
  </si>
  <si>
    <t>2254891670002656</t>
  </si>
  <si>
    <t>9780030599927</t>
  </si>
  <si>
    <t>32285001022515</t>
  </si>
  <si>
    <t>893230858</t>
  </si>
  <si>
    <t>QP34.5 .W65 1979</t>
  </si>
  <si>
    <t>0                      QP 0034500W  65          1979</t>
  </si>
  <si>
    <t>Women look at biology looking at women : a collection of feminist critiques / edited by Ruth Hubbard, Mary Sue Henifin, and Barbara Fried, with the collaboration of Vicki Druss and Susan Leigh Star.</t>
  </si>
  <si>
    <t>Cambridge, Mass. : Schenkman Pub. Co., c1979.</t>
  </si>
  <si>
    <t>909696842:eng</t>
  </si>
  <si>
    <t>4665102</t>
  </si>
  <si>
    <t>991004867849702656</t>
  </si>
  <si>
    <t>2263563800002656</t>
  </si>
  <si>
    <t>9780816190034</t>
  </si>
  <si>
    <t>32285001549012</t>
  </si>
  <si>
    <t>893688295</t>
  </si>
  <si>
    <t>QP341 .C38 v...</t>
  </si>
  <si>
    <t>0                      QP 0341000C  38                                                      v...</t>
  </si>
  <si>
    <t>Cellular pacemakers / edited by David O. Carpenter.</t>
  </si>
  <si>
    <t>New York : Wiley, 1982-</t>
  </si>
  <si>
    <t>1994-01-31</t>
  </si>
  <si>
    <t>5218936444:eng</t>
  </si>
  <si>
    <t>7574547</t>
  </si>
  <si>
    <t>991005133579702656</t>
  </si>
  <si>
    <t>2270954460002656</t>
  </si>
  <si>
    <t>9780471065098</t>
  </si>
  <si>
    <t>32285001560993</t>
  </si>
  <si>
    <t>893783070</t>
  </si>
  <si>
    <t>QP341 .S78</t>
  </si>
  <si>
    <t>0                      QP 0341000S  78</t>
  </si>
  <si>
    <t>Nerve and muscle : membranes, cells and systems / R.B. Stein.</t>
  </si>
  <si>
    <t>Stein, Richard B., 1940-</t>
  </si>
  <si>
    <t>New York : Plenum Press, c1980, 1981 printing.</t>
  </si>
  <si>
    <t>2007-02-17</t>
  </si>
  <si>
    <t>197211752:eng</t>
  </si>
  <si>
    <t>6278132</t>
  </si>
  <si>
    <t>991004955449702656</t>
  </si>
  <si>
    <t>2266762410002656</t>
  </si>
  <si>
    <t>9780306405129</t>
  </si>
  <si>
    <t>32285001561017</t>
  </si>
  <si>
    <t>893594288</t>
  </si>
  <si>
    <t>QP351 .H34 v.7, no.5</t>
  </si>
  <si>
    <t>0                      QP 0351000H  34                                                      v.7, no.5</t>
  </si>
  <si>
    <t>The Visual system in vertebrates / by F. Crescitelli ... [et al.] ; edited by Frederick Crescitelli. --</t>
  </si>
  <si>
    <t>V.7 NO.5</t>
  </si>
  <si>
    <t>Berlin ; New York : Springer-Verlag, 1977.</t>
  </si>
  <si>
    <t>Handbook of sensory physiology ; v. 7, no. 5</t>
  </si>
  <si>
    <t>6401910:eng</t>
  </si>
  <si>
    <t>2874758</t>
  </si>
  <si>
    <t>991004269459702656</t>
  </si>
  <si>
    <t>2257480500002656</t>
  </si>
  <si>
    <t>9780387079080</t>
  </si>
  <si>
    <t>32285001561041</t>
  </si>
  <si>
    <t>893593482</t>
  </si>
  <si>
    <t>QP351 .H34 v.9</t>
  </si>
  <si>
    <t>0                      QP 0351000H  34                                                      v.9</t>
  </si>
  <si>
    <t>Development of sensory systems / by C. M. Bate ... [et al.] ; edited by Marcus Jacobson.</t>
  </si>
  <si>
    <t>V.9</t>
  </si>
  <si>
    <t>Berlin ; New York : Springer-Verlag, 1978.</t>
  </si>
  <si>
    <t>Handbook of sensory physiology ; v. 9</t>
  </si>
  <si>
    <t>1994-09-18</t>
  </si>
  <si>
    <t>638959454:eng</t>
  </si>
  <si>
    <t>3843494</t>
  </si>
  <si>
    <t>991004525899702656</t>
  </si>
  <si>
    <t>2266402620002656</t>
  </si>
  <si>
    <t>9780387086323</t>
  </si>
  <si>
    <t>32285001561058</t>
  </si>
  <si>
    <t>893876209</t>
  </si>
  <si>
    <t>QP351 .S85 1955</t>
  </si>
  <si>
    <t>0                      QP 0351000S  85          1955</t>
  </si>
  <si>
    <t>Biological and biochemical bases of behavior / edited by Harry F. Harlow and Clinton N. Woolsey.</t>
  </si>
  <si>
    <t>Symposium on Interdisciplinary Research (1955 : University of Wisconsin)</t>
  </si>
  <si>
    <t>Madison : University of Wisconsin Press, 1958.</t>
  </si>
  <si>
    <t>1958</t>
  </si>
  <si>
    <t>2006-11-10</t>
  </si>
  <si>
    <t>1994-11-10</t>
  </si>
  <si>
    <t>472608608:eng</t>
  </si>
  <si>
    <t>556754</t>
  </si>
  <si>
    <t>991005266549702656</t>
  </si>
  <si>
    <t>2259914120002656</t>
  </si>
  <si>
    <t>32285001964955</t>
  </si>
  <si>
    <t>893514361</t>
  </si>
  <si>
    <t>QP352 .D34 1973</t>
  </si>
  <si>
    <t>0                      QP 0352000D  34          1973</t>
  </si>
  <si>
    <t>The psychophysiology of Darrow / edited by Gary R. Gullickson.</t>
  </si>
  <si>
    <t>Darrow, Chester W. (Chester William), 1893-1967.</t>
  </si>
  <si>
    <t>New York : Academic Press, 1973.</t>
  </si>
  <si>
    <t>1997-03-17</t>
  </si>
  <si>
    <t>1994-11-29</t>
  </si>
  <si>
    <t>1726152:eng</t>
  </si>
  <si>
    <t>627945</t>
  </si>
  <si>
    <t>991003074469702656</t>
  </si>
  <si>
    <t>2257866860002656</t>
  </si>
  <si>
    <t>9780123056504</t>
  </si>
  <si>
    <t>32285001968519</t>
  </si>
  <si>
    <t>893692364</t>
  </si>
  <si>
    <t>QP353 .F548 2000</t>
  </si>
  <si>
    <t>0                      QP 0353000F  548         2000</t>
  </si>
  <si>
    <t>Minds behind the brain : a history of the pioneers and their discoveries / Stanley Finger.</t>
  </si>
  <si>
    <t>Finger, Stanley.</t>
  </si>
  <si>
    <t>Oxford ; New York : Oxford University Press, c2000.</t>
  </si>
  <si>
    <t>2000-10-18</t>
  </si>
  <si>
    <t>2000-10-17</t>
  </si>
  <si>
    <t>2138927:eng</t>
  </si>
  <si>
    <t>40683698</t>
  </si>
  <si>
    <t>991003280049702656</t>
  </si>
  <si>
    <t>2265920280002656</t>
  </si>
  <si>
    <t>9780195085716</t>
  </si>
  <si>
    <t>32285003768172</t>
  </si>
  <si>
    <t>893780798</t>
  </si>
  <si>
    <t>QP355 .G83</t>
  </si>
  <si>
    <t>0                      QP 0355000G  83</t>
  </si>
  <si>
    <t>A textbook of physiological psychology / Sebastian Peter Grossman.</t>
  </si>
  <si>
    <t>Grossman, Sebastian Peter.</t>
  </si>
  <si>
    <t>New York : Wiley, [1967]</t>
  </si>
  <si>
    <t>2005-01-25</t>
  </si>
  <si>
    <t>2000-02-02</t>
  </si>
  <si>
    <t>1400719:eng</t>
  </si>
  <si>
    <t>320927</t>
  </si>
  <si>
    <t>991002326159702656</t>
  </si>
  <si>
    <t>2255880150002656</t>
  </si>
  <si>
    <t>32285003658266</t>
  </si>
  <si>
    <t>893226711</t>
  </si>
  <si>
    <t>QP355 .W26 1964</t>
  </si>
  <si>
    <t>0                      QP 0355000W  26          1964</t>
  </si>
  <si>
    <t>Physiology of the nervous system.</t>
  </si>
  <si>
    <t>Walsh, E. Geoffrey (Ewart Geoffrey)</t>
  </si>
  <si>
    <t>Boston, Little, Brown [c1964]</t>
  </si>
  <si>
    <t>1996-09-03</t>
  </si>
  <si>
    <t>2644535:eng</t>
  </si>
  <si>
    <t>5011830</t>
  </si>
  <si>
    <t>991004763219702656</t>
  </si>
  <si>
    <t>2268878040002656</t>
  </si>
  <si>
    <t>32285002305497</t>
  </si>
  <si>
    <t>893411919</t>
  </si>
  <si>
    <t>QP355 .W66</t>
  </si>
  <si>
    <t>0                      QP 0355000W  66</t>
  </si>
  <si>
    <t>The neural basis of behavior [by] Lloyd S. Woodburne.</t>
  </si>
  <si>
    <t>Woodburne, Lloyd S. (Lloyd Stuart), 1906-1992.</t>
  </si>
  <si>
    <t>Columbus, Ohio, C. E. Merrill Books [1967]</t>
  </si>
  <si>
    <t>ohu</t>
  </si>
  <si>
    <t>Merrill's international psychology series</t>
  </si>
  <si>
    <t>1437812:eng</t>
  </si>
  <si>
    <t>369161</t>
  </si>
  <si>
    <t>991002547609702656</t>
  </si>
  <si>
    <t>2265181180002656</t>
  </si>
  <si>
    <t>32285003013991</t>
  </si>
  <si>
    <t>893716598</t>
  </si>
  <si>
    <t>QP355.2 .S52 1994</t>
  </si>
  <si>
    <t>0                      QP 0355200S  52          1994</t>
  </si>
  <si>
    <t>Neurobiology / Gordon M. Shepherd.</t>
  </si>
  <si>
    <t>Shepherd, Gordon M., 1933-</t>
  </si>
  <si>
    <t>New York : Oxford University Press, 1994.</t>
  </si>
  <si>
    <t>2007-09-29</t>
  </si>
  <si>
    <t>1996-06-13</t>
  </si>
  <si>
    <t>10186753:eng</t>
  </si>
  <si>
    <t>29877197</t>
  </si>
  <si>
    <t>991001803959702656</t>
  </si>
  <si>
    <t>2257740160002656</t>
  </si>
  <si>
    <t>9780195088427</t>
  </si>
  <si>
    <t>32285002192721</t>
  </si>
  <si>
    <t>893898079</t>
  </si>
  <si>
    <t>QP356 .C35 1986b</t>
  </si>
  <si>
    <t>0                      QP 0356000C  35          1986b</t>
  </si>
  <si>
    <t>The river that flows uphill : a journey from the Big Bang to the Big Brain / William H. Calvin.</t>
  </si>
  <si>
    <t>Calvin, William H., 1939-</t>
  </si>
  <si>
    <t>San Francisco : Sierra Club Books, c1986.</t>
  </si>
  <si>
    <t>1997-12-01</t>
  </si>
  <si>
    <t>1996-09-11</t>
  </si>
  <si>
    <t>2255863:eng</t>
  </si>
  <si>
    <t>15315917</t>
  </si>
  <si>
    <t>991001013909702656</t>
  </si>
  <si>
    <t>2258078570002656</t>
  </si>
  <si>
    <t>9780871567192</t>
  </si>
  <si>
    <t>32285002317062</t>
  </si>
  <si>
    <t>893602249</t>
  </si>
  <si>
    <t>QP356 .C46 1991</t>
  </si>
  <si>
    <t>0                      QP 0356000C  46          1991</t>
  </si>
  <si>
    <t>Cellular neurobiology : a practical approach / edited by John Chad and Howard Wheal.</t>
  </si>
  <si>
    <t>Oxford ; New York : IRL Press at Oxford University Press, c1991.</t>
  </si>
  <si>
    <t>The practical approach series</t>
  </si>
  <si>
    <t>1998-11-10</t>
  </si>
  <si>
    <t>1993-01-18</t>
  </si>
  <si>
    <t>809755432:eng</t>
  </si>
  <si>
    <t>22765082</t>
  </si>
  <si>
    <t>991001812459702656</t>
  </si>
  <si>
    <t>2260306820002656</t>
  </si>
  <si>
    <t>9780199632541</t>
  </si>
  <si>
    <t>32285001446185</t>
  </si>
  <si>
    <t>893684672</t>
  </si>
  <si>
    <t>QP356 .F72 1975</t>
  </si>
  <si>
    <t>0                      QP 0356000F  72          1975</t>
  </si>
  <si>
    <t>Mass action in the nervous system : examination of the neurophysiological basis of adaptive behavior through the EEG / Walter J. Freeman.</t>
  </si>
  <si>
    <t>Freeman, Walter J.</t>
  </si>
  <si>
    <t>New York : Academic Press, 1975.</t>
  </si>
  <si>
    <t>1993-05-20</t>
  </si>
  <si>
    <t>375256341:eng</t>
  </si>
  <si>
    <t>1229559</t>
  </si>
  <si>
    <t>991003634949702656</t>
  </si>
  <si>
    <t>2268290170002656</t>
  </si>
  <si>
    <t>9780122671500</t>
  </si>
  <si>
    <t>32285000236389</t>
  </si>
  <si>
    <t>893318201</t>
  </si>
  <si>
    <t>QP356 .L45 1972</t>
  </si>
  <si>
    <t>0                      QP 0356000L  45          1972</t>
  </si>
  <si>
    <t>Nervous system theory; an introductory study [by] K. N. Leibovic.</t>
  </si>
  <si>
    <t>Leibovic, K. N., 1921-</t>
  </si>
  <si>
    <t>New York, Academic Press, 1972.</t>
  </si>
  <si>
    <t>2007-01-23</t>
  </si>
  <si>
    <t>364367523:eng</t>
  </si>
  <si>
    <t>595338</t>
  </si>
  <si>
    <t>991003032719702656</t>
  </si>
  <si>
    <t>2272267610002656</t>
  </si>
  <si>
    <t>9780124412507</t>
  </si>
  <si>
    <t>32285003014056</t>
  </si>
  <si>
    <t>893704834</t>
  </si>
  <si>
    <t>QP356 .M569 1992</t>
  </si>
  <si>
    <t>0                      QP 0356000M  569         1992</t>
  </si>
  <si>
    <t>Monitoring neuronal activity : a practical approach / edited by J.A. Stamford.</t>
  </si>
  <si>
    <t>Oxford ; New York : IRL Press at Oxford University Press, c1992.</t>
  </si>
  <si>
    <t>Practical approach series</t>
  </si>
  <si>
    <t>2001-06-04</t>
  </si>
  <si>
    <t>1996-06-06</t>
  </si>
  <si>
    <t>808449199:eng</t>
  </si>
  <si>
    <t>24246560</t>
  </si>
  <si>
    <t>991001920539702656</t>
  </si>
  <si>
    <t>2263988860002656</t>
  </si>
  <si>
    <t>9780199632442</t>
  </si>
  <si>
    <t>32285002188786</t>
  </si>
  <si>
    <t>893516678</t>
  </si>
  <si>
    <t>QP356 .N4829 1990</t>
  </si>
  <si>
    <t>0                      QP 0356000N  4829        1990</t>
  </si>
  <si>
    <t>Neuroscience and connectionist theory / edited by Mark A. Gluck, David E. Rumelhart.</t>
  </si>
  <si>
    <t>Hillsdale, N.J. : L. Erlbaum Associates, Publishers, 1990.</t>
  </si>
  <si>
    <t>1998-04-29</t>
  </si>
  <si>
    <t>1991-05-13</t>
  </si>
  <si>
    <t>350332203:eng</t>
  </si>
  <si>
    <t>20133533</t>
  </si>
  <si>
    <t>991001543159702656</t>
  </si>
  <si>
    <t>2261253290002656</t>
  </si>
  <si>
    <t>9780805806199</t>
  </si>
  <si>
    <t>32285000572262</t>
  </si>
  <si>
    <t>893503478</t>
  </si>
  <si>
    <t>QP356 .P48 2001</t>
  </si>
  <si>
    <t>0                      QP 0356000P  48          2001</t>
  </si>
  <si>
    <t>Philosophy and the neurosciences : a reader / edited by William Bechtel ... [et al.].</t>
  </si>
  <si>
    <t>Malden, Mass. : Blackwell Publishers, 2001.</t>
  </si>
  <si>
    <t>2008-06-02</t>
  </si>
  <si>
    <t>2002-01-09</t>
  </si>
  <si>
    <t>890411367:eng</t>
  </si>
  <si>
    <t>47756432</t>
  </si>
  <si>
    <t>991003683519702656</t>
  </si>
  <si>
    <t>2258350640002656</t>
  </si>
  <si>
    <t>9780631210443</t>
  </si>
  <si>
    <t>32285004447206</t>
  </si>
  <si>
    <t>893330650</t>
  </si>
  <si>
    <t>QP356.15 .N44 1991</t>
  </si>
  <si>
    <t>0                      QP 0356150N  44          1991</t>
  </si>
  <si>
    <t>Neural and integrative animal physiology / edited by C. Ladd Prosser.</t>
  </si>
  <si>
    <t>New York : Wiley-Liss, c1991.</t>
  </si>
  <si>
    <t>1991-09-06</t>
  </si>
  <si>
    <t>2888568126:eng</t>
  </si>
  <si>
    <t>22906161</t>
  </si>
  <si>
    <t>991001822499702656</t>
  </si>
  <si>
    <t>2262128120002656</t>
  </si>
  <si>
    <t>9780471560715</t>
  </si>
  <si>
    <t>32285000702786</t>
  </si>
  <si>
    <t>893238360</t>
  </si>
  <si>
    <t>QP356.151 .N44 1991</t>
  </si>
  <si>
    <t>0                      QP 0356151N  44          1991</t>
  </si>
  <si>
    <t>Environmental and metabolic animal physiology / edited by C. Ladd Prosser.</t>
  </si>
  <si>
    <t>2000-02-06</t>
  </si>
  <si>
    <t>1992-08-20</t>
  </si>
  <si>
    <t>24008218:eng</t>
  </si>
  <si>
    <t>22906165</t>
  </si>
  <si>
    <t>991001822519702656</t>
  </si>
  <si>
    <t>2262149110002656</t>
  </si>
  <si>
    <t>9780471857679</t>
  </si>
  <si>
    <t>32285001211977</t>
  </si>
  <si>
    <t>893244442</t>
  </si>
  <si>
    <t>QP356.2 .M644 1989</t>
  </si>
  <si>
    <t>0                      QP 0356200M  644         1989</t>
  </si>
  <si>
    <t>Molecular neurobiology / edited by D.M. Glover and B.D. Hames.</t>
  </si>
  <si>
    <t>Oxford ; New York : IRL Press at Oxford University Press, 1989.</t>
  </si>
  <si>
    <t>Frontiers in molecular biology</t>
  </si>
  <si>
    <t>1997-03-11</t>
  </si>
  <si>
    <t>2260885581:eng</t>
  </si>
  <si>
    <t>20826564</t>
  </si>
  <si>
    <t>991001623069702656</t>
  </si>
  <si>
    <t>2261188890002656</t>
  </si>
  <si>
    <t>9780199630431</t>
  </si>
  <si>
    <t>32285000179514</t>
  </si>
  <si>
    <t>893709399</t>
  </si>
  <si>
    <t>QP356.2 .M6444 1991</t>
  </si>
  <si>
    <t>0                      QP 0356200M  6444        1991</t>
  </si>
  <si>
    <t>Molecular neurobiology : a practical approach / edited by John Chad and Howard Wheal.</t>
  </si>
  <si>
    <t>1995-08-24</t>
  </si>
  <si>
    <t>798719052:eng</t>
  </si>
  <si>
    <t>22811228</t>
  </si>
  <si>
    <t>991001815849702656</t>
  </si>
  <si>
    <t>2266214390002656</t>
  </si>
  <si>
    <t>32285001446193</t>
  </si>
  <si>
    <t>893879207</t>
  </si>
  <si>
    <t>QP356.2 .S74 1989</t>
  </si>
  <si>
    <t>0                      QP 0356200S  74          1989</t>
  </si>
  <si>
    <t>Principles of cellular, molecular, and developmental neuroscience / Oswald Steward.</t>
  </si>
  <si>
    <t>Steward, Oswald.</t>
  </si>
  <si>
    <t>New York : Springer-Verlag, c1989.</t>
  </si>
  <si>
    <t>17895718:eng</t>
  </si>
  <si>
    <t>18290257</t>
  </si>
  <si>
    <t>991001326719702656</t>
  </si>
  <si>
    <t>2262529740002656</t>
  </si>
  <si>
    <t>9780387968032</t>
  </si>
  <si>
    <t>32285001561082</t>
  </si>
  <si>
    <t>893321839</t>
  </si>
  <si>
    <t>QP356.25 .R43 1996</t>
  </si>
  <si>
    <t>0                      QP 0356250R  43          1996</t>
  </si>
  <si>
    <t>Receptor dynamics in neural development / edited by Christopher A. Shaw.</t>
  </si>
  <si>
    <t>Pharmacology and toxicology</t>
  </si>
  <si>
    <t>1997-02-19</t>
  </si>
  <si>
    <t>1996-12-12</t>
  </si>
  <si>
    <t>138793427:eng</t>
  </si>
  <si>
    <t>33246835</t>
  </si>
  <si>
    <t>991002558869702656</t>
  </si>
  <si>
    <t>2259397380002656</t>
  </si>
  <si>
    <t>9780849378171</t>
  </si>
  <si>
    <t>32285002393212</t>
  </si>
  <si>
    <t>893504526</t>
  </si>
  <si>
    <t>QP356.4 .B76 1994</t>
  </si>
  <si>
    <t>0                      QP 0356400B  76          1994</t>
  </si>
  <si>
    <t>An introduction to neuroendocrinology / Richard E. Brown.</t>
  </si>
  <si>
    <t>Brown, Richard E.</t>
  </si>
  <si>
    <t>Cambridge ; New York : Cambridge University Press, c1994.</t>
  </si>
  <si>
    <t>1995-12-05</t>
  </si>
  <si>
    <t>342847:eng</t>
  </si>
  <si>
    <t>27729242</t>
  </si>
  <si>
    <t>991002152929702656</t>
  </si>
  <si>
    <t>2265876830002656</t>
  </si>
  <si>
    <t>9780521416450</t>
  </si>
  <si>
    <t>32285002108198</t>
  </si>
  <si>
    <t>893433544</t>
  </si>
  <si>
    <t>QP356.4 .C45</t>
  </si>
  <si>
    <t>0                      QP 0356400C  45</t>
  </si>
  <si>
    <t>Central nervous system effects of hypothalmic hormones and other peptides / edited by Robert Collu ... [et al.].</t>
  </si>
  <si>
    <t>14784555:eng</t>
  </si>
  <si>
    <t>4499029</t>
  </si>
  <si>
    <t>991005266129702656</t>
  </si>
  <si>
    <t>2262729320002656</t>
  </si>
  <si>
    <t>9780890043479</t>
  </si>
  <si>
    <t>32285001561116</t>
  </si>
  <si>
    <t>893902392</t>
  </si>
  <si>
    <t>QP356.4 .E44 1995</t>
  </si>
  <si>
    <t>0                      QP 0356400E  44          1995</t>
  </si>
  <si>
    <t>The electrophysiology of neuroendocrine cells / edited by Hans Scherübl, Jürgen Hescheler.</t>
  </si>
  <si>
    <t>Boca Raton : CRC Press, c1995.</t>
  </si>
  <si>
    <t>2000-07-31</t>
  </si>
  <si>
    <t>353563246:eng</t>
  </si>
  <si>
    <t>31970181</t>
  </si>
  <si>
    <t>991003224249702656</t>
  </si>
  <si>
    <t>2270018370002656</t>
  </si>
  <si>
    <t>9780849324772</t>
  </si>
  <si>
    <t>32285003743712</t>
  </si>
  <si>
    <t>893698778</t>
  </si>
  <si>
    <t>QP356.4 .N484</t>
  </si>
  <si>
    <t>0                      QP 0356400N  484</t>
  </si>
  <si>
    <t>Neuroendocrinology, the interrelationships of the body's two major integrative systems in normal physiology and in clinical disease / edited by Dorothy T. Krieger and Joan C. Hughes ; adapted from Hospital practice ; illustrated by Nancy Lou Gahan and Albert E. Miller (charts and graphs) and other contributing artists.</t>
  </si>
  <si>
    <t>Sunderland, Mass. : Sinauer Associates, c1980.</t>
  </si>
  <si>
    <t>A Hospital practice book</t>
  </si>
  <si>
    <t>539008:eng</t>
  </si>
  <si>
    <t>5831324</t>
  </si>
  <si>
    <t>991004884969702656</t>
  </si>
  <si>
    <t>2263211930002656</t>
  </si>
  <si>
    <t>9780878934256</t>
  </si>
  <si>
    <t>32285002064409</t>
  </si>
  <si>
    <t>893430580</t>
  </si>
  <si>
    <t>QP356.4 .P37 1978</t>
  </si>
  <si>
    <t>0                      QP 0356400P  37          1978</t>
  </si>
  <si>
    <t>Perspectives in endocrine psychobiology / edited by F. Brambilla ... [et al.].</t>
  </si>
  <si>
    <t>London ; New York : Wiley, c1978.</t>
  </si>
  <si>
    <t>2000-11-20</t>
  </si>
  <si>
    <t>54468187:eng</t>
  </si>
  <si>
    <t>2372898</t>
  </si>
  <si>
    <t>991004101919702656</t>
  </si>
  <si>
    <t>2255258880002656</t>
  </si>
  <si>
    <t>9780471994343</t>
  </si>
  <si>
    <t>32285001561132</t>
  </si>
  <si>
    <t>893525658</t>
  </si>
  <si>
    <t>QP356.4 .S37 1992</t>
  </si>
  <si>
    <t>0                      QP 0356400S  37          1992</t>
  </si>
  <si>
    <t>Stress, the aging brain, and the mechanisms of neuron death / Robert M. Sapolsky.</t>
  </si>
  <si>
    <t>Sapolsky, Robert M.</t>
  </si>
  <si>
    <t>Cambridge, Mass. : MIT Press, c1992.</t>
  </si>
  <si>
    <t>2006-03-17</t>
  </si>
  <si>
    <t>1995-04-17</t>
  </si>
  <si>
    <t>994223:eng</t>
  </si>
  <si>
    <t>25048058</t>
  </si>
  <si>
    <t>991001974789702656</t>
  </si>
  <si>
    <t>2263758510002656</t>
  </si>
  <si>
    <t>9780262193207</t>
  </si>
  <si>
    <t>32285002018363</t>
  </si>
  <si>
    <t>893898241</t>
  </si>
  <si>
    <t>QP356.45 .H43 1990</t>
  </si>
  <si>
    <t>0                      QP 0356450H  43          1990</t>
  </si>
  <si>
    <t>The Healing brain : a scientific reader / edited by Robert Ornstein, Charles Swencionis.</t>
  </si>
  <si>
    <t>New York : Guilford Press, 1990.</t>
  </si>
  <si>
    <t>1999-11-17</t>
  </si>
  <si>
    <t>1993-02-01</t>
  </si>
  <si>
    <t>4061460730:eng</t>
  </si>
  <si>
    <t>20057051</t>
  </si>
  <si>
    <t>991001534109702656</t>
  </si>
  <si>
    <t>2269924100002656</t>
  </si>
  <si>
    <t>9780898623949</t>
  </si>
  <si>
    <t>32285001449007</t>
  </si>
  <si>
    <t>893340499</t>
  </si>
  <si>
    <t>QP356.45 .S38 1999</t>
  </si>
  <si>
    <t>0                      QP 0356450S  38          1999</t>
  </si>
  <si>
    <t>Neuroendocrine regulation of behavior / Jay Schulkin.</t>
  </si>
  <si>
    <t>Schulkin, Jay.</t>
  </si>
  <si>
    <t>Cambridge, UK ; New York, NY, USA : Cambridge University Press, 1999.</t>
  </si>
  <si>
    <t>2001-01-17</t>
  </si>
  <si>
    <t>555591:eng</t>
  </si>
  <si>
    <t>37806139</t>
  </si>
  <si>
    <t>991003355069702656</t>
  </si>
  <si>
    <t>2259205920002656</t>
  </si>
  <si>
    <t>9780521453851</t>
  </si>
  <si>
    <t>32285004284534</t>
  </si>
  <si>
    <t>893240140</t>
  </si>
  <si>
    <t>QP360 .A53</t>
  </si>
  <si>
    <t>0                      QP 0360000A  53</t>
  </si>
  <si>
    <t>Psychophysiology : human behavior and physiological response / John L. Andreassi.</t>
  </si>
  <si>
    <t>Andreassi, John L.</t>
  </si>
  <si>
    <t>New York : Oxford University Press, 1980.</t>
  </si>
  <si>
    <t>1994-10-11</t>
  </si>
  <si>
    <t>792612639:eng</t>
  </si>
  <si>
    <t>4593795</t>
  </si>
  <si>
    <t>991004688799702656</t>
  </si>
  <si>
    <t>2271332140002656</t>
  </si>
  <si>
    <t>9780195025811</t>
  </si>
  <si>
    <t>32285001561157</t>
  </si>
  <si>
    <t>893719240</t>
  </si>
  <si>
    <t>QP360 .B47</t>
  </si>
  <si>
    <t>0                      QP 0360000B  47</t>
  </si>
  <si>
    <t>Brain and behavior / Thomas L. Bennett.</t>
  </si>
  <si>
    <t>Bennett, Thomas L.</t>
  </si>
  <si>
    <t>Monterey, Calif. : Brooks/Cole Pub. Co., [1977]</t>
  </si>
  <si>
    <t>4748461:eng</t>
  </si>
  <si>
    <t>2372759</t>
  </si>
  <si>
    <t>991004101519702656</t>
  </si>
  <si>
    <t>2256417680002656</t>
  </si>
  <si>
    <t>9780818502019</t>
  </si>
  <si>
    <t>32285002012655</t>
  </si>
  <si>
    <t>893519239</t>
  </si>
  <si>
    <t>QP360 .B585 1985</t>
  </si>
  <si>
    <t>0                      QP 0360000B  585         1985</t>
  </si>
  <si>
    <t>Brain, mind, and behavior / Floyd E. Bloom, Arlyne Lazerson, Laura Hofstadter.</t>
  </si>
  <si>
    <t>Bloom, Floyd E.</t>
  </si>
  <si>
    <t>New York : W.H. Freeman, c1985.</t>
  </si>
  <si>
    <t>1993-03-03</t>
  </si>
  <si>
    <t>640407:eng</t>
  </si>
  <si>
    <t>10914564</t>
  </si>
  <si>
    <t>991000457019702656</t>
  </si>
  <si>
    <t>2255722590002656</t>
  </si>
  <si>
    <t>9780716716372</t>
  </si>
  <si>
    <t>32285001561330</t>
  </si>
  <si>
    <t>893224993</t>
  </si>
  <si>
    <t>QP360 .B585 1988</t>
  </si>
  <si>
    <t>0                      QP 0360000B  585         1988</t>
  </si>
  <si>
    <t>Brain, mind, and behavior / Floyd E. Bloom, Arlyne Lazerson.</t>
  </si>
  <si>
    <t>New York : Freeman, c1988.</t>
  </si>
  <si>
    <t>17258720</t>
  </si>
  <si>
    <t>991001191069702656</t>
  </si>
  <si>
    <t>2264067280002656</t>
  </si>
  <si>
    <t>9780716718635</t>
  </si>
  <si>
    <t>32285000004597</t>
  </si>
  <si>
    <t>893225670</t>
  </si>
  <si>
    <t>QP360 .C34 1984</t>
  </si>
  <si>
    <t>0                      QP 0360000C  34          1984</t>
  </si>
  <si>
    <t>Neuroethology : nerve cells and the natural behavior of animals / Jeffrey M. Camhi.</t>
  </si>
  <si>
    <t>Camhi, Jeffrey M., 1941-</t>
  </si>
  <si>
    <t>Sunderland, Mass. : Sinauer Associates, c1984.</t>
  </si>
  <si>
    <t>2001-09-26</t>
  </si>
  <si>
    <t>43568403:eng</t>
  </si>
  <si>
    <t>9785746</t>
  </si>
  <si>
    <t>991000259489702656</t>
  </si>
  <si>
    <t>2261817930002656</t>
  </si>
  <si>
    <t>9780878930753</t>
  </si>
  <si>
    <t>32285001561181</t>
  </si>
  <si>
    <t>893255296</t>
  </si>
  <si>
    <t>QP360 .C347 2000</t>
  </si>
  <si>
    <t>0                      QP 0360000C  347         2000</t>
  </si>
  <si>
    <t>Behavioral neurobiology : the cellular organization of natural behavior / Thomas J. Carew.</t>
  </si>
  <si>
    <t>Carew, Thomas J.</t>
  </si>
  <si>
    <t>Sunderland, Mass. : Sinauer Associates Publishers, c2000.</t>
  </si>
  <si>
    <t>2001-12-20</t>
  </si>
  <si>
    <t>364691922:eng</t>
  </si>
  <si>
    <t>44502455</t>
  </si>
  <si>
    <t>991003664299702656</t>
  </si>
  <si>
    <t>2263470890002656</t>
  </si>
  <si>
    <t>9780878930845</t>
  </si>
  <si>
    <t>32285004429709</t>
  </si>
  <si>
    <t>893717947</t>
  </si>
  <si>
    <t>QP360 .C35</t>
  </si>
  <si>
    <t>0                      QP 0360000C  35</t>
  </si>
  <si>
    <t>Physiology of behavior / Neil R. Carlson.</t>
  </si>
  <si>
    <t>Carlson, Neil R., 1942-</t>
  </si>
  <si>
    <t>Boston : Allyn and Bacon, c1977.</t>
  </si>
  <si>
    <t>1991-11-19</t>
  </si>
  <si>
    <t>666131:eng</t>
  </si>
  <si>
    <t>2598484</t>
  </si>
  <si>
    <t>991004178779702656</t>
  </si>
  <si>
    <t>2265990280002656</t>
  </si>
  <si>
    <t>9780205057061</t>
  </si>
  <si>
    <t>32285000821529</t>
  </si>
  <si>
    <t>893693634</t>
  </si>
  <si>
    <t>QP360 .C35 1991</t>
  </si>
  <si>
    <t>0                      QP 0360000C  35          1991</t>
  </si>
  <si>
    <t>Boston : Allyn and Bacon, c1991.</t>
  </si>
  <si>
    <t>2004-01-30</t>
  </si>
  <si>
    <t>1992-06-10</t>
  </si>
  <si>
    <t>22542910</t>
  </si>
  <si>
    <t>991001790379702656</t>
  </si>
  <si>
    <t>2266628980002656</t>
  </si>
  <si>
    <t>9780205126385</t>
  </si>
  <si>
    <t>32285001127025</t>
  </si>
  <si>
    <t>893866483</t>
  </si>
  <si>
    <t>QP360 .C49 1989</t>
  </si>
  <si>
    <t>0                      QP 0360000C  49          1989</t>
  </si>
  <si>
    <t>Neurophilosophy : toward a unified science of the mind-brain / Patricia Smith Churchland.</t>
  </si>
  <si>
    <t>Churchland, Patricia Smith.</t>
  </si>
  <si>
    <t>Cambridge, Mass. : MIT Press, 1989, c1986.</t>
  </si>
  <si>
    <t>1st MIT Press pbk. ed.</t>
  </si>
  <si>
    <t>Computational models of cognition and perception</t>
  </si>
  <si>
    <t>1991-06-24</t>
  </si>
  <si>
    <t>874785:eng</t>
  </si>
  <si>
    <t>13008562</t>
  </si>
  <si>
    <t>991000768729702656</t>
  </si>
  <si>
    <t>2265488260002656</t>
  </si>
  <si>
    <t>9780262530859</t>
  </si>
  <si>
    <t>32285000658475</t>
  </si>
  <si>
    <t>893509090</t>
  </si>
  <si>
    <t>QP360 .C67</t>
  </si>
  <si>
    <t>0                      QP 0360000C  67</t>
  </si>
  <si>
    <t>Behavioral neuroscience : an introduction / Carl W. Cotman, James L. McGaugh.</t>
  </si>
  <si>
    <t>Cotman, Carl W.</t>
  </si>
  <si>
    <t>New York : Academic Press, c1980.</t>
  </si>
  <si>
    <t>1997-03-19</t>
  </si>
  <si>
    <t>408801:eng</t>
  </si>
  <si>
    <t>5008164</t>
  </si>
  <si>
    <t>991001758429702656</t>
  </si>
  <si>
    <t>2269277200002656</t>
  </si>
  <si>
    <t>9780121916503</t>
  </si>
  <si>
    <t>32285001561199</t>
  </si>
  <si>
    <t>893328349</t>
  </si>
  <si>
    <t>QP360 .E466 1995</t>
  </si>
  <si>
    <t>0                      QP 0360000E  466         1995</t>
  </si>
  <si>
    <t>Emotion, memory, and behavior : studies on human and nonhuman primates / edited by Teruo Nakajima and Taketoshi Ono.</t>
  </si>
  <si>
    <t>Tokyo : Japan Scientific Societies Press ; Boca Raton : CRC Press, c1995.</t>
  </si>
  <si>
    <t xml:space="preserve">ja </t>
  </si>
  <si>
    <t>Taniguchi symposia on brain sciences ; no. 18</t>
  </si>
  <si>
    <t>1997-03-06</t>
  </si>
  <si>
    <t>1996-09-05</t>
  </si>
  <si>
    <t>836974674:eng</t>
  </si>
  <si>
    <t>32922779</t>
  </si>
  <si>
    <t>991002533119702656</t>
  </si>
  <si>
    <t>2263999410002656</t>
  </si>
  <si>
    <t>9780849377778</t>
  </si>
  <si>
    <t>32285002294683</t>
  </si>
  <si>
    <t>893517401</t>
  </si>
  <si>
    <t>QP360 .E9313</t>
  </si>
  <si>
    <t>0                      QP 0360000E  9313</t>
  </si>
  <si>
    <t>Neuroethology : an introduction to the neurophysiological fundamentals of behavior / Jörg-Peter Ewert.</t>
  </si>
  <si>
    <t>Ewert, Jörg-Peter, 1938-</t>
  </si>
  <si>
    <t>Berlin ; New York : Springer-Verlag, 1980.</t>
  </si>
  <si>
    <t>1994-08-22</t>
  </si>
  <si>
    <t>1994-03-01</t>
  </si>
  <si>
    <t>457188:eng</t>
  </si>
  <si>
    <t>5608281</t>
  </si>
  <si>
    <t>991004850809702656</t>
  </si>
  <si>
    <t>2264501250002656</t>
  </si>
  <si>
    <t>9780387097909</t>
  </si>
  <si>
    <t>32285001850733</t>
  </si>
  <si>
    <t>893713130</t>
  </si>
  <si>
    <t>QP360 .E966 2003</t>
  </si>
  <si>
    <t>0                      QP 0360000E  966         2003</t>
  </si>
  <si>
    <t>Experimental methods in neuropsychology / edited by Kenneth Hugdahl.</t>
  </si>
  <si>
    <t>Boston : Kluwer Academic Publishers, c2003.</t>
  </si>
  <si>
    <t>Neuropsychology and cognition ; 21</t>
  </si>
  <si>
    <t>2003-03-20</t>
  </si>
  <si>
    <t>990870:eng</t>
  </si>
  <si>
    <t>50253182</t>
  </si>
  <si>
    <t>991003989029702656</t>
  </si>
  <si>
    <t>2268835780002656</t>
  </si>
  <si>
    <t>9781402072109</t>
  </si>
  <si>
    <t>32285004685730</t>
  </si>
  <si>
    <t>893423244</t>
  </si>
  <si>
    <t>QP360 .F715 1995</t>
  </si>
  <si>
    <t>0                      QP 0360000F  715         1995</t>
  </si>
  <si>
    <t>Societies of brains : a study in the neuroscience of love and hate / Walter J. Freeman.</t>
  </si>
  <si>
    <t>Hillsdale, N.J. : Lawrence Erlbaum Associates, 1995.</t>
  </si>
  <si>
    <t>The International Neural Networks Society series</t>
  </si>
  <si>
    <t>1996-02-29</t>
  </si>
  <si>
    <t>836994016:eng</t>
  </si>
  <si>
    <t>32052881</t>
  </si>
  <si>
    <t>991002460789702656</t>
  </si>
  <si>
    <t>2267069980002656</t>
  </si>
  <si>
    <t>9780805820164</t>
  </si>
  <si>
    <t>32285002138641</t>
  </si>
  <si>
    <t>893798616</t>
  </si>
  <si>
    <t>QP360 .G55 1989</t>
  </si>
  <si>
    <t>0                      QP 0360000G  55          1989</t>
  </si>
  <si>
    <t>Human nature and suffering / Paul Gilbert.</t>
  </si>
  <si>
    <t>Gilbert, Paul, 1951 June 20-</t>
  </si>
  <si>
    <t>Hove : Erlbaum, c1989.</t>
  </si>
  <si>
    <t>1997-09-29</t>
  </si>
  <si>
    <t>1991-07-17</t>
  </si>
  <si>
    <t>17787533:eng</t>
  </si>
  <si>
    <t>18628797</t>
  </si>
  <si>
    <t>991001377729702656</t>
  </si>
  <si>
    <t>2268196870002656</t>
  </si>
  <si>
    <t>9780863771163</t>
  </si>
  <si>
    <t>32285000661453</t>
  </si>
  <si>
    <t>893709211</t>
  </si>
  <si>
    <t>QP360 .G595 1999</t>
  </si>
  <si>
    <t>0                      QP 0360000G  595         1999</t>
  </si>
  <si>
    <t>An anatomy of thought : the origin and machinery of the mind / Ian Glynn.</t>
  </si>
  <si>
    <t>Glynn, Ian.</t>
  </si>
  <si>
    <t>Oxford ; New York : Oxford University Press, c1999.</t>
  </si>
  <si>
    <t>2003-01-28</t>
  </si>
  <si>
    <t>2000-09-13</t>
  </si>
  <si>
    <t>801616296:eng</t>
  </si>
  <si>
    <t>42049228</t>
  </si>
  <si>
    <t>991003249379702656</t>
  </si>
  <si>
    <t>2272002880002656</t>
  </si>
  <si>
    <t>9780195136968</t>
  </si>
  <si>
    <t>32285003761789</t>
  </si>
  <si>
    <t>893780763</t>
  </si>
  <si>
    <t>QP360 .G73 1994</t>
  </si>
  <si>
    <t>0                      QP 0360000G  73          1994</t>
  </si>
  <si>
    <t>Principles of biopsychology / Simon Green.</t>
  </si>
  <si>
    <t>Green, Simon, 1947-</t>
  </si>
  <si>
    <t>Hove : Erlbaum, c1994.</t>
  </si>
  <si>
    <t>Principles of psychology</t>
  </si>
  <si>
    <t>2000-04-24</t>
  </si>
  <si>
    <t>1995-05-10</t>
  </si>
  <si>
    <t>353628687:eng</t>
  </si>
  <si>
    <t>31902853</t>
  </si>
  <si>
    <t>991002379289702656</t>
  </si>
  <si>
    <t>2272537220002656</t>
  </si>
  <si>
    <t>9780863772818</t>
  </si>
  <si>
    <t>32285002039310</t>
  </si>
  <si>
    <t>893721431</t>
  </si>
  <si>
    <t>QP360 .G87</t>
  </si>
  <si>
    <t>0                      QP 0360000G  87</t>
  </si>
  <si>
    <t>Neuroethology : an introduction / D.M. Guthrie.</t>
  </si>
  <si>
    <t>Guthrie, D. M. (David Maltby)</t>
  </si>
  <si>
    <t>New York : Wiley, 1980.</t>
  </si>
  <si>
    <t>1998-11-15</t>
  </si>
  <si>
    <t>26266165:eng</t>
  </si>
  <si>
    <t>7245324</t>
  </si>
  <si>
    <t>991005092469702656</t>
  </si>
  <si>
    <t>2269205110002656</t>
  </si>
  <si>
    <t>9780470269930</t>
  </si>
  <si>
    <t>32285001561223</t>
  </si>
  <si>
    <t>893446554</t>
  </si>
  <si>
    <t>QP360 .H56 2004</t>
  </si>
  <si>
    <t>0                      QP 0360000H  56          2004</t>
  </si>
  <si>
    <t>Brain gender / Melissa Hines.</t>
  </si>
  <si>
    <t>Hines, Melissa.</t>
  </si>
  <si>
    <t>New York : Oxford University Press, 2004.</t>
  </si>
  <si>
    <t>2008-11-18</t>
  </si>
  <si>
    <t>2003-12-08</t>
  </si>
  <si>
    <t>661269:eng</t>
  </si>
  <si>
    <t>51804960</t>
  </si>
  <si>
    <t>991004162849702656</t>
  </si>
  <si>
    <t>2270880540002656</t>
  </si>
  <si>
    <t>9780195084108</t>
  </si>
  <si>
    <t>32285004845136</t>
  </si>
  <si>
    <t>893500200</t>
  </si>
  <si>
    <t>QP360 .J664 1993</t>
  </si>
  <si>
    <t>0                      QP 0360000J  664         1993</t>
  </si>
  <si>
    <t>The naked neuron : evolution and the languages of the body and brain / R. Joseph.</t>
  </si>
  <si>
    <t>Joseph, Rhawn.</t>
  </si>
  <si>
    <t>New York : Plenum, c1993.</t>
  </si>
  <si>
    <t>1993-12-10</t>
  </si>
  <si>
    <t>836839285:eng</t>
  </si>
  <si>
    <t>28345809</t>
  </si>
  <si>
    <t>991002203879702656</t>
  </si>
  <si>
    <t>2262772360002656</t>
  </si>
  <si>
    <t>9780306445101</t>
  </si>
  <si>
    <t>32285001815041</t>
  </si>
  <si>
    <t>893238766</t>
  </si>
  <si>
    <t>QP360 .K37</t>
  </si>
  <si>
    <t>0                      QP 0360000K  37</t>
  </si>
  <si>
    <t>Cellular basis of behavior : an introduction to behavioral neurobiology / Eric R. Kandel.</t>
  </si>
  <si>
    <t>Kandel, Eric R.</t>
  </si>
  <si>
    <t>San Francisco : W. H. Freeman, c1976.</t>
  </si>
  <si>
    <t>180098417:eng</t>
  </si>
  <si>
    <t>2091665</t>
  </si>
  <si>
    <t>991004011859702656</t>
  </si>
  <si>
    <t>2269304450002656</t>
  </si>
  <si>
    <t>9780716705239</t>
  </si>
  <si>
    <t>32285003014270</t>
  </si>
  <si>
    <t>893718357</t>
  </si>
  <si>
    <t>QP360 .K49 1988</t>
  </si>
  <si>
    <t>0                      QP 0360000K  49          1988</t>
  </si>
  <si>
    <t>Biological psychology / Daniel P. Kimble.</t>
  </si>
  <si>
    <t>Kimble, Daniel P. (Daniel Porter)</t>
  </si>
  <si>
    <t>New York : Holt, Rinehart and Winston, c1988.</t>
  </si>
  <si>
    <t>1999-11-03</t>
  </si>
  <si>
    <t>1991-11-12</t>
  </si>
  <si>
    <t>3901116768:eng</t>
  </si>
  <si>
    <t>16085508</t>
  </si>
  <si>
    <t>991001080209702656</t>
  </si>
  <si>
    <t>2259290130002656</t>
  </si>
  <si>
    <t>9780030696367</t>
  </si>
  <si>
    <t>32285000821511</t>
  </si>
  <si>
    <t>893346225</t>
  </si>
  <si>
    <t>QP360 .K64 1985</t>
  </si>
  <si>
    <t>0                      QP 0360000K  64          1985</t>
  </si>
  <si>
    <t>Fundamentals of human neuropsychology / Bryan Kolb and Ian Q. Whishaw.</t>
  </si>
  <si>
    <t>Kolb, Bryan, 1947-</t>
  </si>
  <si>
    <t>New York : Freeman, c1985.</t>
  </si>
  <si>
    <t>3907487:eng</t>
  </si>
  <si>
    <t>11371091</t>
  </si>
  <si>
    <t>991000526449702656</t>
  </si>
  <si>
    <t>2258965150002656</t>
  </si>
  <si>
    <t>9780716716723</t>
  </si>
  <si>
    <t>32285000821610</t>
  </si>
  <si>
    <t>893333551</t>
  </si>
  <si>
    <t>QP360 .M6</t>
  </si>
  <si>
    <t>0                      QP 0360000M  6</t>
  </si>
  <si>
    <t>The neurobiology of behavior : an introduction / Gordon J. Mogenson.</t>
  </si>
  <si>
    <t>Mogenson, Gordon J., 1931-</t>
  </si>
  <si>
    <t>Hillsdale, N.J. : L. Erlbaum Associates ; New York : distributed by Halsted Press, 1977.</t>
  </si>
  <si>
    <t>2003-10-15</t>
  </si>
  <si>
    <t>10559760:eng</t>
  </si>
  <si>
    <t>3482004</t>
  </si>
  <si>
    <t>991004446539702656</t>
  </si>
  <si>
    <t>2266331630002656</t>
  </si>
  <si>
    <t>9780470993415</t>
  </si>
  <si>
    <t>32285001852838</t>
  </si>
  <si>
    <t>893325394</t>
  </si>
  <si>
    <t>QP360 .N4936 1989</t>
  </si>
  <si>
    <t>0                      QP 0360000N  4936        1989</t>
  </si>
  <si>
    <t>Neuropsychological function and brain imaging / edited by Erin D. Bigler, Ronald A. Yeo, and Eric Turkheimer.</t>
  </si>
  <si>
    <t>New York : Plenum Press, c1989.</t>
  </si>
  <si>
    <t>Critical issues in neuropsychology</t>
  </si>
  <si>
    <t>2004-11-12</t>
  </si>
  <si>
    <t>1990-05-10</t>
  </si>
  <si>
    <t>365444294:eng</t>
  </si>
  <si>
    <t>18950152</t>
  </si>
  <si>
    <t>991001416969702656</t>
  </si>
  <si>
    <t>2262485900002656</t>
  </si>
  <si>
    <t>9780306430459</t>
  </si>
  <si>
    <t>32285000135896</t>
  </si>
  <si>
    <t>893244124</t>
  </si>
  <si>
    <t>QP360 .N4939 1994</t>
  </si>
  <si>
    <t>0                      QP 0360000N  4939        1994</t>
  </si>
  <si>
    <t>Neuropsychology / edited by Dahlia W. Zaidel.</t>
  </si>
  <si>
    <t>San Diego : Academic Press, c1994.</t>
  </si>
  <si>
    <t>Handbook of perception and cognition (2nd ed.)</t>
  </si>
  <si>
    <t>55807213:eng</t>
  </si>
  <si>
    <t>30110474</t>
  </si>
  <si>
    <t>991002321809702656</t>
  </si>
  <si>
    <t>2255669720002656</t>
  </si>
  <si>
    <t>9780127752907</t>
  </si>
  <si>
    <t>32285002393030</t>
  </si>
  <si>
    <t>893873368</t>
  </si>
  <si>
    <t>QP360 .N496 1985</t>
  </si>
  <si>
    <t>0                      QP 0360000N  496         1985</t>
  </si>
  <si>
    <t>The Neuropsychology of individual differences : a developmental perspective / edited by Lawrence C. Hartlage and Cathy F. Telzrow.</t>
  </si>
  <si>
    <t>New York : Plenum Press, c1985.</t>
  </si>
  <si>
    <t>Perspectives on individual differences</t>
  </si>
  <si>
    <t>1996-11-05</t>
  </si>
  <si>
    <t>836721542:eng</t>
  </si>
  <si>
    <t>12262942</t>
  </si>
  <si>
    <t>991000664669702656</t>
  </si>
  <si>
    <t>2270840580002656</t>
  </si>
  <si>
    <t>9780306419867</t>
  </si>
  <si>
    <t>32285001561355</t>
  </si>
  <si>
    <t>893339765</t>
  </si>
  <si>
    <t>QP360 .R45</t>
  </si>
  <si>
    <t>0                      QP 0360000R  45</t>
  </si>
  <si>
    <t>Research in the psychobiology of human behavior / edited by Eugene Meyer III and Joseph V. Brady.</t>
  </si>
  <si>
    <t>Baltimore : Johns Hopkins University Press, c1979.</t>
  </si>
  <si>
    <t>2005-08-05</t>
  </si>
  <si>
    <t>917829462:eng</t>
  </si>
  <si>
    <t>4907818</t>
  </si>
  <si>
    <t>991004745369702656</t>
  </si>
  <si>
    <t>2258733060002656</t>
  </si>
  <si>
    <t>9780801822384</t>
  </si>
  <si>
    <t>32285001561389</t>
  </si>
  <si>
    <t>893882881</t>
  </si>
  <si>
    <t>QP360 .R48 1982</t>
  </si>
  <si>
    <t>0                      QP 0360000R  48          1982</t>
  </si>
  <si>
    <t>Rhythmic aspects of behavior / edited by Frederick M. Brown and R. Curtis Graeber.</t>
  </si>
  <si>
    <t>Hillsdale, N.J. : Lawrence Erlbaum Associates, c1982.</t>
  </si>
  <si>
    <t>1994-04-27</t>
  </si>
  <si>
    <t>351001216:eng</t>
  </si>
  <si>
    <t>8220218</t>
  </si>
  <si>
    <t>991005219789702656</t>
  </si>
  <si>
    <t>2268116840002656</t>
  </si>
  <si>
    <t>9780898591682</t>
  </si>
  <si>
    <t>32285001561397</t>
  </si>
  <si>
    <t>893254668</t>
  </si>
  <si>
    <t>QP360 .R658 1996</t>
  </si>
  <si>
    <t>0                      QP 0360000R  658         1996</t>
  </si>
  <si>
    <t>Biological psychology / Mark R. Rosenzweig, Arnold L. Leiman, S. Marc Breedlove.</t>
  </si>
  <si>
    <t>Rosenzweig, Mark R.</t>
  </si>
  <si>
    <t>Sunderland, Mass. : Sinauer Associates, c1996.</t>
  </si>
  <si>
    <t>2006-12-04</t>
  </si>
  <si>
    <t>1996-05-29</t>
  </si>
  <si>
    <t>15396790:eng</t>
  </si>
  <si>
    <t>33948955</t>
  </si>
  <si>
    <t>991002591579702656</t>
  </si>
  <si>
    <t>2260769680002656</t>
  </si>
  <si>
    <t>9780878937752</t>
  </si>
  <si>
    <t>32285002179181</t>
  </si>
  <si>
    <t>893251418</t>
  </si>
  <si>
    <t>QP360 .R658 2002</t>
  </si>
  <si>
    <t>0                      QP 0360000R  658         2002</t>
  </si>
  <si>
    <t>Biological psychology : an introduction to behavioral, cognitive, and clinical neuroscience / Mark R. Rosenzweig, S. Marc Breedlove, Arnold L. Leiman.</t>
  </si>
  <si>
    <t>Sunderland, Mass. : Sinauer, c2002.</t>
  </si>
  <si>
    <t>2009-08-12</t>
  </si>
  <si>
    <t>2002-11-04</t>
  </si>
  <si>
    <t>47119598</t>
  </si>
  <si>
    <t>991003860119702656</t>
  </si>
  <si>
    <t>2256004460002656</t>
  </si>
  <si>
    <t>9780878937097</t>
  </si>
  <si>
    <t>32285004736814</t>
  </si>
  <si>
    <t>893349288</t>
  </si>
  <si>
    <t>QP360 .Y68 1987</t>
  </si>
  <si>
    <t>0                      QP 0360000Y  68          1987</t>
  </si>
  <si>
    <t>Philosophy and the brain / J.Z. Young.</t>
  </si>
  <si>
    <t>Young, J. Z. (John Zachary), 1907-1997.</t>
  </si>
  <si>
    <t>Oxford [Oxfordshire] ; New York : Oxford University Press, 1987.</t>
  </si>
  <si>
    <t>An OPUS book</t>
  </si>
  <si>
    <t>2003-05-04</t>
  </si>
  <si>
    <t>61146772:eng</t>
  </si>
  <si>
    <t>13760742</t>
  </si>
  <si>
    <t>991000867479702656</t>
  </si>
  <si>
    <t>2266191660002656</t>
  </si>
  <si>
    <t>9780192192158</t>
  </si>
  <si>
    <t>32285001561454</t>
  </si>
  <si>
    <t>893620870</t>
  </si>
  <si>
    <t>QP360.5 .B465 2003</t>
  </si>
  <si>
    <t>0                      QP 0360500B  465         2003</t>
  </si>
  <si>
    <t>Philosophical foundations of neuroscience / M.R. Bennett and P.M.S. Hacker.</t>
  </si>
  <si>
    <t>Bennett, M. R.</t>
  </si>
  <si>
    <t>Malden, MA : Blackwell Pub., 2003.</t>
  </si>
  <si>
    <t>2004-11-01</t>
  </si>
  <si>
    <t>991839:eng</t>
  </si>
  <si>
    <t>50410325</t>
  </si>
  <si>
    <t>991004380069702656</t>
  </si>
  <si>
    <t>2262242660002656</t>
  </si>
  <si>
    <t>9781405108386</t>
  </si>
  <si>
    <t>32285005007868</t>
  </si>
  <si>
    <t>893423722</t>
  </si>
  <si>
    <t>QP360.5 .C638 1997</t>
  </si>
  <si>
    <t>0                      QP 0360500C  638         1997</t>
  </si>
  <si>
    <t>Cognitive neuroscience / edited by Michael D. Rugg.</t>
  </si>
  <si>
    <t>Cambridge, Mass. : MIT Press, 1997.</t>
  </si>
  <si>
    <t>1st MIT Press ed.</t>
  </si>
  <si>
    <t>Studies in cognition</t>
  </si>
  <si>
    <t>2006-11-19</t>
  </si>
  <si>
    <t>1999-03-22</t>
  </si>
  <si>
    <t>56116603:eng</t>
  </si>
  <si>
    <t>35770854</t>
  </si>
  <si>
    <t>991002727119702656</t>
  </si>
  <si>
    <t>2270809700002656</t>
  </si>
  <si>
    <t>9780262181815</t>
  </si>
  <si>
    <t>32285003534160</t>
  </si>
  <si>
    <t>893780139</t>
  </si>
  <si>
    <t>QP360.5 .E966 2006</t>
  </si>
  <si>
    <t>0                      QP 0360500E  966         2006</t>
  </si>
  <si>
    <t>Evolution and culture : a Fyssen Foundation symposium / edited by Stephen C. Levinson and Pierre Jaisson.</t>
  </si>
  <si>
    <t>Cambridge, Mass. : MIT Press, c2006.</t>
  </si>
  <si>
    <t>Fyssen Foundation series</t>
  </si>
  <si>
    <t>2008-01-14</t>
  </si>
  <si>
    <t>890931480:eng</t>
  </si>
  <si>
    <t>58043127</t>
  </si>
  <si>
    <t>991005167679702656</t>
  </si>
  <si>
    <t>2258756650002656</t>
  </si>
  <si>
    <t>9780262122788</t>
  </si>
  <si>
    <t>32285005376933</t>
  </si>
  <si>
    <t>893701126</t>
  </si>
  <si>
    <t>QP360.5 .H357 2001</t>
  </si>
  <si>
    <t>0                      QP 0360500H  357         2001</t>
  </si>
  <si>
    <t>The handbook of cognitive neuropsychology : what deficits reveal about the human mind / edited by Brenda Rapp.</t>
  </si>
  <si>
    <t>Philadelphia : Psychology Press, c2001.</t>
  </si>
  <si>
    <t>2002-03-25</t>
  </si>
  <si>
    <t>2002-02-28</t>
  </si>
  <si>
    <t>807589238:eng</t>
  </si>
  <si>
    <t>44427293</t>
  </si>
  <si>
    <t>991003583029702656</t>
  </si>
  <si>
    <t>2257866030002656</t>
  </si>
  <si>
    <t>9780863775925</t>
  </si>
  <si>
    <t>32285004458732</t>
  </si>
  <si>
    <t>893598726</t>
  </si>
  <si>
    <t>QP360.5 .M56 1995</t>
  </si>
  <si>
    <t>0                      QP 0360500M  56          1995</t>
  </si>
  <si>
    <t>The Mind, the brain, and complex adaptive systems / editors, Harold Morowitz, Jerome L. Singer.</t>
  </si>
  <si>
    <t>Reading, Mass. : Addison-Wesley Pub. Co., c1995.</t>
  </si>
  <si>
    <t>Proceedings volume XXII / Santa Fe Institute Studies in the sciences of complexity</t>
  </si>
  <si>
    <t>2007-02-05</t>
  </si>
  <si>
    <t>1996-01-17</t>
  </si>
  <si>
    <t>369486780:eng</t>
  </si>
  <si>
    <t>31606815</t>
  </si>
  <si>
    <t>991002424799702656</t>
  </si>
  <si>
    <t>2262520130002656</t>
  </si>
  <si>
    <t>9780201409864</t>
  </si>
  <si>
    <t>32285002118320</t>
  </si>
  <si>
    <t>893603585</t>
  </si>
  <si>
    <t>QP360.5 .P65 2008</t>
  </si>
  <si>
    <t>0                      QP 0360500P  65          2008</t>
  </si>
  <si>
    <t>Neuroeconomics : a guide to the new science of making choices / Peter Politser.</t>
  </si>
  <si>
    <t>Politser, Peter E.</t>
  </si>
  <si>
    <t>Oxford ; New York : Oxford University Press, c2008.</t>
  </si>
  <si>
    <t>2009-09-01</t>
  </si>
  <si>
    <t>326827975:eng</t>
  </si>
  <si>
    <t>62878350</t>
  </si>
  <si>
    <t>991005221429702656</t>
  </si>
  <si>
    <t>2259642420002656</t>
  </si>
  <si>
    <t>9780195305821</t>
  </si>
  <si>
    <t>32285005441091</t>
  </si>
  <si>
    <t>893338749</t>
  </si>
  <si>
    <t>QP360.5 .S96 1995</t>
  </si>
  <si>
    <t>0                      QP 0360500S  96          1995</t>
  </si>
  <si>
    <t>A celebration of neurons : an educator's guide to the human brain / Robert Sylwester.</t>
  </si>
  <si>
    <t>Sylwester, Robert.</t>
  </si>
  <si>
    <t>Alexandria, Va. : Association for Supervision and Curriculum Development, c1995.</t>
  </si>
  <si>
    <t>vau</t>
  </si>
  <si>
    <t>1995-07-12</t>
  </si>
  <si>
    <t>20803590:eng</t>
  </si>
  <si>
    <t>32432109</t>
  </si>
  <si>
    <t>991002493149702656</t>
  </si>
  <si>
    <t>2256182160002656</t>
  </si>
  <si>
    <t>9780871202437</t>
  </si>
  <si>
    <t>32285002058021</t>
  </si>
  <si>
    <t>893591402</t>
  </si>
  <si>
    <t>QP360.5 .U87 2005</t>
  </si>
  <si>
    <t>0                      QP 0360500U  87          2005</t>
  </si>
  <si>
    <t>Neural theories of mind : why the mind-brain problem may never be solved / William R. Uttal.</t>
  </si>
  <si>
    <t>Uttal, William R.</t>
  </si>
  <si>
    <t>Mahwah, N.J. : Lawrence Erlbaum Associates, 2005.</t>
  </si>
  <si>
    <t>2005</t>
  </si>
  <si>
    <t>2006-03-30</t>
  </si>
  <si>
    <t>2006-02-27</t>
  </si>
  <si>
    <t>795511320:eng</t>
  </si>
  <si>
    <t>57391684</t>
  </si>
  <si>
    <t>991004752649702656</t>
  </si>
  <si>
    <t>2267206830002656</t>
  </si>
  <si>
    <t>9780805854848</t>
  </si>
  <si>
    <t>32285005168769</t>
  </si>
  <si>
    <t>893882897</t>
  </si>
  <si>
    <t>QP361 .S33 1967</t>
  </si>
  <si>
    <t>0                      QP 0361000S  33          1967</t>
  </si>
  <si>
    <t>Neural networks; proceedings of the School on Neural Networks, June, 1967, in Ravello; edited by E.R. Caianiello.</t>
  </si>
  <si>
    <t>School on Neural Networks (1967 : Ravello, Italy)</t>
  </si>
  <si>
    <t>Berlin, New York, [etc.] Springer-Verlag, 1968.</t>
  </si>
  <si>
    <t>895552094:eng</t>
  </si>
  <si>
    <t>765005</t>
  </si>
  <si>
    <t>991003241959702656</t>
  </si>
  <si>
    <t>2268538470002656</t>
  </si>
  <si>
    <t>32285003014403</t>
  </si>
  <si>
    <t>893809889</t>
  </si>
  <si>
    <t>QP361 .S8 1917</t>
  </si>
  <si>
    <t>0                      QP 0361000S  8           1917</t>
  </si>
  <si>
    <t>The nervous system and its conservation, by Percy Goldthwait Stiles.</t>
  </si>
  <si>
    <t>Stiles, Percy Goldthwait, 1875-1936.</t>
  </si>
  <si>
    <t>Philadelphia, Saunders, 1917.</t>
  </si>
  <si>
    <t>1917</t>
  </si>
  <si>
    <t>2d ed., rev.</t>
  </si>
  <si>
    <t>1999-02-14</t>
  </si>
  <si>
    <t>2443906:eng</t>
  </si>
  <si>
    <t>6540262</t>
  </si>
  <si>
    <t>991005000619702656</t>
  </si>
  <si>
    <t>2258008080002656</t>
  </si>
  <si>
    <t>32285003014411</t>
  </si>
  <si>
    <t>893533018</t>
  </si>
  <si>
    <t>QP363 .C46</t>
  </si>
  <si>
    <t>0                      QP 0363000C  46</t>
  </si>
  <si>
    <t>Chemical transmission in the mammalian central nervous system / edited by Charles H. Hockman and Detlef Bieger, with the organizing assistance of George M. Ling.</t>
  </si>
  <si>
    <t>Baltimore : University Park Press, c1976.</t>
  </si>
  <si>
    <t>1995-02-15</t>
  </si>
  <si>
    <t>367115111:eng</t>
  </si>
  <si>
    <t>1992209</t>
  </si>
  <si>
    <t>991003971229702656</t>
  </si>
  <si>
    <t>2262158900002656</t>
  </si>
  <si>
    <t>9780839108634</t>
  </si>
  <si>
    <t>32285001852820</t>
  </si>
  <si>
    <t>893869131</t>
  </si>
  <si>
    <t>QP363 .I23 2008</t>
  </si>
  <si>
    <t>0                      QP 0363000I  23          2008</t>
  </si>
  <si>
    <t>Mirroring people : the new science of how we connect with others / Marco Iacoboni.</t>
  </si>
  <si>
    <t>Iacoboni, Marco.</t>
  </si>
  <si>
    <t>New York : Farrar, Straus and Giroux, 2008.</t>
  </si>
  <si>
    <t>2008-10-30</t>
  </si>
  <si>
    <t>2008-10-07</t>
  </si>
  <si>
    <t>346079929:eng</t>
  </si>
  <si>
    <t>180752040</t>
  </si>
  <si>
    <t>991005267189702656</t>
  </si>
  <si>
    <t>2264767680002656</t>
  </si>
  <si>
    <t>9780374210175</t>
  </si>
  <si>
    <t>32285005461743</t>
  </si>
  <si>
    <t>893720101</t>
  </si>
  <si>
    <t>QP363 .P87 1988</t>
  </si>
  <si>
    <t>0                      QP 0363000P  87          1988</t>
  </si>
  <si>
    <t>Body and brain : a trophic theory of neural connections / Dale Purves.</t>
  </si>
  <si>
    <t>Purves, Dale.</t>
  </si>
  <si>
    <t>Cambridge, Mass. : Harvard University Press, 1988.</t>
  </si>
  <si>
    <t>1997-04-21</t>
  </si>
  <si>
    <t>1990-05-03</t>
  </si>
  <si>
    <t>836172350:eng</t>
  </si>
  <si>
    <t>17552028</t>
  </si>
  <si>
    <t>991001237379702656</t>
  </si>
  <si>
    <t>2263533410002656</t>
  </si>
  <si>
    <t>9780674077157</t>
  </si>
  <si>
    <t>32285000117936</t>
  </si>
  <si>
    <t>893225729</t>
  </si>
  <si>
    <t>QP363.3 .A534 1995</t>
  </si>
  <si>
    <t>0                      QP 0363300A  534         1995</t>
  </si>
  <si>
    <t>An introduction to neural networks / James A. Anderson.</t>
  </si>
  <si>
    <t>Anderson, James A.</t>
  </si>
  <si>
    <t>Cambridge, Mass. : MIT Press, c1995.</t>
  </si>
  <si>
    <t>1999-04-19</t>
  </si>
  <si>
    <t>1997-05-09</t>
  </si>
  <si>
    <t>694008:eng</t>
  </si>
  <si>
    <t>30971691</t>
  </si>
  <si>
    <t>991002382179702656</t>
  </si>
  <si>
    <t>2260738760002656</t>
  </si>
  <si>
    <t>9780262011440</t>
  </si>
  <si>
    <t>32285002606530</t>
  </si>
  <si>
    <t>893591285</t>
  </si>
  <si>
    <t>QP363.3 .B72 1990</t>
  </si>
  <si>
    <t>0                      QP 0363300B  72          1990</t>
  </si>
  <si>
    <t>Brain circuits and functions of the mind : essays in honor of Roger W. Sperry / Colwyn Trevarthen, editor.</t>
  </si>
  <si>
    <t>Cambridge ; New York : Cambridge University Press, 1990.</t>
  </si>
  <si>
    <t>1995-02-18</t>
  </si>
  <si>
    <t>1991-02-08</t>
  </si>
  <si>
    <t>795527070:eng</t>
  </si>
  <si>
    <t>19740394</t>
  </si>
  <si>
    <t>991001493499702656</t>
  </si>
  <si>
    <t>2264521950002656</t>
  </si>
  <si>
    <t>9780521378741</t>
  </si>
  <si>
    <t>32285000463470</t>
  </si>
  <si>
    <t>893509653</t>
  </si>
  <si>
    <t>QP363.3 .C45 1984</t>
  </si>
  <si>
    <t>0                      QP 0363300C  45          1984</t>
  </si>
  <si>
    <t>Cellular and molecular biology of neuronal development / edited by Ira B. Black.</t>
  </si>
  <si>
    <t>New York : Plenum Press, c1984.</t>
  </si>
  <si>
    <t>1996-09-20</t>
  </si>
  <si>
    <t>3125947:eng</t>
  </si>
  <si>
    <t>10272902</t>
  </si>
  <si>
    <t>991000341099702656</t>
  </si>
  <si>
    <t>2271005360002656</t>
  </si>
  <si>
    <t>9780306415500</t>
  </si>
  <si>
    <t>32285001561488</t>
  </si>
  <si>
    <t>893708292</t>
  </si>
  <si>
    <t>QP363.3 .I44 1987</t>
  </si>
  <si>
    <t>0                      QP 0363300I  44          1987</t>
  </si>
  <si>
    <t>IEEE First International Conference on Neural Networks, Sheraton Harbor Island East, San Diego, California, June 21-24, 1987 / editors, Maureen Caudill, Charles Butler.</t>
  </si>
  <si>
    <t>IEEE International Conference on Neural Networks (1st : 1987 : San Diego, Calif.)</t>
  </si>
  <si>
    <t>San Diego, CA : SOS Print. ; Piscataway, NJ : Order from IEEE Service Center, c1987.</t>
  </si>
  <si>
    <t>1993-12-05</t>
  </si>
  <si>
    <t>2003-05-30</t>
  </si>
  <si>
    <t>23448623:eng</t>
  </si>
  <si>
    <t>17554028</t>
  </si>
  <si>
    <t>991001237589702656</t>
  </si>
  <si>
    <t>2263069170002656</t>
  </si>
  <si>
    <t>32285001561496</t>
  </si>
  <si>
    <t>893231827</t>
  </si>
  <si>
    <t>32285001561504</t>
  </si>
  <si>
    <t>893256127</t>
  </si>
  <si>
    <t>32285001561512</t>
  </si>
  <si>
    <t>893243975</t>
  </si>
  <si>
    <t>V.4</t>
  </si>
  <si>
    <t>1995-03-29</t>
  </si>
  <si>
    <t>32285001561520</t>
  </si>
  <si>
    <t>893243974</t>
  </si>
  <si>
    <t>QP363.3 .I44 1988</t>
  </si>
  <si>
    <t>0                      QP 0363300I  44          1988</t>
  </si>
  <si>
    <t>IEEE International Conference on Neural Networks, Sheraton Harbor Island, San Diego, California, July 24-27, 1988 / sponsored by IEEE San Diego Section, IEEE Technical Activities Board, Neural Network Committee.</t>
  </si>
  <si>
    <t>IEEE International Conference on Neural Networks (1988 : San Diego, Calif.)</t>
  </si>
  <si>
    <t>San Diego, CA : The Section ; Piscataway, NJ : Order from IEEE Service Center, c1988.</t>
  </si>
  <si>
    <t>1999-02-21</t>
  </si>
  <si>
    <t>22115237:eng</t>
  </si>
  <si>
    <t>20217804</t>
  </si>
  <si>
    <t>991001549789702656</t>
  </si>
  <si>
    <t>2271611820002656</t>
  </si>
  <si>
    <t>32285001561538</t>
  </si>
  <si>
    <t>893778863</t>
  </si>
  <si>
    <t>1992-01-10</t>
  </si>
  <si>
    <t>32285000912385</t>
  </si>
  <si>
    <t>893803676</t>
  </si>
  <si>
    <t>QP363.3 .I565 1990</t>
  </si>
  <si>
    <t>0                      QP 0363300I  565         1990</t>
  </si>
  <si>
    <t>IJCNN International Joint Conference on Neural Networks, June 17-21, 1990, San Diego Marriott Hotel and Marina / [co-sponsored by] the Institute of Electrical and Electronics Engineers and International Neural Network Society.</t>
  </si>
  <si>
    <t>International Joint Conference on Neural Networks (1990 : San Diego, Calif.)</t>
  </si>
  <si>
    <t>New York : IEEE Neural Networks Council, c1990.</t>
  </si>
  <si>
    <t>1991-04-03</t>
  </si>
  <si>
    <t>22875476:eng</t>
  </si>
  <si>
    <t>22000913</t>
  </si>
  <si>
    <t>991001740109702656</t>
  </si>
  <si>
    <t>2270960130002656</t>
  </si>
  <si>
    <t>32285000565191</t>
  </si>
  <si>
    <t>893232210</t>
  </si>
  <si>
    <t>32285000565183</t>
  </si>
  <si>
    <t>893250435</t>
  </si>
  <si>
    <t>32285000565209</t>
  </si>
  <si>
    <t>893244351</t>
  </si>
  <si>
    <t>QP363.3 .L48 1991</t>
  </si>
  <si>
    <t>0                      QP 0363300L  48          1991</t>
  </si>
  <si>
    <t>Introduction to neural and cognitive modeling / Daniel S. Levine.</t>
  </si>
  <si>
    <t>Levine, Daniel S.</t>
  </si>
  <si>
    <t>Hillsdale, N.J. : L. Erlbaum Associates, c1991.</t>
  </si>
  <si>
    <t>1996-09-19</t>
  </si>
  <si>
    <t>1992-02-04</t>
  </si>
  <si>
    <t>1001461:eng</t>
  </si>
  <si>
    <t>22112379</t>
  </si>
  <si>
    <t>991001745549702656</t>
  </si>
  <si>
    <t>2263040110002656</t>
  </si>
  <si>
    <t>9780805802689</t>
  </si>
  <si>
    <t>32285000868421</t>
  </si>
  <si>
    <t>893444784</t>
  </si>
  <si>
    <t>QP363.3 .N3 1991</t>
  </si>
  <si>
    <t>0                      QP 0363300N  3           1991</t>
  </si>
  <si>
    <t>Neural network models of conditioning and action / edited by Michael L. Commons, Stephen Grossberg, John E.R. Staddon.</t>
  </si>
  <si>
    <t>Hillsdale, NJ : Lawrence Erlbaum Associates, c1991.</t>
  </si>
  <si>
    <t>Quantitative analyses of behavior series ; v. 11</t>
  </si>
  <si>
    <t>426999620:eng</t>
  </si>
  <si>
    <t>25875396</t>
  </si>
  <si>
    <t>991001868079702656</t>
  </si>
  <si>
    <t>2256059900002656</t>
  </si>
  <si>
    <t>9780805808421</t>
  </si>
  <si>
    <t>32285000594449</t>
  </si>
  <si>
    <t>893232333</t>
  </si>
  <si>
    <t>QP363.3 .N46 1988</t>
  </si>
  <si>
    <t>0                      QP 0363300N  46          1988</t>
  </si>
  <si>
    <t>Neurocomputing / edited by James A. Anderson and Edward Rosenfeld.</t>
  </si>
  <si>
    <t>Cambridge, Mass. : MIT Press, c1988-c1990.</t>
  </si>
  <si>
    <t>1995-06-17</t>
  </si>
  <si>
    <t>1995-10-12</t>
  </si>
  <si>
    <t>1990-03-20</t>
  </si>
  <si>
    <t>1991-07-30</t>
  </si>
  <si>
    <t>4776411180:eng</t>
  </si>
  <si>
    <t>15860311</t>
  </si>
  <si>
    <t>991001070079702656</t>
  </si>
  <si>
    <t>2259020550002656</t>
  </si>
  <si>
    <t>9780262011198</t>
  </si>
  <si>
    <t>32285000088426</t>
  </si>
  <si>
    <t>893885013</t>
  </si>
  <si>
    <t>32285000663335</t>
  </si>
  <si>
    <t>893865940</t>
  </si>
  <si>
    <t>QP363.5 .A87 1995</t>
  </si>
  <si>
    <t>0                      QP 0363500A  87          1995</t>
  </si>
  <si>
    <t>Assessment of biological mechanisms across the life span / edited by Lisabeth F. DiLalla, Stephanie M. Clancy Dollinger.</t>
  </si>
  <si>
    <t>2000-06-19</t>
  </si>
  <si>
    <t>901753099:eng</t>
  </si>
  <si>
    <t>31166487</t>
  </si>
  <si>
    <t>991002397989702656</t>
  </si>
  <si>
    <t>2271816700002656</t>
  </si>
  <si>
    <t>9780805814866</t>
  </si>
  <si>
    <t>32285002294675</t>
  </si>
  <si>
    <t>893691569</t>
  </si>
  <si>
    <t>QP363.5 .D47 1992</t>
  </si>
  <si>
    <t>0                      QP 0363500D  47          1992</t>
  </si>
  <si>
    <t>Development and regeneration of the nervous system / edited by S. Nona ... [et al.].</t>
  </si>
  <si>
    <t>London ; New York : Chapman &amp; Hall, 1992.</t>
  </si>
  <si>
    <t>1997-04-15</t>
  </si>
  <si>
    <t>1994-01-14</t>
  </si>
  <si>
    <t>55703301:eng</t>
  </si>
  <si>
    <t>28026455</t>
  </si>
  <si>
    <t>991002177359702656</t>
  </si>
  <si>
    <t>2262876490002656</t>
  </si>
  <si>
    <t>9780412402807</t>
  </si>
  <si>
    <t>32285001831600</t>
  </si>
  <si>
    <t>893504096</t>
  </si>
  <si>
    <t>QP363.5 .D48 1986</t>
  </si>
  <si>
    <t>0                      QP 0363500D  48          1986</t>
  </si>
  <si>
    <t>Developmental neuropsychobiology / edited by William T. Greenough, Janice M. Juraska.</t>
  </si>
  <si>
    <t>Behavioral biology</t>
  </si>
  <si>
    <t>1994-09-17</t>
  </si>
  <si>
    <t>1991-01-16</t>
  </si>
  <si>
    <t>355788946:eng</t>
  </si>
  <si>
    <t>11841473</t>
  </si>
  <si>
    <t>991000601299702656</t>
  </si>
  <si>
    <t>2266154700002656</t>
  </si>
  <si>
    <t>9780123002709</t>
  </si>
  <si>
    <t>32285000408228</t>
  </si>
  <si>
    <t>893695982</t>
  </si>
  <si>
    <t>QP363.5 .H66 1984</t>
  </si>
  <si>
    <t>0                      QP 0363500H  66          1984</t>
  </si>
  <si>
    <t>Development of nerve cells and their connections / W.G. Hopkins and M.C. Brown.</t>
  </si>
  <si>
    <t>Hopkins, W. G. (William Gary), 1947-</t>
  </si>
  <si>
    <t>197213391:eng</t>
  </si>
  <si>
    <t>9576664</t>
  </si>
  <si>
    <t>991000221879702656</t>
  </si>
  <si>
    <t>2267566090002656</t>
  </si>
  <si>
    <t>9780521273251</t>
  </si>
  <si>
    <t>32285001561553</t>
  </si>
  <si>
    <t>893224844</t>
  </si>
  <si>
    <t>QP363.5 .H86 1994</t>
  </si>
  <si>
    <t>0                      QP 0363500H  86          1994</t>
  </si>
  <si>
    <t>Human behavior and the developing brain / edited by Geraldine Dawson, Kurt W. Fischer ; foreword by Patricia S. Goldman-Rakic.</t>
  </si>
  <si>
    <t>New York : Guilford Press, c1994.</t>
  </si>
  <si>
    <t>2002-11-19</t>
  </si>
  <si>
    <t>1994-12-13</t>
  </si>
  <si>
    <t>3857211944:eng</t>
  </si>
  <si>
    <t>28802042</t>
  </si>
  <si>
    <t>991002235239702656</t>
  </si>
  <si>
    <t>2257431140002656</t>
  </si>
  <si>
    <t>9780898620924</t>
  </si>
  <si>
    <t>32285001976371</t>
  </si>
  <si>
    <t>893232716</t>
  </si>
  <si>
    <t>QP363.5 .P87 1985</t>
  </si>
  <si>
    <t>0                      QP 0363500P  87          1985</t>
  </si>
  <si>
    <t>Principles of neural development / Dale Purves and Jeff W. Lichtman.</t>
  </si>
  <si>
    <t>Sunderland, Mass. : Sinauer Associates, 1985.</t>
  </si>
  <si>
    <t>980360:eng</t>
  </si>
  <si>
    <t>10798963</t>
  </si>
  <si>
    <t>991000435989702656</t>
  </si>
  <si>
    <t>2271045060002656</t>
  </si>
  <si>
    <t>9780878937448</t>
  </si>
  <si>
    <t>32285001561603</t>
  </si>
  <si>
    <t>893345653</t>
  </si>
  <si>
    <t>QP363.5 .R4 1982</t>
  </si>
  <si>
    <t>0                      QP 0363500R  4           1982</t>
  </si>
  <si>
    <t>Readings in developmental neurobiology / edited by Paul H. Patterson, Dale Purves.</t>
  </si>
  <si>
    <t>Cold Spring Harbor, N.Y. : Cold Spring Harbor Laboratory, 1982.</t>
  </si>
  <si>
    <t>1996-01-18</t>
  </si>
  <si>
    <t>365161016:eng</t>
  </si>
  <si>
    <t>8176649</t>
  </si>
  <si>
    <t>991005214519702656</t>
  </si>
  <si>
    <t>2259550260002656</t>
  </si>
  <si>
    <t>9780879691448</t>
  </si>
  <si>
    <t>32285001561611</t>
  </si>
  <si>
    <t>893418564</t>
  </si>
  <si>
    <t>QP363.5 .T37 1982</t>
  </si>
  <si>
    <t>0                      QP 0363500T  37          1982</t>
  </si>
  <si>
    <t>Developing and regenerating vertebrate nervous systems : proceedings of the Fourth Tarbox Parkinson's Disease Symposium, September 30-October 2, 1982, Texas Tech University, Lubbock, Texas / editors, Penelope W. Coates, Roger R. Markwald, Alexander D. Kenny.</t>
  </si>
  <si>
    <t>Tarbox Parkinson's Disease Symposium (4th : 1982 : Lubbock, Tex.)</t>
  </si>
  <si>
    <t>Neurology and neurobiology ; v. 6</t>
  </si>
  <si>
    <t>43729782:eng</t>
  </si>
  <si>
    <t>9682975</t>
  </si>
  <si>
    <t>991000239839702656</t>
  </si>
  <si>
    <t>2264002120002656</t>
  </si>
  <si>
    <t>9780845127056</t>
  </si>
  <si>
    <t>32285000976331</t>
  </si>
  <si>
    <t>893249203</t>
  </si>
  <si>
    <t>QP364 .S969 1987</t>
  </si>
  <si>
    <t>0                      QP 0364000S  969         1987</t>
  </si>
  <si>
    <t>Synaptic function / edited by Gerald M. Edelman, W. Einar Gall, W. Maxwell Cowan.</t>
  </si>
  <si>
    <t>New York : Wiley, c1987.</t>
  </si>
  <si>
    <t>The Neurosciences Institute publication series</t>
  </si>
  <si>
    <t>906397541:eng</t>
  </si>
  <si>
    <t>14358847</t>
  </si>
  <si>
    <t>991000934989702656</t>
  </si>
  <si>
    <t>2258622670002656</t>
  </si>
  <si>
    <t>9780471855576</t>
  </si>
  <si>
    <t>32285001561637</t>
  </si>
  <si>
    <t>893515762</t>
  </si>
  <si>
    <t>QP364.5 .F37 1986</t>
  </si>
  <si>
    <t>0                      QP 0364500F  37          1986</t>
  </si>
  <si>
    <t>Fast and slow chemical signalling in the nervous system / edited by L.L. Iversen and E.C. Goodman.</t>
  </si>
  <si>
    <t>Oxford ; New York : Oxford University Press, 1986.</t>
  </si>
  <si>
    <t>Oxford medical publications</t>
  </si>
  <si>
    <t>2007-02-15</t>
  </si>
  <si>
    <t>355444226:eng</t>
  </si>
  <si>
    <t>13159048</t>
  </si>
  <si>
    <t>991000791959702656</t>
  </si>
  <si>
    <t>2267637460002656</t>
  </si>
  <si>
    <t>9780198572169</t>
  </si>
  <si>
    <t>32285001561645</t>
  </si>
  <si>
    <t>893438603</t>
  </si>
  <si>
    <t>QP364.5 .I53</t>
  </si>
  <si>
    <t>0                      QP 0364500I  53</t>
  </si>
  <si>
    <t>Information processing in the nervous system / editors, Harold M. Pinsker and William D. Willis, Jr.</t>
  </si>
  <si>
    <t>1994-03-10</t>
  </si>
  <si>
    <t>355793869:eng</t>
  </si>
  <si>
    <t>6040580</t>
  </si>
  <si>
    <t>991004918999702656</t>
  </si>
  <si>
    <t>2259319810002656</t>
  </si>
  <si>
    <t>9780890044223</t>
  </si>
  <si>
    <t>32285001561652</t>
  </si>
  <si>
    <t>893353594</t>
  </si>
  <si>
    <t>QP364.7 .N48 1990</t>
  </si>
  <si>
    <t>0                      QP 0364700N  48          1990</t>
  </si>
  <si>
    <t>Neurotransmitter release : the neuromuscular junction / edited by Francesco Clementi and Jacopo Meldolesi.</t>
  </si>
  <si>
    <t>London : Academic Press, c1990.</t>
  </si>
  <si>
    <t>1994-01-15</t>
  </si>
  <si>
    <t>144546103:eng</t>
  </si>
  <si>
    <t>21596042</t>
  </si>
  <si>
    <t>991001710779702656</t>
  </si>
  <si>
    <t>2254783340002656</t>
  </si>
  <si>
    <t>9780121764609</t>
  </si>
  <si>
    <t>32285000661479</t>
  </si>
  <si>
    <t>893340630</t>
  </si>
  <si>
    <t>QP364.7 .N56 1994</t>
  </si>
  <si>
    <t>0                      QP 0364700N  56          1994</t>
  </si>
  <si>
    <t>Nitric oxide : roles in neuronal communication and neurotoxicity / edited by Hiroshi Takagi, Noboru Toda, and Robert D. Hawkins.</t>
  </si>
  <si>
    <t>Tokyo : Japan Scientific Societies Press ; Boca Raton : CRC Press, c1994.</t>
  </si>
  <si>
    <t>Taniguchi symposia on brain sciences ; no. 17</t>
  </si>
  <si>
    <t>1996-09-10</t>
  </si>
  <si>
    <t>836866249:eng</t>
  </si>
  <si>
    <t>30319865</t>
  </si>
  <si>
    <t>991002330209702656</t>
  </si>
  <si>
    <t>2267961270002656</t>
  </si>
  <si>
    <t>9780849377761</t>
  </si>
  <si>
    <t>32285002316460</t>
  </si>
  <si>
    <t>893510608</t>
  </si>
  <si>
    <t>QP364.7 .R47 1995</t>
  </si>
  <si>
    <t>0                      QP 0364700R  47          1995</t>
  </si>
  <si>
    <t>Receptors / Richard M. Restak.</t>
  </si>
  <si>
    <t>Restak, Richard, 1942-</t>
  </si>
  <si>
    <t>New York : Bantam Books, 1995, c1994.</t>
  </si>
  <si>
    <t>Bantam trade pbk. ed.</t>
  </si>
  <si>
    <t>2005-10-17</t>
  </si>
  <si>
    <t>1996-01-02</t>
  </si>
  <si>
    <t>30976747:eng</t>
  </si>
  <si>
    <t>32375653</t>
  </si>
  <si>
    <t>991002487619702656</t>
  </si>
  <si>
    <t>2258234020002656</t>
  </si>
  <si>
    <t>9780553374414</t>
  </si>
  <si>
    <t>32285002113933</t>
  </si>
  <si>
    <t>893498175</t>
  </si>
  <si>
    <t>QP369.5 .M676 1985</t>
  </si>
  <si>
    <t>0                      QP 0369500M  676         1985</t>
  </si>
  <si>
    <t>The Motor system in neurobiology / edited by Edward V. Evarts, Steven P. Wise, and David Bousfield.</t>
  </si>
  <si>
    <t>Amsterdam ; New York : Elsevier Biomedical Press, 1985</t>
  </si>
  <si>
    <t>2005-01-19</t>
  </si>
  <si>
    <t>375067900:eng</t>
  </si>
  <si>
    <t>13510978</t>
  </si>
  <si>
    <t>991000838219702656</t>
  </si>
  <si>
    <t>2261576800002656</t>
  </si>
  <si>
    <t>9780444807380</t>
  </si>
  <si>
    <t>32285001561694</t>
  </si>
  <si>
    <t>893407576</t>
  </si>
  <si>
    <t>QP37 .M28 2008</t>
  </si>
  <si>
    <t>0                      QP 0037000M  28          2008</t>
  </si>
  <si>
    <t>The way we work : getting to know the amazing human body / David Macaulay, with Richard Walker.</t>
  </si>
  <si>
    <t>Macaulay, David.</t>
  </si>
  <si>
    <t>Boston : Houghton Mifflin, 2008.</t>
  </si>
  <si>
    <t>2009-07-13</t>
  </si>
  <si>
    <t>8953527987:eng</t>
  </si>
  <si>
    <t>231745610</t>
  </si>
  <si>
    <t>991005325299702656</t>
  </si>
  <si>
    <t>2268092590002656</t>
  </si>
  <si>
    <t>9780618233786</t>
  </si>
  <si>
    <t>32285005537716</t>
  </si>
  <si>
    <t>893493093</t>
  </si>
  <si>
    <t>QP372 .L28 1968</t>
  </si>
  <si>
    <t>0                      QP 0372000L  28          1968</t>
  </si>
  <si>
    <t>The startle pattern / [by] Carney Landis and William A. Hunt ; with a chapter by Hans Strauss.</t>
  </si>
  <si>
    <t>Landis, Carney, 1897-1962.</t>
  </si>
  <si>
    <t>New York, Farrar &amp; Rinehart, Inc. [c1939] New York, Johnson Reprint Corp. [1968]</t>
  </si>
  <si>
    <t>2001-08-20</t>
  </si>
  <si>
    <t>1997-08-08</t>
  </si>
  <si>
    <t>1458192:eng</t>
  </si>
  <si>
    <t>336780</t>
  </si>
  <si>
    <t>991002401189702656</t>
  </si>
  <si>
    <t>2254932700002656</t>
  </si>
  <si>
    <t>32285003013496</t>
  </si>
  <si>
    <t>893873468</t>
  </si>
  <si>
    <t>QP376 .A225 2004</t>
  </si>
  <si>
    <t>0                      QP 0376000A  225         2004</t>
  </si>
  <si>
    <t>An alchemy of mind : the marvel and mystery of the brain / Diane Ackerman.</t>
  </si>
  <si>
    <t>Ackerman, Diane, 1948-</t>
  </si>
  <si>
    <t>New York : Scribner, 2004.</t>
  </si>
  <si>
    <t>2008-11-12</t>
  </si>
  <si>
    <t>2005-01-27</t>
  </si>
  <si>
    <t>200034086:eng</t>
  </si>
  <si>
    <t>54006936</t>
  </si>
  <si>
    <t>991004305289702656</t>
  </si>
  <si>
    <t>2271645040002656</t>
  </si>
  <si>
    <t>9780743246729</t>
  </si>
  <si>
    <t>32285005023311</t>
  </si>
  <si>
    <t>893700078</t>
  </si>
  <si>
    <t>QP376 .A427 1989</t>
  </si>
  <si>
    <t>0                      QP 0376000A  427         1989</t>
  </si>
  <si>
    <t>Modeling brain function : the world of attractor neural networks / Daniel J. Amit.</t>
  </si>
  <si>
    <t>Amit, D. J., 1938-2007.</t>
  </si>
  <si>
    <t>Cambridge [England] ; New York : Cambridge University Press, 1989.</t>
  </si>
  <si>
    <t>2002-06-17</t>
  </si>
  <si>
    <t>1990-06-28</t>
  </si>
  <si>
    <t>21480168:eng</t>
  </si>
  <si>
    <t>19922497</t>
  </si>
  <si>
    <t>991001516229702656</t>
  </si>
  <si>
    <t>2267550220002656</t>
  </si>
  <si>
    <t>9780521361002</t>
  </si>
  <si>
    <t>32285000205863</t>
  </si>
  <si>
    <t>893590416</t>
  </si>
  <si>
    <t>QP376 .B37</t>
  </si>
  <si>
    <t>0                      QP 0376000B  37</t>
  </si>
  <si>
    <t>EEG-brain dynamics : relation between EEG and Brain evoked potentials / Erol Bașar.</t>
  </si>
  <si>
    <t>Başar, Erol.</t>
  </si>
  <si>
    <t>Amsterdam ; New York : Elsevier/North-Holland Biomedical Press ; New York, N.Y. : sole distributors for the U.S.A. and Canada, Elsevier North-Holland, 1980.</t>
  </si>
  <si>
    <t>375135560:eng</t>
  </si>
  <si>
    <t>6581213</t>
  </si>
  <si>
    <t>991005008049702656</t>
  </si>
  <si>
    <t>2258161030002656</t>
  </si>
  <si>
    <t>9780444802491</t>
  </si>
  <si>
    <t>32285000236405</t>
  </si>
  <si>
    <t>893628455</t>
  </si>
  <si>
    <t>QP376 .B695 1979</t>
  </si>
  <si>
    <t>0                      QP 0376000B  695         1979</t>
  </si>
  <si>
    <t>The Brain.</t>
  </si>
  <si>
    <t>New York : W. H. Freeman, c1979.</t>
  </si>
  <si>
    <t>2003-03-02</t>
  </si>
  <si>
    <t>2004-04-18</t>
  </si>
  <si>
    <t>1992-02-07</t>
  </si>
  <si>
    <t>5622152404:eng</t>
  </si>
  <si>
    <t>5411390</t>
  </si>
  <si>
    <t>991001758609702656</t>
  </si>
  <si>
    <t>2256356280002656</t>
  </si>
  <si>
    <t>9780716711506</t>
  </si>
  <si>
    <t>32285000950435</t>
  </si>
  <si>
    <t>893509884</t>
  </si>
  <si>
    <t>QP376 .B696</t>
  </si>
  <si>
    <t>0                      QP 0376000B  696</t>
  </si>
  <si>
    <t>Brain and human behavior. Edited by A. G. Karczmar [and] J. C. Eccles.</t>
  </si>
  <si>
    <t>Berlin, New York, Springer-Verlag, 1972.</t>
  </si>
  <si>
    <t>1999-09-23</t>
  </si>
  <si>
    <t>477305711:eng</t>
  </si>
  <si>
    <t>304002</t>
  </si>
  <si>
    <t>991002260659702656</t>
  </si>
  <si>
    <t>2271094760002656</t>
  </si>
  <si>
    <t>9780387053318</t>
  </si>
  <si>
    <t>32285001561702</t>
  </si>
  <si>
    <t>893251000</t>
  </si>
  <si>
    <t>QP376 .B6963</t>
  </si>
  <si>
    <t>0                      QP 0376000B  6963</t>
  </si>
  <si>
    <t>The Brain and psychology / edited by M. C. Wittrock.</t>
  </si>
  <si>
    <t>New York : Academic Press, 1980.</t>
  </si>
  <si>
    <t>Educational psychology series</t>
  </si>
  <si>
    <t>1990-04-10</t>
  </si>
  <si>
    <t>54367248:eng</t>
  </si>
  <si>
    <t>6039908</t>
  </si>
  <si>
    <t>991004918689702656</t>
  </si>
  <si>
    <t>2260455540002656</t>
  </si>
  <si>
    <t>9780127610504</t>
  </si>
  <si>
    <t>32285000103753</t>
  </si>
  <si>
    <t>893332174</t>
  </si>
  <si>
    <t>QP376 .B717</t>
  </si>
  <si>
    <t>0                      QP 0376000B  717</t>
  </si>
  <si>
    <t>Brain neurotransmitters and receptors in aging and age-related disorders / editors, S.J. Enna, T. Samorajski, Bernard Beer.</t>
  </si>
  <si>
    <t>New York : Raven Press, c1981.</t>
  </si>
  <si>
    <t>Aging ; v. 17</t>
  </si>
  <si>
    <t>10032524432:eng</t>
  </si>
  <si>
    <t>7734534</t>
  </si>
  <si>
    <t>991005152679702656</t>
  </si>
  <si>
    <t>2255854450002656</t>
  </si>
  <si>
    <t>9780890046432</t>
  </si>
  <si>
    <t>32285001561710</t>
  </si>
  <si>
    <t>893905258</t>
  </si>
  <si>
    <t>QP376 .B73</t>
  </si>
  <si>
    <t>0                      QP 0376000B  73</t>
  </si>
  <si>
    <t>Brain functions : a collection of articles reprinted from Psychology today. --</t>
  </si>
  <si>
    <t>[s.l.] : Ziff-Davis , [n.d.]</t>
  </si>
  <si>
    <t>14725362:eng</t>
  </si>
  <si>
    <t>4384070</t>
  </si>
  <si>
    <t>991004632779702656</t>
  </si>
  <si>
    <t>2260942600002656</t>
  </si>
  <si>
    <t>32285001561728</t>
  </si>
  <si>
    <t>893424015</t>
  </si>
  <si>
    <t>QP376 .C23 1969</t>
  </si>
  <si>
    <t>0                      QP 0376000C  23          1969</t>
  </si>
  <si>
    <t>Brain and early behaviour development in the fetus and infant : proceedings of a C.A.S.D.S. Study Group on "Brain Mechanisms of Early Behavioural Development" held jointly with the Ciba Foundation, London, February 1968, being the second study group in a C.A.S.D.S. programme on "The origins of human behaviour" / edited by R. J. Robinson.</t>
  </si>
  <si>
    <t>C.A.S.D.S. Study Group on Brain Mechanisms of Early Behavioural Development (1968 : London, England)</t>
  </si>
  <si>
    <t>London ; New York : Academic Press, 1969.</t>
  </si>
  <si>
    <t>1995-02-22</t>
  </si>
  <si>
    <t>1994-12-22</t>
  </si>
  <si>
    <t>42157741:eng</t>
  </si>
  <si>
    <t>245753</t>
  </si>
  <si>
    <t>991001923069702656</t>
  </si>
  <si>
    <t>2267047700002656</t>
  </si>
  <si>
    <t>9780125900508</t>
  </si>
  <si>
    <t>32285001985075</t>
  </si>
  <si>
    <t>893226231</t>
  </si>
  <si>
    <t>QP376 .C42</t>
  </si>
  <si>
    <t>0                      QP 0376000C  42</t>
  </si>
  <si>
    <t>Brain research and learning : a position paper / written by Mary Claybomb. --</t>
  </si>
  <si>
    <t>Claycomb, Mary.</t>
  </si>
  <si>
    <t>Washington, D.C. : National Education Association, 1978.</t>
  </si>
  <si>
    <t>National Education Association publication</t>
  </si>
  <si>
    <t>14634024:eng</t>
  </si>
  <si>
    <t>4352397</t>
  </si>
  <si>
    <t>991004627919702656</t>
  </si>
  <si>
    <t>2268952340002656</t>
  </si>
  <si>
    <t>32285001561744</t>
  </si>
  <si>
    <t>893507068</t>
  </si>
  <si>
    <t>QP376 .C59 1988</t>
  </si>
  <si>
    <t>0                      QP 0376000C  59          1988</t>
  </si>
  <si>
    <t>The brain in human aging / Gene D. Cohen.</t>
  </si>
  <si>
    <t>Cohen, Gene D.</t>
  </si>
  <si>
    <t>New York : Springer Pub. Co., c1988.</t>
  </si>
  <si>
    <t>Springer series on adulthood and aging ; v. 23</t>
  </si>
  <si>
    <t>967466:eng</t>
  </si>
  <si>
    <t>18715082</t>
  </si>
  <si>
    <t>991001384369702656</t>
  </si>
  <si>
    <t>2262943430002656</t>
  </si>
  <si>
    <t>9780826158307</t>
  </si>
  <si>
    <t>32285000088434</t>
  </si>
  <si>
    <t>893702990</t>
  </si>
  <si>
    <t>QP376 .C97 2001</t>
  </si>
  <si>
    <t>0                      QP 0376000C  97          2001</t>
  </si>
  <si>
    <t>What makes you tick? : the brain in plain English / Thomas B. Czerner.</t>
  </si>
  <si>
    <t>Czerner, Thomas B., 1938-</t>
  </si>
  <si>
    <t>New York : Wiley, c2001.</t>
  </si>
  <si>
    <t>2008-10-17</t>
  </si>
  <si>
    <t>2003-03-24</t>
  </si>
  <si>
    <t>836948491:eng</t>
  </si>
  <si>
    <t>43615466</t>
  </si>
  <si>
    <t>991004020629702656</t>
  </si>
  <si>
    <t>2261981500002656</t>
  </si>
  <si>
    <t>9780471371007</t>
  </si>
  <si>
    <t>32285004686175</t>
  </si>
  <si>
    <t>893699731</t>
  </si>
  <si>
    <t>QP376 .E258 1989</t>
  </si>
  <si>
    <t>0                      QP 0376000E  258         1989</t>
  </si>
  <si>
    <t>Evolution of the brain : creation of the self / John C. Eccles.</t>
  </si>
  <si>
    <t>Eccles, John C. (John Carew), 1903-1997.</t>
  </si>
  <si>
    <t>London ; New York : Routledge, 1989.</t>
  </si>
  <si>
    <t>1994-07-28</t>
  </si>
  <si>
    <t>4916211055:eng</t>
  </si>
  <si>
    <t>18417579</t>
  </si>
  <si>
    <t>991001348169702656</t>
  </si>
  <si>
    <t>2258858470002656</t>
  </si>
  <si>
    <t>9780415032247</t>
  </si>
  <si>
    <t>32285000117662</t>
  </si>
  <si>
    <t>893809038</t>
  </si>
  <si>
    <t>QP376 .E265 1979</t>
  </si>
  <si>
    <t>0                      QP 0376000E  265         1979</t>
  </si>
  <si>
    <t>The human mystery / John C. Eccles.</t>
  </si>
  <si>
    <t>Berlin ; New York : Springer-Verlag, 1979.</t>
  </si>
  <si>
    <t>Gifford lectures ; 1978</t>
  </si>
  <si>
    <t>1996-11-11</t>
  </si>
  <si>
    <t>477305872:eng</t>
  </si>
  <si>
    <t>4497402</t>
  </si>
  <si>
    <t>991004661879702656</t>
  </si>
  <si>
    <t>2266875870002656</t>
  </si>
  <si>
    <t>9780387090160</t>
  </si>
  <si>
    <t>32285001561769</t>
  </si>
  <si>
    <t>893430340</t>
  </si>
  <si>
    <t>QP376 .E266 1992</t>
  </si>
  <si>
    <t>0                      QP 0376000E  266         1992</t>
  </si>
  <si>
    <t>The human psyche / John C. Eccles.</t>
  </si>
  <si>
    <t>London ; New York : Routledge, 1992.</t>
  </si>
  <si>
    <t>2004-11-10</t>
  </si>
  <si>
    <t>477305713:eng</t>
  </si>
  <si>
    <t>24175127</t>
  </si>
  <si>
    <t>991001915689702656</t>
  </si>
  <si>
    <t>2259124790002656</t>
  </si>
  <si>
    <t>9780415072229</t>
  </si>
  <si>
    <t>32285001127363</t>
  </si>
  <si>
    <t>893238447</t>
  </si>
  <si>
    <t>QP376 .E32 1987</t>
  </si>
  <si>
    <t>0                      QP 0376000E  32          1987</t>
  </si>
  <si>
    <t>Neural Darwinism : the theory of neuronal group selection / Gerald M. Edelman.</t>
  </si>
  <si>
    <t>Edelman, Gerald M.</t>
  </si>
  <si>
    <t>New York : Basic Books, c1987.</t>
  </si>
  <si>
    <t>2006-06-22</t>
  </si>
  <si>
    <t>11723191:eng</t>
  </si>
  <si>
    <t>16089387</t>
  </si>
  <si>
    <t>991001082059702656</t>
  </si>
  <si>
    <t>2256507620002656</t>
  </si>
  <si>
    <t>9780465049349</t>
  </si>
  <si>
    <t>32285001561777</t>
  </si>
  <si>
    <t>893626559</t>
  </si>
  <si>
    <t>QP376 .F48 1984</t>
  </si>
  <si>
    <t>0                      QP 0376000F  48          1984</t>
  </si>
  <si>
    <t>The brain : mystery of matter and mind / [Jack Fincher].</t>
  </si>
  <si>
    <t>Fincher, Jack, 1930-</t>
  </si>
  <si>
    <t>New York ; Toronto : Torstar Books, 1984.</t>
  </si>
  <si>
    <t>The human body</t>
  </si>
  <si>
    <t>27385167:eng</t>
  </si>
  <si>
    <t>11572796</t>
  </si>
  <si>
    <t>991000557519702656</t>
  </si>
  <si>
    <t>2262473790002656</t>
  </si>
  <si>
    <t>9780920269343</t>
  </si>
  <si>
    <t>32285001561785</t>
  </si>
  <si>
    <t>893333578</t>
  </si>
  <si>
    <t>QP376 .F686 2007</t>
  </si>
  <si>
    <t>0                      QP 0376000F  686         2007</t>
  </si>
  <si>
    <t>Making up the mind : how the brain creates our mental world / Chris Frith.</t>
  </si>
  <si>
    <t>Frith, Christopher D.</t>
  </si>
  <si>
    <t>Malden, MA : Blackwell Pub., 2007.</t>
  </si>
  <si>
    <t>2010-03-30</t>
  </si>
  <si>
    <t>2009-05-06</t>
  </si>
  <si>
    <t>794345491:eng</t>
  </si>
  <si>
    <t>76416643</t>
  </si>
  <si>
    <t>991005313129702656</t>
  </si>
  <si>
    <t>2265995040002656</t>
  </si>
  <si>
    <t>9781405160223</t>
  </si>
  <si>
    <t>32285005531081</t>
  </si>
  <si>
    <t>893254811</t>
  </si>
  <si>
    <t>QP376 .F85 1979</t>
  </si>
  <si>
    <t>0                      QP 0376000F  85          1979</t>
  </si>
  <si>
    <t>Origins of the mind : mind-brain connections / Charles Furst.</t>
  </si>
  <si>
    <t>Furst, Charles.</t>
  </si>
  <si>
    <t>Englewood Cliffs, N.J. : Prentice-Hall, c1979.</t>
  </si>
  <si>
    <t>A Spectrum book</t>
  </si>
  <si>
    <t>815043638:eng</t>
  </si>
  <si>
    <t>4504488</t>
  </si>
  <si>
    <t>991004666829702656</t>
  </si>
  <si>
    <t>2264847110002656</t>
  </si>
  <si>
    <t>9780136427773</t>
  </si>
  <si>
    <t>32285001561793</t>
  </si>
  <si>
    <t>893801203</t>
  </si>
  <si>
    <t>QP376 .G38</t>
  </si>
  <si>
    <t>0                      QP 0376000G  38</t>
  </si>
  <si>
    <t>Functional neuroscience / Michael S. Gazzaniga, Diana Steen, Bruce T. Volpe.</t>
  </si>
  <si>
    <t>Gazzaniga, Michael S.</t>
  </si>
  <si>
    <t>New York : Harper &amp; Row, c1979.</t>
  </si>
  <si>
    <t>3943961348:eng</t>
  </si>
  <si>
    <t>4494652</t>
  </si>
  <si>
    <t>991004653509702656</t>
  </si>
  <si>
    <t>2265330350002656</t>
  </si>
  <si>
    <t>9780060422912</t>
  </si>
  <si>
    <t>32285001561801</t>
  </si>
  <si>
    <t>893901484</t>
  </si>
  <si>
    <t>QP376 .G45 1985</t>
  </si>
  <si>
    <t>0                      QP 0376000G  45          1985</t>
  </si>
  <si>
    <t>Gene expression in brain / edited by Claire Zomzely-Neurath and William A. Walker.</t>
  </si>
  <si>
    <t>New York : Wiley, c1985.</t>
  </si>
  <si>
    <t>1994-08-26</t>
  </si>
  <si>
    <t>365403832:eng</t>
  </si>
  <si>
    <t>10825161</t>
  </si>
  <si>
    <t>991000441869702656</t>
  </si>
  <si>
    <t>2264391000002656</t>
  </si>
  <si>
    <t>9780471862093</t>
  </si>
  <si>
    <t>32285001561819</t>
  </si>
  <si>
    <t>893620483</t>
  </si>
  <si>
    <t>QP376 .G69</t>
  </si>
  <si>
    <t>0                      QP 0376000G  69</t>
  </si>
  <si>
    <t>The purposive brain / Ragnar Granit. --</t>
  </si>
  <si>
    <t>Granit, Ragnar, 1900-</t>
  </si>
  <si>
    <t>Cambridge, Mass. : Mit Press, c1977.</t>
  </si>
  <si>
    <t>1995-02-13</t>
  </si>
  <si>
    <t>6236912:eng</t>
  </si>
  <si>
    <t>2818876</t>
  </si>
  <si>
    <t>991001790459702656</t>
  </si>
  <si>
    <t>2267802910002656</t>
  </si>
  <si>
    <t>9780262070690</t>
  </si>
  <si>
    <t>32285001561827</t>
  </si>
  <si>
    <t>893797833</t>
  </si>
  <si>
    <t>QP376 .H29 1975</t>
  </si>
  <si>
    <t>0                      QP 0376000H  29          1975</t>
  </si>
  <si>
    <t>How the brain works : a new understanding of human learning, emotion, and thinking / Leslie A. Hart.</t>
  </si>
  <si>
    <t>Hart, Leslie A.</t>
  </si>
  <si>
    <t>New York : Basic Books, [1975]</t>
  </si>
  <si>
    <t>1990-01-16</t>
  </si>
  <si>
    <t>208269292:eng</t>
  </si>
  <si>
    <t>1272617</t>
  </si>
  <si>
    <t>991003662009702656</t>
  </si>
  <si>
    <t>2266491800002656</t>
  </si>
  <si>
    <t>9780465031023</t>
  </si>
  <si>
    <t>32285000028851</t>
  </si>
  <si>
    <t>893787603</t>
  </si>
  <si>
    <t>QP376 .H292 1990</t>
  </si>
  <si>
    <t>0                      QP 0376000H  292         1990</t>
  </si>
  <si>
    <t>Dawn of a millennium : beyond evolution and culture / by Erich Harth.</t>
  </si>
  <si>
    <t>Harth, Erich.</t>
  </si>
  <si>
    <t>Boston : Little, Brown, c1990.</t>
  </si>
  <si>
    <t>1996-11-01</t>
  </si>
  <si>
    <t>1990-03-15</t>
  </si>
  <si>
    <t>332027:eng</t>
  </si>
  <si>
    <t>19885435</t>
  </si>
  <si>
    <t>991001509629702656</t>
  </si>
  <si>
    <t>2261479150002656</t>
  </si>
  <si>
    <t>9780316348515</t>
  </si>
  <si>
    <t>32285000063858</t>
  </si>
  <si>
    <t>893225891</t>
  </si>
  <si>
    <t>QP376 .H318 1981</t>
  </si>
  <si>
    <t>0                      QP 0376000H  318         1981</t>
  </si>
  <si>
    <t>The myth of senility : misconceptions about the brain and aging / Robin Marantz Henig ; foreword by Robert N. Butler.</t>
  </si>
  <si>
    <t>Henig, Robin Marantz.</t>
  </si>
  <si>
    <t>Garden City, N.Y. : Anchor Press/Doubleday, 1981.</t>
  </si>
  <si>
    <t>1994-10-13</t>
  </si>
  <si>
    <t>208269588:eng</t>
  </si>
  <si>
    <t>7196474</t>
  </si>
  <si>
    <t>991005085709702656</t>
  </si>
  <si>
    <t>2255594670002656</t>
  </si>
  <si>
    <t>9780385153942</t>
  </si>
  <si>
    <t>32285001031664</t>
  </si>
  <si>
    <t>893625421</t>
  </si>
  <si>
    <t>QP376 .H79</t>
  </si>
  <si>
    <t>0                      QP 0376000H  79</t>
  </si>
  <si>
    <t>The Human brain / M. C. Wittrock ... [et al.].</t>
  </si>
  <si>
    <t>Englewood Cliffs, N.J. : Prentice-Hall, c1977.</t>
  </si>
  <si>
    <t>1992-04-01</t>
  </si>
  <si>
    <t>54165130:eng</t>
  </si>
  <si>
    <t>2966610</t>
  </si>
  <si>
    <t>991004298199702656</t>
  </si>
  <si>
    <t>2267177090002656</t>
  </si>
  <si>
    <t>9780134446615</t>
  </si>
  <si>
    <t>32285001030716</t>
  </si>
  <si>
    <t>893782082</t>
  </si>
  <si>
    <t>QP376 .J58</t>
  </si>
  <si>
    <t>0                      QP 0376000J  58</t>
  </si>
  <si>
    <t>Our fragile brains : a Christian perspective on brain research / D. Gareth Jones.</t>
  </si>
  <si>
    <t>Jones, D. Gareth (David Gareth)</t>
  </si>
  <si>
    <t>Downers Grove, Ill. : Inter-Varsity Press, c1981.</t>
  </si>
  <si>
    <t>1994-02-18</t>
  </si>
  <si>
    <t>537110:eng</t>
  </si>
  <si>
    <t>6604016</t>
  </si>
  <si>
    <t>991001791149702656</t>
  </si>
  <si>
    <t>2255431580002656</t>
  </si>
  <si>
    <t>9780877847922</t>
  </si>
  <si>
    <t>32285001561843</t>
  </si>
  <si>
    <t>893609147</t>
  </si>
  <si>
    <t>QP376 .K39 1981</t>
  </si>
  <si>
    <t>0                      QP 0376000K  39          1981</t>
  </si>
  <si>
    <t>The brains of men and machines / Ernest W. Kent.</t>
  </si>
  <si>
    <t>Kent, Ernest W.</t>
  </si>
  <si>
    <t>Peterborough, NH : Byte Books, 1981.</t>
  </si>
  <si>
    <t>nhu</t>
  </si>
  <si>
    <t>2006-09-27</t>
  </si>
  <si>
    <t>405653:eng</t>
  </si>
  <si>
    <t>6486868</t>
  </si>
  <si>
    <t>991004990129702656</t>
  </si>
  <si>
    <t>2269600190002656</t>
  </si>
  <si>
    <t>9780070341234</t>
  </si>
  <si>
    <t>32285001561850</t>
  </si>
  <si>
    <t>893594321</t>
  </si>
  <si>
    <t>QP376 .L79</t>
  </si>
  <si>
    <t>0                      QP 0376000L  79</t>
  </si>
  <si>
    <t>Development and plasticity of the brain : an introduction / R. D. Lund. --</t>
  </si>
  <si>
    <t>Lund, Raymond D.</t>
  </si>
  <si>
    <t>New York : Oxford University Press, 1978.</t>
  </si>
  <si>
    <t>2000-09-27</t>
  </si>
  <si>
    <t>11382876:eng</t>
  </si>
  <si>
    <t>3542629</t>
  </si>
  <si>
    <t>991004459919702656</t>
  </si>
  <si>
    <t>2264813530002656</t>
  </si>
  <si>
    <t>9780195023077</t>
  </si>
  <si>
    <t>32285001561876</t>
  </si>
  <si>
    <t>893337751</t>
  </si>
  <si>
    <t>QP376 .M14</t>
  </si>
  <si>
    <t>0                      QP 0376000M  14</t>
  </si>
  <si>
    <t>Molecular neurobiology of the mammalian brain / Patrick L. McGeer, John C. Eccles, and Edith G. McGeer.</t>
  </si>
  <si>
    <t>McGeer, Patrick L.</t>
  </si>
  <si>
    <t>1994-09-06</t>
  </si>
  <si>
    <t>8755480:eng</t>
  </si>
  <si>
    <t>4135357</t>
  </si>
  <si>
    <t>991001791189702656</t>
  </si>
  <si>
    <t>2254903800002656</t>
  </si>
  <si>
    <t>9780306310959</t>
  </si>
  <si>
    <t>32285001561884</t>
  </si>
  <si>
    <t>893891845</t>
  </si>
  <si>
    <t>QP376 .M4815 1994</t>
  </si>
  <si>
    <t>0                      QP 0376000M  4815        1994</t>
  </si>
  <si>
    <t>The hostage brain / Bruce S. McEwen, Harold M. Schmeck, Jr.</t>
  </si>
  <si>
    <t>McEwen, Bruce S.</t>
  </si>
  <si>
    <t>New York : Rockefeller University Press, c1994.</t>
  </si>
  <si>
    <t>1996-06-02</t>
  </si>
  <si>
    <t>1996-05-09</t>
  </si>
  <si>
    <t>1080716:eng</t>
  </si>
  <si>
    <t>31864059</t>
  </si>
  <si>
    <t>991002442229702656</t>
  </si>
  <si>
    <t>2258646380002656</t>
  </si>
  <si>
    <t>9780874700541</t>
  </si>
  <si>
    <t>32285002166170</t>
  </si>
  <si>
    <t>893316814</t>
  </si>
  <si>
    <t>QP376 .M525</t>
  </si>
  <si>
    <t>0                      QP 0376000M  525</t>
  </si>
  <si>
    <t>The chemistry of human behavior / Herbert L. Meltzer ; ill. by Francesca de Majo.</t>
  </si>
  <si>
    <t>Meltzer, Herbert L., 1921-</t>
  </si>
  <si>
    <t>Chicago : Nelson-Hall, c1979.</t>
  </si>
  <si>
    <t>541212:eng</t>
  </si>
  <si>
    <t>3543027</t>
  </si>
  <si>
    <t>991004460499702656</t>
  </si>
  <si>
    <t>2265027460002656</t>
  </si>
  <si>
    <t>9780882291772</t>
  </si>
  <si>
    <t>32285001561892</t>
  </si>
  <si>
    <t>893612376</t>
  </si>
  <si>
    <t>QP376 .M583 1989</t>
  </si>
  <si>
    <t>0                      QP 0376000M  583         1989</t>
  </si>
  <si>
    <t>Models of brain function / edited by Rodney M.J. Cotterill.</t>
  </si>
  <si>
    <t>Cambridge ; New York : Cambridge University Press, 1989.</t>
  </si>
  <si>
    <t>22620161:eng</t>
  </si>
  <si>
    <t>20489684</t>
  </si>
  <si>
    <t>991001580819702656</t>
  </si>
  <si>
    <t>2269702570002656</t>
  </si>
  <si>
    <t>9780521385039</t>
  </si>
  <si>
    <t>32285000357870</t>
  </si>
  <si>
    <t>893897883</t>
  </si>
  <si>
    <t>QP376 .N85</t>
  </si>
  <si>
    <t>0                      QP 0376000N  85</t>
  </si>
  <si>
    <t>Electric fields of the brain : the neurophysics of EEG / Paul L. Nunez ; with contributions by Ron D. Katznelson.</t>
  </si>
  <si>
    <t>Nunez, Paul L.</t>
  </si>
  <si>
    <t>New York : Oxford University Press, 1981.</t>
  </si>
  <si>
    <t>596704:eng</t>
  </si>
  <si>
    <t>6487345</t>
  </si>
  <si>
    <t>991004991089702656</t>
  </si>
  <si>
    <t>2271821700002656</t>
  </si>
  <si>
    <t>9780195027969</t>
  </si>
  <si>
    <t>32285001561900</t>
  </si>
  <si>
    <t>893901965</t>
  </si>
  <si>
    <t>QP376 .N86 v...</t>
  </si>
  <si>
    <t>0                      QP 0376000N  86                                                      v...</t>
  </si>
  <si>
    <t>Nutrition and the brain / editors, Richard J. Wurtman, Judith J. Wurtman.</t>
  </si>
  <si>
    <t>New York : Raven Press, c1977-</t>
  </si>
  <si>
    <t>2000-04-09</t>
  </si>
  <si>
    <t>54181798:eng</t>
  </si>
  <si>
    <t>3263126</t>
  </si>
  <si>
    <t>991004333589702656</t>
  </si>
  <si>
    <t>2268400410002656</t>
  </si>
  <si>
    <t>9780890040454</t>
  </si>
  <si>
    <t>32285000110261</t>
  </si>
  <si>
    <t>893331462</t>
  </si>
  <si>
    <t>QP376 .O76 1986</t>
  </si>
  <si>
    <t>0                      QP 0376000O  76          1986</t>
  </si>
  <si>
    <t>The amazing brain / Robert Ornstein and Richard F. Thompson ; illustrated by David Macaulay.</t>
  </si>
  <si>
    <t>Ornstein, Robert E. (Robert Evan), 1942-</t>
  </si>
  <si>
    <t>Boston : Houghton Mifflin, 1986, c1984.</t>
  </si>
  <si>
    <t>1992-03-10</t>
  </si>
  <si>
    <t>3655949:eng</t>
  </si>
  <si>
    <t>25784014</t>
  </si>
  <si>
    <t>991000824429702656</t>
  </si>
  <si>
    <t>2272806590002656</t>
  </si>
  <si>
    <t>9780395408001</t>
  </si>
  <si>
    <t>32285000995596</t>
  </si>
  <si>
    <t>893225345</t>
  </si>
  <si>
    <t>QP376 .R47</t>
  </si>
  <si>
    <t>0                      QP 0376000R  47</t>
  </si>
  <si>
    <t>The brain : the last frontier / Richard M. Restak.</t>
  </si>
  <si>
    <t>Garden City, N.Y. : Doubleday, 1979.</t>
  </si>
  <si>
    <t>1990-06-01</t>
  </si>
  <si>
    <t>2934965:eng</t>
  </si>
  <si>
    <t>4641669</t>
  </si>
  <si>
    <t>991004695939702656</t>
  </si>
  <si>
    <t>2257521480002656</t>
  </si>
  <si>
    <t>9780385134057</t>
  </si>
  <si>
    <t>32285000180082</t>
  </si>
  <si>
    <t>893700550</t>
  </si>
  <si>
    <t>QP376 .R4725 1995</t>
  </si>
  <si>
    <t>0                      QP 0376000R  4725        1995</t>
  </si>
  <si>
    <t>Brainscapes : an introduction to what neuroscience has learned about the structure, function, and abilities of the brain / Richard M. Restak.</t>
  </si>
  <si>
    <t>New York : Hyperion, c1995.</t>
  </si>
  <si>
    <t>A discover book</t>
  </si>
  <si>
    <t>2009-09-26</t>
  </si>
  <si>
    <t>1996-03-21</t>
  </si>
  <si>
    <t>906404238:eng</t>
  </si>
  <si>
    <t>32347297</t>
  </si>
  <si>
    <t>991002484659702656</t>
  </si>
  <si>
    <t>2261025340002656</t>
  </si>
  <si>
    <t>9780078686115</t>
  </si>
  <si>
    <t>32285002145737</t>
  </si>
  <si>
    <t>893622341</t>
  </si>
  <si>
    <t>QP376 .S39 1989</t>
  </si>
  <si>
    <t>0                      QP 0376000S  39          1989</t>
  </si>
  <si>
    <t>The Science of mind / [edited by] Kenneth A. Klivington ; scientific advisors, Floyd Bloom ... [et al.].</t>
  </si>
  <si>
    <t>Cambridge, Mass. : MIT Press, 1989.</t>
  </si>
  <si>
    <t>1991-05-17</t>
  </si>
  <si>
    <t>3901192477:eng</t>
  </si>
  <si>
    <t>19122932</t>
  </si>
  <si>
    <t>991001432019702656</t>
  </si>
  <si>
    <t>2272650860002656</t>
  </si>
  <si>
    <t>9780262111416</t>
  </si>
  <si>
    <t>32285000574144</t>
  </si>
  <si>
    <t>893238122</t>
  </si>
  <si>
    <t>QP376 .S48 1979</t>
  </si>
  <si>
    <t>0                      QP 0376000S  48          1979</t>
  </si>
  <si>
    <t>The synaptic organization of the brain / Gordon M. Shepherd.</t>
  </si>
  <si>
    <t>New York : Oxford University Press, 1979.</t>
  </si>
  <si>
    <t>1999-10-09</t>
  </si>
  <si>
    <t>1059974910:eng</t>
  </si>
  <si>
    <t>4638271</t>
  </si>
  <si>
    <t>991001758649702656</t>
  </si>
  <si>
    <t>2256041130002656</t>
  </si>
  <si>
    <t>9780195025484</t>
  </si>
  <si>
    <t>32285001561918</t>
  </si>
  <si>
    <t>893322224</t>
  </si>
  <si>
    <t>QP376 .S639 1984</t>
  </si>
  <si>
    <t>0                      QP 0376000S  639         1984</t>
  </si>
  <si>
    <t>The mind / Anthony Smith.</t>
  </si>
  <si>
    <t>Smith, Anthony, 1926-2014.</t>
  </si>
  <si>
    <t>New York : Viking Press, 1984.</t>
  </si>
  <si>
    <t>1995-03-18</t>
  </si>
  <si>
    <t>1989-12-08</t>
  </si>
  <si>
    <t>3176497:eng</t>
  </si>
  <si>
    <t>9971010</t>
  </si>
  <si>
    <t>991000293399702656</t>
  </si>
  <si>
    <t>2257858390002656</t>
  </si>
  <si>
    <t>9780670476480</t>
  </si>
  <si>
    <t>32285000030402</t>
  </si>
  <si>
    <t>893896764</t>
  </si>
  <si>
    <t>QP376 .S64 1970</t>
  </si>
  <si>
    <t>0                      QP 0376000S  64          1970</t>
  </si>
  <si>
    <t>The brain : towards an understanding / [by] C. U. M. Smith.</t>
  </si>
  <si>
    <t>Smith, C. U. M. (Christopher Upham Murray)</t>
  </si>
  <si>
    <t>New York : Putnam, [1970]</t>
  </si>
  <si>
    <t>[1st American ed.]</t>
  </si>
  <si>
    <t>1995-02-17</t>
  </si>
  <si>
    <t>1994-03-24</t>
  </si>
  <si>
    <t>477760842:eng</t>
  </si>
  <si>
    <t>88435</t>
  </si>
  <si>
    <t>991000522499702656</t>
  </si>
  <si>
    <t>2269400490002656</t>
  </si>
  <si>
    <t>32285001871630</t>
  </si>
  <si>
    <t>893884476</t>
  </si>
  <si>
    <t>QP376 .S825 2005</t>
  </si>
  <si>
    <t>0                      QP 0376000S  825         2005</t>
  </si>
  <si>
    <t>Principles of brain evolution / Georg F. Striedter.</t>
  </si>
  <si>
    <t>Striedter, Georg F., 1962-</t>
  </si>
  <si>
    <t>Sunderland, Mass. : Sinauer Associates, c2005.</t>
  </si>
  <si>
    <t>2005-10-20</t>
  </si>
  <si>
    <t>2081745:eng</t>
  </si>
  <si>
    <t>56532584</t>
  </si>
  <si>
    <t>991004657409702656</t>
  </si>
  <si>
    <t>2260509170002656</t>
  </si>
  <si>
    <t>9780878938209</t>
  </si>
  <si>
    <t>32285005140883</t>
  </si>
  <si>
    <t>893411804</t>
  </si>
  <si>
    <t>QP376 .T48 1993</t>
  </si>
  <si>
    <t>0                      QP 0376000T  48          1993</t>
  </si>
  <si>
    <t>The brain : a neuroscience primer / Richard F. Thompson.</t>
  </si>
  <si>
    <t>Thompson, Richard F.</t>
  </si>
  <si>
    <t>New York : W.H. Freeman &amp; Co., c1993.</t>
  </si>
  <si>
    <t>2007-04-09</t>
  </si>
  <si>
    <t>1994-06-02</t>
  </si>
  <si>
    <t>795705314:eng</t>
  </si>
  <si>
    <t>27217881</t>
  </si>
  <si>
    <t>991002124539702656</t>
  </si>
  <si>
    <t>2266310230002656</t>
  </si>
  <si>
    <t>9780716723387</t>
  </si>
  <si>
    <t>32285001920692</t>
  </si>
  <si>
    <t>893427231</t>
  </si>
  <si>
    <t>QP376 .T52</t>
  </si>
  <si>
    <t>0                      QP 0376000T  52</t>
  </si>
  <si>
    <t>Thyroid hormones and brain development / edited by Gilman D. Grave.</t>
  </si>
  <si>
    <t>New York : Raven Press, 1977.</t>
  </si>
  <si>
    <t>2000-05-17</t>
  </si>
  <si>
    <t>364013981:eng</t>
  </si>
  <si>
    <t>2985055</t>
  </si>
  <si>
    <t>991005370519702656</t>
  </si>
  <si>
    <t>2262070820002656</t>
  </si>
  <si>
    <t>9780890041468</t>
  </si>
  <si>
    <t>32285001561926</t>
  </si>
  <si>
    <t>893536607</t>
  </si>
  <si>
    <t>QP376 .T72 1991</t>
  </si>
  <si>
    <t>0                      QP 0376000T  72          1991</t>
  </si>
  <si>
    <t>The cognitive brain / Arnold Trehub.</t>
  </si>
  <si>
    <t>Trehub, Arnold.</t>
  </si>
  <si>
    <t>Cambridge, Mass. : MIT Press, c1991.</t>
  </si>
  <si>
    <t>1992-08-12</t>
  </si>
  <si>
    <t>20855483:eng</t>
  </si>
  <si>
    <t>23211728</t>
  </si>
  <si>
    <t>991001848579702656</t>
  </si>
  <si>
    <t>2263895770002656</t>
  </si>
  <si>
    <t>9780262200851</t>
  </si>
  <si>
    <t>32285001197077</t>
  </si>
  <si>
    <t>893797868</t>
  </si>
  <si>
    <t>QP376 .V3</t>
  </si>
  <si>
    <t>0                      QP 0376000V  3</t>
  </si>
  <si>
    <t>Brain control : a critical examination of brain stimulation and psychosurgery</t>
  </si>
  <si>
    <t>Valenstein, Elliot S.</t>
  </si>
  <si>
    <t>New York : Wiley, [1974, c1973]</t>
  </si>
  <si>
    <t>1995-04-18</t>
  </si>
  <si>
    <t>1994-03-29</t>
  </si>
  <si>
    <t>487971033:eng</t>
  </si>
  <si>
    <t>698751</t>
  </si>
  <si>
    <t>991003160019702656</t>
  </si>
  <si>
    <t>2265163710002656</t>
  </si>
  <si>
    <t>9780471897842</t>
  </si>
  <si>
    <t>32285001872323</t>
  </si>
  <si>
    <t>893899680</t>
  </si>
  <si>
    <t>QP376 .Z555 2004</t>
  </si>
  <si>
    <t>0                      QP 0376000Z  555         2004</t>
  </si>
  <si>
    <t>Soul made flesh : the discovery of the brain-- and how it changed the world / Carl Zimer.</t>
  </si>
  <si>
    <t>Zimmer, Carl.</t>
  </si>
  <si>
    <t>New York : Free Press, c2004.</t>
  </si>
  <si>
    <t>2010-06-25</t>
  </si>
  <si>
    <t>2004-01-19</t>
  </si>
  <si>
    <t>10747:eng</t>
  </si>
  <si>
    <t>53223682</t>
  </si>
  <si>
    <t>991004201559702656</t>
  </si>
  <si>
    <t>2263773310002656</t>
  </si>
  <si>
    <t>9780743230384</t>
  </si>
  <si>
    <t>32285004634712</t>
  </si>
  <si>
    <t>893411243</t>
  </si>
  <si>
    <t>QP38 .A155 2007</t>
  </si>
  <si>
    <t>0                      QP 0038000A  155         2007</t>
  </si>
  <si>
    <t>Sex sleep eat drink dream : a day in the life of your body / Jennifer Ackerman.</t>
  </si>
  <si>
    <t>Ackerman, Jennifer, 1959-</t>
  </si>
  <si>
    <t>Boston : Houghton Mifflin Co., 2007.</t>
  </si>
  <si>
    <t>2008-11-08</t>
  </si>
  <si>
    <t>2007-12-05</t>
  </si>
  <si>
    <t>197677370:eng</t>
  </si>
  <si>
    <t>85692888</t>
  </si>
  <si>
    <t>991005143349702656</t>
  </si>
  <si>
    <t>2264883940002656</t>
  </si>
  <si>
    <t>9780618187584</t>
  </si>
  <si>
    <t>32285005369961</t>
  </si>
  <si>
    <t>893326232</t>
  </si>
  <si>
    <t>QP38 .A35</t>
  </si>
  <si>
    <t>0                      QP 0038000A  35</t>
  </si>
  <si>
    <t>Understanding your body / Ernest E. Aegerter.</t>
  </si>
  <si>
    <t>Aegerter, Ernest Emil, 1906-</t>
  </si>
  <si>
    <t>Philadelphia : Stickley, [1978?]</t>
  </si>
  <si>
    <t>1995-09-18</t>
  </si>
  <si>
    <t>1993-03-17</t>
  </si>
  <si>
    <t>14763186:eng</t>
  </si>
  <si>
    <t>4445052</t>
  </si>
  <si>
    <t>991005264359702656</t>
  </si>
  <si>
    <t>2269676170002656</t>
  </si>
  <si>
    <t>9780893130121</t>
  </si>
  <si>
    <t>32285001588564</t>
  </si>
  <si>
    <t>893713760</t>
  </si>
  <si>
    <t>QP38 .B597 2007</t>
  </si>
  <si>
    <t>0                      QP 0038000B  597         2007</t>
  </si>
  <si>
    <t>Body : the complete human : how it grows, how it works, and how to keep it healthy and strong / foreword by Richard Restak ; text by Patricia Daniels ... [et al.].</t>
  </si>
  <si>
    <t>Washington, D.C. : National Geographic, c2007.</t>
  </si>
  <si>
    <t>2008-06-09</t>
  </si>
  <si>
    <t>896885334:eng</t>
  </si>
  <si>
    <t>144226844</t>
  </si>
  <si>
    <t>991005232159702656</t>
  </si>
  <si>
    <t>2266775140002656</t>
  </si>
  <si>
    <t>9781426201288</t>
  </si>
  <si>
    <t>32285005443907</t>
  </si>
  <si>
    <t>893896108</t>
  </si>
  <si>
    <t>QP38 .E24</t>
  </si>
  <si>
    <t>0                      QP 0038000E  24</t>
  </si>
  <si>
    <t>The body has a head.</t>
  </si>
  <si>
    <t>Eckstein, Gustav, 1890-1981.</t>
  </si>
  <si>
    <t>New York, Harper &amp; Row [1970]</t>
  </si>
  <si>
    <t>[1st ed.]</t>
  </si>
  <si>
    <t>A Cass Canfield book</t>
  </si>
  <si>
    <t>21003416:eng</t>
  </si>
  <si>
    <t>56048</t>
  </si>
  <si>
    <t>991000135319702656</t>
  </si>
  <si>
    <t>2261127990002656</t>
  </si>
  <si>
    <t>32285003011938</t>
  </si>
  <si>
    <t>893884148</t>
  </si>
  <si>
    <t>QP38 .M38 1985</t>
  </si>
  <si>
    <t>0                      QP 0038000M  38          1985</t>
  </si>
  <si>
    <t>The body almanac : mind-boggling facts about today's human body and high-tech medicine / Neil McAleer.</t>
  </si>
  <si>
    <t>McAleer, Neil, 1942-</t>
  </si>
  <si>
    <t>Garden City, N.Y. : Doubleday, 1985.</t>
  </si>
  <si>
    <t>1109557663:eng</t>
  </si>
  <si>
    <t>11467717</t>
  </si>
  <si>
    <t>991000536979702656</t>
  </si>
  <si>
    <t>2265258950002656</t>
  </si>
  <si>
    <t>9780385179836</t>
  </si>
  <si>
    <t>32285001549020</t>
  </si>
  <si>
    <t>893595639</t>
  </si>
  <si>
    <t>QP38 .N88</t>
  </si>
  <si>
    <t>0                      QP 0038000N  88</t>
  </si>
  <si>
    <t>The body / by Alan E. Nourse and the editors of Life.</t>
  </si>
  <si>
    <t>Nourse, Alan E. (Alan Edward), 1928-1992.</t>
  </si>
  <si>
    <t>New York : Time, inc., [1964]</t>
  </si>
  <si>
    <t>Life science library</t>
  </si>
  <si>
    <t>1993-05-28</t>
  </si>
  <si>
    <t>1150985942:eng</t>
  </si>
  <si>
    <t>554791</t>
  </si>
  <si>
    <t>991002980529702656</t>
  </si>
  <si>
    <t>2258506650002656</t>
  </si>
  <si>
    <t>32285001693356</t>
  </si>
  <si>
    <t>893627399</t>
  </si>
  <si>
    <t>QP38 .S67 1986</t>
  </si>
  <si>
    <t>0                      QP 0038000S  67          1986</t>
  </si>
  <si>
    <t>The body / Anthony Smith.</t>
  </si>
  <si>
    <t>New York, NY : Viking, 1986, c1985.</t>
  </si>
  <si>
    <t>1st American ed.</t>
  </si>
  <si>
    <t>1242644:eng</t>
  </si>
  <si>
    <t>12237876</t>
  </si>
  <si>
    <t>991000660529702656</t>
  </si>
  <si>
    <t>2268386880002656</t>
  </si>
  <si>
    <t>9780670808465</t>
  </si>
  <si>
    <t>32285001549038</t>
  </si>
  <si>
    <t>893534257</t>
  </si>
  <si>
    <t>QP381 .P3 1927</t>
  </si>
  <si>
    <t>0                      QP 0381000P  3           1927</t>
  </si>
  <si>
    <t>Conditioned reflexes; an investigation of the physiological activity of the cerebral cortex. By I.P. Pavlov ... Translated and edited by G.V. Anrep ...</t>
  </si>
  <si>
    <t>Pavlov, Ivan Petrovich, 1849-1936.</t>
  </si>
  <si>
    <t>[London] Oxford University Press: Humphrey Milford, 1927.</t>
  </si>
  <si>
    <t>1927</t>
  </si>
  <si>
    <t>1994-09-20</t>
  </si>
  <si>
    <t>3901087697:eng</t>
  </si>
  <si>
    <t>14748665</t>
  </si>
  <si>
    <t>991005266119702656</t>
  </si>
  <si>
    <t>2256713080002656</t>
  </si>
  <si>
    <t>32285001883692</t>
  </si>
  <si>
    <t>893236565</t>
  </si>
  <si>
    <t>QP381 .P3 1960</t>
  </si>
  <si>
    <t>0                      QP 0381000P  3           1960</t>
  </si>
  <si>
    <t>Conditioned reflexes; an investigation of the physiological activity of the cerebral cortex. Translated and edited by G.V. Anrep.</t>
  </si>
  <si>
    <t>New York, Dover Publications [1960]</t>
  </si>
  <si>
    <t>1960</t>
  </si>
  <si>
    <t>1998-10-25</t>
  </si>
  <si>
    <t>1994-10-04</t>
  </si>
  <si>
    <t>249196</t>
  </si>
  <si>
    <t>991001931949702656</t>
  </si>
  <si>
    <t>2256470490002656</t>
  </si>
  <si>
    <t>32285001883742</t>
  </si>
  <si>
    <t>893797953</t>
  </si>
  <si>
    <t>QP382.2 .C66 1986</t>
  </si>
  <si>
    <t>0                      QP 0382200C  66          1986</t>
  </si>
  <si>
    <t>The brain code : mechanisms of information transfer and the role of the corpus callosum / Norman D. Cook.</t>
  </si>
  <si>
    <t>Cook, Norman D.</t>
  </si>
  <si>
    <t>London ; New York : Methuen, 1986.</t>
  </si>
  <si>
    <t>1995-02-05</t>
  </si>
  <si>
    <t>7113343:eng</t>
  </si>
  <si>
    <t>13395809</t>
  </si>
  <si>
    <t>991000821899702656</t>
  </si>
  <si>
    <t>2261903360002656</t>
  </si>
  <si>
    <t>9780416408409</t>
  </si>
  <si>
    <t>32285001561942</t>
  </si>
  <si>
    <t>893614519</t>
  </si>
  <si>
    <t>QP382.F7 F76 1987</t>
  </si>
  <si>
    <t>0                      QP 0382000F  7                  F  76          1987</t>
  </si>
  <si>
    <t>The Frontal lobes revisited / edited by Ellen Perecman.</t>
  </si>
  <si>
    <t>New York, N.Y. : IRBN Press, c1987.</t>
  </si>
  <si>
    <t>355389915:eng</t>
  </si>
  <si>
    <t>14718989</t>
  </si>
  <si>
    <t>991000956389702656</t>
  </si>
  <si>
    <t>2255396020002656</t>
  </si>
  <si>
    <t>9780936925004</t>
  </si>
  <si>
    <t>32285001561934</t>
  </si>
  <si>
    <t>893315389</t>
  </si>
  <si>
    <t>QP383 .C46 1990</t>
  </si>
  <si>
    <t>0                      QP 0383000C  46          1990</t>
  </si>
  <si>
    <t>The Cerebral cortex of the rat / edited by Bryan Kolb and Richard C. Tees.</t>
  </si>
  <si>
    <t>Cambridge, Mass. : MIT Press, c1990.</t>
  </si>
  <si>
    <t>2000-01-26</t>
  </si>
  <si>
    <t>1992-09-09</t>
  </si>
  <si>
    <t>350318759:eng</t>
  </si>
  <si>
    <t>20670782</t>
  </si>
  <si>
    <t>991001601439702656</t>
  </si>
  <si>
    <t>2259878180002656</t>
  </si>
  <si>
    <t>9780262111508</t>
  </si>
  <si>
    <t>32285001286706</t>
  </si>
  <si>
    <t>893322071</t>
  </si>
  <si>
    <t>QP383 .H83 1988</t>
  </si>
  <si>
    <t>0                      QP 0383000H  83          1988</t>
  </si>
  <si>
    <t>Eye, brain, and vision / David H. Hubel.</t>
  </si>
  <si>
    <t>Hubel, David H.</t>
  </si>
  <si>
    <t>New York : Scientific American Library : Distibuted by W.H. Freeman, c1988.</t>
  </si>
  <si>
    <t>Scientific American Library series ; no. 22</t>
  </si>
  <si>
    <t>2002-10-05</t>
  </si>
  <si>
    <t>1992-06-25</t>
  </si>
  <si>
    <t>30851:eng</t>
  </si>
  <si>
    <t>16649224</t>
  </si>
  <si>
    <t>991001126359702656</t>
  </si>
  <si>
    <t>2266197120002656</t>
  </si>
  <si>
    <t>9780716750208</t>
  </si>
  <si>
    <t>32285001145274</t>
  </si>
  <si>
    <t>893608574</t>
  </si>
  <si>
    <t>QP383.2 .H56 v...</t>
  </si>
  <si>
    <t>0                      QP 0383200H  56                                                      v...</t>
  </si>
  <si>
    <t>The Hippocampus / edited by Robert L. Isaacson and Karl H. Pribram.</t>
  </si>
  <si>
    <t>New York : Plenum Press, c1975-</t>
  </si>
  <si>
    <t>10567880321:eng</t>
  </si>
  <si>
    <t>1622244</t>
  </si>
  <si>
    <t>991003843409702656</t>
  </si>
  <si>
    <t>2270617040002656</t>
  </si>
  <si>
    <t>9780306375354</t>
  </si>
  <si>
    <t>32285001561959</t>
  </si>
  <si>
    <t>893258942</t>
  </si>
  <si>
    <t>QP383.2 .I82</t>
  </si>
  <si>
    <t>0                      QP 0383200I  82</t>
  </si>
  <si>
    <t>The limbic system [by] Robert L. Isaacson.</t>
  </si>
  <si>
    <t>Isaacson, Robert L., 1928-</t>
  </si>
  <si>
    <t>New York, Plenum Press [1974]</t>
  </si>
  <si>
    <t>1999-02-07</t>
  </si>
  <si>
    <t>438206:eng</t>
  </si>
  <si>
    <t>901104</t>
  </si>
  <si>
    <t>991003364969702656</t>
  </si>
  <si>
    <t>2265562630002656</t>
  </si>
  <si>
    <t>9780306307737</t>
  </si>
  <si>
    <t>32285003014684</t>
  </si>
  <si>
    <t>893692665</t>
  </si>
  <si>
    <t>QP383.2 .O38</t>
  </si>
  <si>
    <t>0                      QP 0383200O  38</t>
  </si>
  <si>
    <t>The hippocampus as a cognitive map / John O'Keefe and Lynn Nadel.</t>
  </si>
  <si>
    <t>O'Keefe, John.</t>
  </si>
  <si>
    <t>Oxford : Clarendon Press ; New York : Oxford University Press, c1978.</t>
  </si>
  <si>
    <t>374052341:eng</t>
  </si>
  <si>
    <t>4430731</t>
  </si>
  <si>
    <t>991005266139702656</t>
  </si>
  <si>
    <t>2270335940002656</t>
  </si>
  <si>
    <t>9780198572060</t>
  </si>
  <si>
    <t>32285001561975</t>
  </si>
  <si>
    <t>893902393</t>
  </si>
  <si>
    <t>QP383.3 .I58 1986</t>
  </si>
  <si>
    <t>0                      QP 0383300I  58          1986</t>
  </si>
  <si>
    <t>The basal ganglia II : structure and function : current concepts / edited by Malcolm B. Carpenter and A. Jayaraman.</t>
  </si>
  <si>
    <t>International Basal Ganglia Society. Symposium (2nd : 1986 : Victoria, B.C.)</t>
  </si>
  <si>
    <t>Advances in behavioral biology ; v. 32</t>
  </si>
  <si>
    <t>11747157:eng</t>
  </si>
  <si>
    <t>16090350</t>
  </si>
  <si>
    <t>991001082499702656</t>
  </si>
  <si>
    <t>2262506690002656</t>
  </si>
  <si>
    <t>9780306426162</t>
  </si>
  <si>
    <t>32285001561983</t>
  </si>
  <si>
    <t>893249950</t>
  </si>
  <si>
    <t>QP383.8 .S86 1991</t>
  </si>
  <si>
    <t>0                      QP 0383800S  86          1991</t>
  </si>
  <si>
    <t>Suprachiasmatic nucleus : the mind's clock / edited by David C. Klein, Robert Y. Moore, Steven M. Reppert.</t>
  </si>
  <si>
    <t>New York : Oxford University Press, 1991.</t>
  </si>
  <si>
    <t>2000-11-06</t>
  </si>
  <si>
    <t>2001-05-15</t>
  </si>
  <si>
    <t>836732690:eng</t>
  </si>
  <si>
    <t>22388270</t>
  </si>
  <si>
    <t>991001793669702656</t>
  </si>
  <si>
    <t>2265613660002656</t>
  </si>
  <si>
    <t>9780195062502</t>
  </si>
  <si>
    <t>32285001007235</t>
  </si>
  <si>
    <t>893316072</t>
  </si>
  <si>
    <t>QP385 .B35 1967</t>
  </si>
  <si>
    <t>0                      QP 0385000B  35          1967</t>
  </si>
  <si>
    <t>The other hand : an investigation into the sinister history of left-handedness / Michael Barsley.</t>
  </si>
  <si>
    <t>Barsley, Michael.</t>
  </si>
  <si>
    <t>New York : Hawthorn Books, [1967, c1966]</t>
  </si>
  <si>
    <t>2005-02-16</t>
  </si>
  <si>
    <t>1993-02-03</t>
  </si>
  <si>
    <t>1963755:eng</t>
  </si>
  <si>
    <t>1027393</t>
  </si>
  <si>
    <t>991003480389702656</t>
  </si>
  <si>
    <t>2255753650002656</t>
  </si>
  <si>
    <t>32285001520179</t>
  </si>
  <si>
    <t>893330335</t>
  </si>
  <si>
    <t>QP385 .G47 1987</t>
  </si>
  <si>
    <t>0                      QP 0385000G  47          1987</t>
  </si>
  <si>
    <t>Cerebral lateralization : biological mechanisms, associations, and pathology / Norman Geschwind, Albert M. Galaburda.</t>
  </si>
  <si>
    <t>Geschwind, Norman.</t>
  </si>
  <si>
    <t>Cambridge, Mass. : MIT Press, c1987.</t>
  </si>
  <si>
    <t>2003-01-31</t>
  </si>
  <si>
    <t>836656206:eng</t>
  </si>
  <si>
    <t>13792967</t>
  </si>
  <si>
    <t>991000871319702656</t>
  </si>
  <si>
    <t>2270984300002656</t>
  </si>
  <si>
    <t>9780262071017</t>
  </si>
  <si>
    <t>32285001012441</t>
  </si>
  <si>
    <t>893339965</t>
  </si>
  <si>
    <t>QP385 .G73 1984</t>
  </si>
  <si>
    <t>0                      QP 0385000G  73          1984</t>
  </si>
  <si>
    <t>Teaching and brain research : guidelines for the classroom / Michael P. Grady.</t>
  </si>
  <si>
    <t>Grady, Michael P.</t>
  </si>
  <si>
    <t>New York : Longman, c1984.</t>
  </si>
  <si>
    <t>1994-02-15</t>
  </si>
  <si>
    <t>1993-08-20</t>
  </si>
  <si>
    <t>196001909:eng</t>
  </si>
  <si>
    <t>10021699</t>
  </si>
  <si>
    <t>991000300679702656</t>
  </si>
  <si>
    <t>2266545560002656</t>
  </si>
  <si>
    <t>9780582283770</t>
  </si>
  <si>
    <t>32285001728897</t>
  </si>
  <si>
    <t>893683301</t>
  </si>
  <si>
    <t>QP385 .N45</t>
  </si>
  <si>
    <t>0                      QP 0385000N  45</t>
  </si>
  <si>
    <t>Neuropsychology of left-handedness / [edited] by Jeannine Herron.</t>
  </si>
  <si>
    <t>Perspectives in neurolinguistics and psycholinguistics</t>
  </si>
  <si>
    <t>2005-03-29</t>
  </si>
  <si>
    <t>409172:eng</t>
  </si>
  <si>
    <t>5675807</t>
  </si>
  <si>
    <t>991004857079702656</t>
  </si>
  <si>
    <t>2260647640002656</t>
  </si>
  <si>
    <t>9780123431509</t>
  </si>
  <si>
    <t>32285001541399</t>
  </si>
  <si>
    <t>893344340</t>
  </si>
  <si>
    <t>QP385 .U86 2001</t>
  </si>
  <si>
    <t>0                      QP 0385000U  86          2001</t>
  </si>
  <si>
    <t>The new phrenology : the limits of localizing cognitive processes in the brain / William R. Uttal.</t>
  </si>
  <si>
    <t>Cambridge, Mass. : MIT Press, c2001.</t>
  </si>
  <si>
    <t>Life and mind</t>
  </si>
  <si>
    <t>2007-01-20</t>
  </si>
  <si>
    <t>2002-02-25</t>
  </si>
  <si>
    <t>836945784:eng</t>
  </si>
  <si>
    <t>45248325</t>
  </si>
  <si>
    <t>991003729049702656</t>
  </si>
  <si>
    <t>2269400670002656</t>
  </si>
  <si>
    <t>9780262210171</t>
  </si>
  <si>
    <t>32285004456769</t>
  </si>
  <si>
    <t>893887815</t>
  </si>
  <si>
    <t>QP385.5 .A85</t>
  </si>
  <si>
    <t>0                      QP 0385500A  85</t>
  </si>
  <si>
    <t>Asymmetrical function of the brain / edited by Marcel Kinsbourne.</t>
  </si>
  <si>
    <t>Cambridge ; New York : Cambridge University Press, 1978.</t>
  </si>
  <si>
    <t>1995-01-31</t>
  </si>
  <si>
    <t>54168720:eng</t>
  </si>
  <si>
    <t>3002664</t>
  </si>
  <si>
    <t>991001791359702656</t>
  </si>
  <si>
    <t>2272166110002656</t>
  </si>
  <si>
    <t>9780521214810</t>
  </si>
  <si>
    <t>32285001562015</t>
  </si>
  <si>
    <t>893433144</t>
  </si>
  <si>
    <t>QP385.5 .B43 1986</t>
  </si>
  <si>
    <t>0                      QP 0385500B  43          1986</t>
  </si>
  <si>
    <t>Left side, right side : a review of laterality research / Alan Beaton.</t>
  </si>
  <si>
    <t>Beaton, Alan.</t>
  </si>
  <si>
    <t>New Haven : Yale University Press, 1986, c1985.</t>
  </si>
  <si>
    <t>ctu</t>
  </si>
  <si>
    <t>4877172:eng</t>
  </si>
  <si>
    <t>13261135</t>
  </si>
  <si>
    <t>991000801989702656</t>
  </si>
  <si>
    <t>2264609280002656</t>
  </si>
  <si>
    <t>9780300035490</t>
  </si>
  <si>
    <t>32285001562023</t>
  </si>
  <si>
    <t>893413691</t>
  </si>
  <si>
    <t>QP385.5 .B7 1989</t>
  </si>
  <si>
    <t>0                      QP 0385500B  7           1989</t>
  </si>
  <si>
    <t>Hemispheric specialization and psychological function / John L. Bradshaw.</t>
  </si>
  <si>
    <t>Bradshaw, John L., 1940-</t>
  </si>
  <si>
    <t>Chichester ; New York : Wiley, c1989.</t>
  </si>
  <si>
    <t>2001-02-19</t>
  </si>
  <si>
    <t>1992-02-21</t>
  </si>
  <si>
    <t>21214923:eng</t>
  </si>
  <si>
    <t>20056706</t>
  </si>
  <si>
    <t>991001533549702656</t>
  </si>
  <si>
    <t>2271332840002656</t>
  </si>
  <si>
    <t>9780471923183</t>
  </si>
  <si>
    <t>32285000936467</t>
  </si>
  <si>
    <t>893778849</t>
  </si>
  <si>
    <t>QP385.5 .B73 1988</t>
  </si>
  <si>
    <t>0                      QP 0385500B  73          1988</t>
  </si>
  <si>
    <t>Brain lateralization in children : developmental implications / edited by Dennis L. Molfese, Sidney J. Segalowitz.</t>
  </si>
  <si>
    <t>1994-11-27</t>
  </si>
  <si>
    <t>1991-01-04</t>
  </si>
  <si>
    <t>889478551:eng</t>
  </si>
  <si>
    <t>17917332</t>
  </si>
  <si>
    <t>991001280799702656</t>
  </si>
  <si>
    <t>2270017710002656</t>
  </si>
  <si>
    <t>9780898627190</t>
  </si>
  <si>
    <t>32285000407618</t>
  </si>
  <si>
    <t>893528844</t>
  </si>
  <si>
    <t>QP385.5 .B79 1982</t>
  </si>
  <si>
    <t>0                      QP 0385500B  79          1982</t>
  </si>
  <si>
    <t>Laterality : functional asymmetry in the intact brain / M.P. Bryden.</t>
  </si>
  <si>
    <t>Bryden, M. P.</t>
  </si>
  <si>
    <t>New York : Academic Press, 1982.</t>
  </si>
  <si>
    <t>Perspectives in neurolinguistics, neuropsychology, and psycholinguistics</t>
  </si>
  <si>
    <t>889984944:eng</t>
  </si>
  <si>
    <t>8474811</t>
  </si>
  <si>
    <t>991005247899702656</t>
  </si>
  <si>
    <t>2257570050002656</t>
  </si>
  <si>
    <t>9780121381806</t>
  </si>
  <si>
    <t>32285001012458</t>
  </si>
  <si>
    <t>893795855</t>
  </si>
  <si>
    <t>QP385.5 .C46 1984</t>
  </si>
  <si>
    <t>0                      QP 0385500C  46          1984</t>
  </si>
  <si>
    <t>Cerebral dominance : the biological foundations / edited by Norman Geschwind and Albert M. Galaburda.</t>
  </si>
  <si>
    <t>836660141:eng</t>
  </si>
  <si>
    <t>10605338</t>
  </si>
  <si>
    <t>991000398329702656</t>
  </si>
  <si>
    <t>2258840130002656</t>
  </si>
  <si>
    <t>9780674106581</t>
  </si>
  <si>
    <t>32285001562031</t>
  </si>
  <si>
    <t>893595511</t>
  </si>
  <si>
    <t>QP385.5 .C66 1983</t>
  </si>
  <si>
    <t>0                      QP 0385500C  66          1983</t>
  </si>
  <si>
    <t>Human laterality / Michael C. Corballis.</t>
  </si>
  <si>
    <t>Corballis, Michael C.</t>
  </si>
  <si>
    <t>43436945:eng</t>
  </si>
  <si>
    <t>9576524</t>
  </si>
  <si>
    <t>991000221479702656</t>
  </si>
  <si>
    <t>2267565650002656</t>
  </si>
  <si>
    <t>9780121881801</t>
  </si>
  <si>
    <t>32285001562049</t>
  </si>
  <si>
    <t>893413198</t>
  </si>
  <si>
    <t>QP385.5 .C68 1992</t>
  </si>
  <si>
    <t>0                      QP 0385500C  68          1992</t>
  </si>
  <si>
    <t>The left-hander syndrome : the causes and consequences of left-handedness / Stanley Coren.</t>
  </si>
  <si>
    <t>Coren, Stanley.</t>
  </si>
  <si>
    <t>New York : Free Press ; Toronto : Maxwell Macmillan Canada ; New York : Maxwell Macmillan International, c1992.</t>
  </si>
  <si>
    <t>1991-11-26</t>
  </si>
  <si>
    <t>346913:eng</t>
  </si>
  <si>
    <t>24107035</t>
  </si>
  <si>
    <t>991001908619702656</t>
  </si>
  <si>
    <t>2257131980002656</t>
  </si>
  <si>
    <t>9780029066829</t>
  </si>
  <si>
    <t>32285000817915</t>
  </si>
  <si>
    <t>893226218</t>
  </si>
  <si>
    <t>QP385.5 .D83 1985</t>
  </si>
  <si>
    <t>0                      QP 0385500D  83          1985</t>
  </si>
  <si>
    <t>The Dual brain : hemispheric specialization in humans / edited by D. Frank Benson, Eran Zaidel.</t>
  </si>
  <si>
    <t>New York : Guilford Press, 1985.</t>
  </si>
  <si>
    <t>UCLA forum in medical sciences ; no. 26</t>
  </si>
  <si>
    <t>889972678:eng</t>
  </si>
  <si>
    <t>12665267</t>
  </si>
  <si>
    <t>991000720229702656</t>
  </si>
  <si>
    <t>2264397210002656</t>
  </si>
  <si>
    <t>9780898626438</t>
  </si>
  <si>
    <t>32285001562056</t>
  </si>
  <si>
    <t>893509040</t>
  </si>
  <si>
    <t>QP385.5 .E37 1986</t>
  </si>
  <si>
    <t>0                      QP 0385500E  37          1986</t>
  </si>
  <si>
    <t>Anatomy of genius : split brains and global minds / Jan Ehrenwald.</t>
  </si>
  <si>
    <t>Ehrenwald, Jan, 1900-1988.</t>
  </si>
  <si>
    <t>New York, N.Y. : Human Sciences Press, c1986.</t>
  </si>
  <si>
    <t>Paperback ed.</t>
  </si>
  <si>
    <t>2003-07-15</t>
  </si>
  <si>
    <t>213714537:eng</t>
  </si>
  <si>
    <t>14362475</t>
  </si>
  <si>
    <t>991000936609702656</t>
  </si>
  <si>
    <t>2260905140002656</t>
  </si>
  <si>
    <t>9780898852929</t>
  </si>
  <si>
    <t>32285001562064</t>
  </si>
  <si>
    <t>893778403</t>
  </si>
  <si>
    <t>QP385.5 .H45 1993</t>
  </si>
  <si>
    <t>0                      QP 0385500H  45          1993</t>
  </si>
  <si>
    <t>Hemispheric asymmetry : what's right and what's left / Joseph B. Hellige.</t>
  </si>
  <si>
    <t>Hellige, Joseph B.</t>
  </si>
  <si>
    <t>Cambridge, Mass. : Harvard University Press, 1993.</t>
  </si>
  <si>
    <t>Perspectives in cognitive neuroscience</t>
  </si>
  <si>
    <t>1994-05-11</t>
  </si>
  <si>
    <t>2676155:eng</t>
  </si>
  <si>
    <t>26396426</t>
  </si>
  <si>
    <t>991002062029702656</t>
  </si>
  <si>
    <t>2256826490002656</t>
  </si>
  <si>
    <t>9780674387300</t>
  </si>
  <si>
    <t>32285001896090</t>
  </si>
  <si>
    <t>893232528</t>
  </si>
  <si>
    <t>QP385.5 .S67</t>
  </si>
  <si>
    <t>0                      QP 0385500S  67</t>
  </si>
  <si>
    <t>Left brain, right brain / Sally P. Springer, Georg Deutsch.</t>
  </si>
  <si>
    <t>Springer, Sally P., 1947-</t>
  </si>
  <si>
    <t>San Francisco : W.H. Freeman, c1981.</t>
  </si>
  <si>
    <t>A series of books in psychology</t>
  </si>
  <si>
    <t>4113673:eng</t>
  </si>
  <si>
    <t>6890095</t>
  </si>
  <si>
    <t>991005054149702656</t>
  </si>
  <si>
    <t>2264048260002656</t>
  </si>
  <si>
    <t>9780716712695</t>
  </si>
  <si>
    <t>32285001562072</t>
  </si>
  <si>
    <t>893707176</t>
  </si>
  <si>
    <t>QP385.5 .S67 1985</t>
  </si>
  <si>
    <t>0                      QP 0385500S  67          1985</t>
  </si>
  <si>
    <t>Rev. ed.</t>
  </si>
  <si>
    <t>1992-11-30</t>
  </si>
  <si>
    <t>11290048</t>
  </si>
  <si>
    <t>991000516019702656</t>
  </si>
  <si>
    <t>2264162880002656</t>
  </si>
  <si>
    <t>9780716716679</t>
  </si>
  <si>
    <t>32285001409936</t>
  </si>
  <si>
    <t>893702197</t>
  </si>
  <si>
    <t>QP388 .H88 1986</t>
  </si>
  <si>
    <t>0                      QP 0388000H  88          1986</t>
  </si>
  <si>
    <t>Megabrain : new tools and techniques for brain growth and mind expansion / Michael Hutchison.</t>
  </si>
  <si>
    <t>Hutchison, Michael.</t>
  </si>
  <si>
    <t>New York : W. Morrow, c1986.</t>
  </si>
  <si>
    <t>Beech Tree Books</t>
  </si>
  <si>
    <t>1990-05-17</t>
  </si>
  <si>
    <t>4881905:eng</t>
  </si>
  <si>
    <t>12553572</t>
  </si>
  <si>
    <t>991000703229702656</t>
  </si>
  <si>
    <t>2259153360002656</t>
  </si>
  <si>
    <t>9780688048808</t>
  </si>
  <si>
    <t>32285000153154</t>
  </si>
  <si>
    <t>893407439</t>
  </si>
  <si>
    <t>QP398 .B37 1987</t>
  </si>
  <si>
    <t>0                      QP 0398000B  37          1987</t>
  </si>
  <si>
    <t>The cerebral computer : an introduction to the computational structure of the human brain / Robert J. Baron.</t>
  </si>
  <si>
    <t>Baron, Robert J.</t>
  </si>
  <si>
    <t>Hillsdale, N.J. : L. Erlbaum Associates, 1987.</t>
  </si>
  <si>
    <t>10087139:eng</t>
  </si>
  <si>
    <t>15366059</t>
  </si>
  <si>
    <t>991001019729702656</t>
  </si>
  <si>
    <t>2261792240002656</t>
  </si>
  <si>
    <t>9780898598247</t>
  </si>
  <si>
    <t>32285001562080</t>
  </si>
  <si>
    <t>893589955</t>
  </si>
  <si>
    <t>QP399 .B6813 1991</t>
  </si>
  <si>
    <t>0                      QP 0399000B  6813        1991</t>
  </si>
  <si>
    <t>Neurolinguistics : historical and theoretical perspectives / Charles P. Bouton ; translated by Terence MacNamee.</t>
  </si>
  <si>
    <t>Bouton, Charles P.</t>
  </si>
  <si>
    <t>New York : Plenum Press, c1991.</t>
  </si>
  <si>
    <t>Applied psycholinguistics and communication disorders</t>
  </si>
  <si>
    <t>1992-03-11</t>
  </si>
  <si>
    <t>1992-03-01</t>
  </si>
  <si>
    <t>4495021554:eng</t>
  </si>
  <si>
    <t>22209792</t>
  </si>
  <si>
    <t>991001756469702656</t>
  </si>
  <si>
    <t>2254869880002656</t>
  </si>
  <si>
    <t>9780306436918</t>
  </si>
  <si>
    <t>32285000937341</t>
  </si>
  <si>
    <t>893316016</t>
  </si>
  <si>
    <t>QP399 .C35 2000</t>
  </si>
  <si>
    <t>0                      QP 0399000C  35          2000</t>
  </si>
  <si>
    <t>Lingua ex machina : reconciling Darwin and Chomsky with the human brain / William H. Calvin, Derek Bickerton.</t>
  </si>
  <si>
    <t>Cambridge, Mass. : MIT Press, 2000.</t>
  </si>
  <si>
    <t>2000-09-11</t>
  </si>
  <si>
    <t>792887396:eng</t>
  </si>
  <si>
    <t>41580447</t>
  </si>
  <si>
    <t>991003232869702656</t>
  </si>
  <si>
    <t>2267857030002656</t>
  </si>
  <si>
    <t>9780262032735</t>
  </si>
  <si>
    <t>32285003760518</t>
  </si>
  <si>
    <t>893262677</t>
  </si>
  <si>
    <t>QP399 .D86 1984</t>
  </si>
  <si>
    <t>0                      QP 0399000D  86          1984</t>
  </si>
  <si>
    <t>Doubling the brain : on the evolution of brain lateralization and its implications for language / Janet Dunaif-Hattis.</t>
  </si>
  <si>
    <t>Dunaif-Hattis, Janet, 1952-</t>
  </si>
  <si>
    <t>New York : P. Lang, c1984.</t>
  </si>
  <si>
    <t>American university studies. Series XI, Anthropology/sociology, 0740-0489 ; v. 3</t>
  </si>
  <si>
    <t>291403274:eng</t>
  </si>
  <si>
    <t>10849551</t>
  </si>
  <si>
    <t>991000444149702656</t>
  </si>
  <si>
    <t>2260452310002656</t>
  </si>
  <si>
    <t>9780820400563</t>
  </si>
  <si>
    <t>32285001562106</t>
  </si>
  <si>
    <t>893620485</t>
  </si>
  <si>
    <t>QP399 .L37 1983</t>
  </si>
  <si>
    <t>0                      QP 0399000L  37          1983</t>
  </si>
  <si>
    <t>Language functions and brain organization / edited by Sidney J. Segalowitz.</t>
  </si>
  <si>
    <t>1996-02-15</t>
  </si>
  <si>
    <t>32540886:eng</t>
  </si>
  <si>
    <t>8626409</t>
  </si>
  <si>
    <t>991000033059702656</t>
  </si>
  <si>
    <t>2261166870002656</t>
  </si>
  <si>
    <t>9780126356403</t>
  </si>
  <si>
    <t>32285001562114</t>
  </si>
  <si>
    <t>893425350</t>
  </si>
  <si>
    <t>QP40 .P46 1996</t>
  </si>
  <si>
    <t>0                      QP 0040000P  46          1996</t>
  </si>
  <si>
    <t>Physiology : 700 questions &amp; answers / David G. Penney.</t>
  </si>
  <si>
    <t>Penney, David G.</t>
  </si>
  <si>
    <t>Stamford, Conn. : Appleton &amp; Lange, c1996.</t>
  </si>
  <si>
    <t>9th ed.</t>
  </si>
  <si>
    <t>A USMLE step 1 review</t>
  </si>
  <si>
    <t>2005-11-27</t>
  </si>
  <si>
    <t>15071670:eng</t>
  </si>
  <si>
    <t>33098894</t>
  </si>
  <si>
    <t>991002547039702656</t>
  </si>
  <si>
    <t>2270288220002656</t>
  </si>
  <si>
    <t>9780838562222</t>
  </si>
  <si>
    <t>32285002187242</t>
  </si>
  <si>
    <t>893779943</t>
  </si>
  <si>
    <t>QP401 .C25</t>
  </si>
  <si>
    <t>0                      QP 0401000C  25</t>
  </si>
  <si>
    <t>Bodily changes in pain, hunger, fear and rage; an account of recent researches into the function of emotional excitement, by Walter B. Cannon ...</t>
  </si>
  <si>
    <t>Cannon, Walter B. (Walter Bradford), 1871-1945.</t>
  </si>
  <si>
    <t>New York, London, D. Appleton and Company, 1920.</t>
  </si>
  <si>
    <t>1920</t>
  </si>
  <si>
    <t>2001-09-18</t>
  </si>
  <si>
    <t>1319510:eng</t>
  </si>
  <si>
    <t>2081371</t>
  </si>
  <si>
    <t>991004004529702656</t>
  </si>
  <si>
    <t>2259145240002656</t>
  </si>
  <si>
    <t>32285003014734</t>
  </si>
  <si>
    <t>893888211</t>
  </si>
  <si>
    <t>QP401 .K6 1982</t>
  </si>
  <si>
    <t>0                      QP 0401000K  6           1982</t>
  </si>
  <si>
    <t>The tangled wing : biological constraints on the human spirit / Melvin Konner.</t>
  </si>
  <si>
    <t>Konner, Melvin.</t>
  </si>
  <si>
    <t>New York : Holt, Rinehart, and Winston, c1982.</t>
  </si>
  <si>
    <t>2002-11-07</t>
  </si>
  <si>
    <t>960642:eng</t>
  </si>
  <si>
    <t>7554823</t>
  </si>
  <si>
    <t>991003923619702656</t>
  </si>
  <si>
    <t>2264611600002656</t>
  </si>
  <si>
    <t>9780030570629</t>
  </si>
  <si>
    <t>32285004661640</t>
  </si>
  <si>
    <t>893788069</t>
  </si>
  <si>
    <t>QP401 .M44</t>
  </si>
  <si>
    <t>0                      QP 0401000M  44</t>
  </si>
  <si>
    <t>The puzzle of pain.</t>
  </si>
  <si>
    <t>Melzack, Ronald.</t>
  </si>
  <si>
    <t>New York, Basic Books [1973]</t>
  </si>
  <si>
    <t>2007-03-12</t>
  </si>
  <si>
    <t>1996-11-04</t>
  </si>
  <si>
    <t>1710034:eng</t>
  </si>
  <si>
    <t>782312</t>
  </si>
  <si>
    <t>991001791379702656</t>
  </si>
  <si>
    <t>2263345290002656</t>
  </si>
  <si>
    <t>9780465067794</t>
  </si>
  <si>
    <t>32285002199510</t>
  </si>
  <si>
    <t>893590647</t>
  </si>
  <si>
    <t>QP402 .B56 2006</t>
  </si>
  <si>
    <t>0                      QP 0402000B  56          2006</t>
  </si>
  <si>
    <t>Biology of personality and individual differences / edited by Turhan Canli.</t>
  </si>
  <si>
    <t>New York : Guilford Press, c2006.</t>
  </si>
  <si>
    <t>2007-09-11</t>
  </si>
  <si>
    <t>1044592462:eng</t>
  </si>
  <si>
    <t>60590112</t>
  </si>
  <si>
    <t>991005108549702656</t>
  </si>
  <si>
    <t>2272344050002656</t>
  </si>
  <si>
    <t>9781593852528</t>
  </si>
  <si>
    <t>32285005324891</t>
  </si>
  <si>
    <t>893507624</t>
  </si>
  <si>
    <t>QP406 .A627 1992</t>
  </si>
  <si>
    <t>0                      QP 0406000A  627         1992</t>
  </si>
  <si>
    <t>Memory's voice : deciphering the brain-mind code / Daniel L. Alkon.</t>
  </si>
  <si>
    <t>Alkon, Daniel L.</t>
  </si>
  <si>
    <t>New York : HarperCollins Publishers, 1992.</t>
  </si>
  <si>
    <t>1999-03-25</t>
  </si>
  <si>
    <t>232988210:eng</t>
  </si>
  <si>
    <t>25915185</t>
  </si>
  <si>
    <t>991002034749702656</t>
  </si>
  <si>
    <t>2269887920002656</t>
  </si>
  <si>
    <t>9780060183004</t>
  </si>
  <si>
    <t>32285001896157</t>
  </si>
  <si>
    <t>893316299</t>
  </si>
  <si>
    <t>QP406 .A74 1984</t>
  </si>
  <si>
    <t>0                      QP 0406000A  74          1984</t>
  </si>
  <si>
    <t>Memory and the brain / Magda B. Arnold.</t>
  </si>
  <si>
    <t>Arnold, Magda B.</t>
  </si>
  <si>
    <t>Hillsdale, N.J. : L. Erlbaum Associates, 1984.</t>
  </si>
  <si>
    <t>1999-10-07</t>
  </si>
  <si>
    <t>3348910:eng</t>
  </si>
  <si>
    <t>10275461</t>
  </si>
  <si>
    <t>991000342919702656</t>
  </si>
  <si>
    <t>2268945400002656</t>
  </si>
  <si>
    <t>9780898592900</t>
  </si>
  <si>
    <t>32285001562148</t>
  </si>
  <si>
    <t>893425602</t>
  </si>
  <si>
    <t>QP406 .D48</t>
  </si>
  <si>
    <t>0                      QP 0406000D  48</t>
  </si>
  <si>
    <t>The physiological basis of memory / edited by J. Anthony Deutsch.</t>
  </si>
  <si>
    <t>Deutsch, J. Anthony, 1927-</t>
  </si>
  <si>
    <t>New York, Academic Press, 1973.</t>
  </si>
  <si>
    <t>1999-11-12</t>
  </si>
  <si>
    <t>1997-09-22</t>
  </si>
  <si>
    <t>54580742:eng</t>
  </si>
  <si>
    <t>604977</t>
  </si>
  <si>
    <t>991003043969702656</t>
  </si>
  <si>
    <t>2263207200002656</t>
  </si>
  <si>
    <t>9780122134500</t>
  </si>
  <si>
    <t>32285003174678</t>
  </si>
  <si>
    <t>893336081</t>
  </si>
  <si>
    <t>QP406 .L43 1991</t>
  </si>
  <si>
    <t>0                      QP 0406000L  43          1991</t>
  </si>
  <si>
    <t>Learning and memory : a biological view / edited by Joe L. Martinez, Jr., Raymond P. Kesner.</t>
  </si>
  <si>
    <t>San Diego : Academic Press, c1991.</t>
  </si>
  <si>
    <t>1992-04-14</t>
  </si>
  <si>
    <t>795605335:eng</t>
  </si>
  <si>
    <t>22859160</t>
  </si>
  <si>
    <t>991001817859702656</t>
  </si>
  <si>
    <t>2259493910002656</t>
  </si>
  <si>
    <t>9780124749931</t>
  </si>
  <si>
    <t>32285001035343</t>
  </si>
  <si>
    <t>893803934</t>
  </si>
  <si>
    <t>QP406 .M4565 2004</t>
  </si>
  <si>
    <t>0                      QP 0406000M  4565        2004</t>
  </si>
  <si>
    <t>Memory : neuropsychological, imaging, and psychopharmacological perspectives / Gérard Emilien ... [et al.].</t>
  </si>
  <si>
    <t>Hove [England] ; New York : Psychology Press, 2004.</t>
  </si>
  <si>
    <t>2005-10-27</t>
  </si>
  <si>
    <t>2005-01-13</t>
  </si>
  <si>
    <t>801133785:eng</t>
  </si>
  <si>
    <t>52166041</t>
  </si>
  <si>
    <t>991004431019702656</t>
  </si>
  <si>
    <t>2260952270002656</t>
  </si>
  <si>
    <t>9781841693705</t>
  </si>
  <si>
    <t>32285005020119</t>
  </si>
  <si>
    <t>893247577</t>
  </si>
  <si>
    <t>QP406 .M46 1985</t>
  </si>
  <si>
    <t>0                      QP 0406000M  46          1985</t>
  </si>
  <si>
    <t>Memory systems of the brain : animal and human cognitive processes / edited by Norman M. Weinberger, James L. McGaugh, Gary Lynch.</t>
  </si>
  <si>
    <t>New York : Guilford Press, c1985.</t>
  </si>
  <si>
    <t>2005-03-09</t>
  </si>
  <si>
    <t>1991-05-01</t>
  </si>
  <si>
    <t>890248758:eng</t>
  </si>
  <si>
    <t>12665270</t>
  </si>
  <si>
    <t>991000720269702656</t>
  </si>
  <si>
    <t>2264384790002656</t>
  </si>
  <si>
    <t>9780898626667</t>
  </si>
  <si>
    <t>32285000570779</t>
  </si>
  <si>
    <t>893515557</t>
  </si>
  <si>
    <t>QP406 .P36 1989</t>
  </si>
  <si>
    <t>0                      QP 0406000P  36          1989</t>
  </si>
  <si>
    <t>Parallel models of associative memory / edited by Geoffrey E. Hinton, James A. Anderson.</t>
  </si>
  <si>
    <t>Hillsdale, N.J. : L. Erlbaum, 1989.</t>
  </si>
  <si>
    <t>Updated ed.</t>
  </si>
  <si>
    <t>The Cognitive science series</t>
  </si>
  <si>
    <t>1995-03-27</t>
  </si>
  <si>
    <t>1990-01-25</t>
  </si>
  <si>
    <t>54428903:eng</t>
  </si>
  <si>
    <t>18560447</t>
  </si>
  <si>
    <t>991001368959702656</t>
  </si>
  <si>
    <t>2271373720002656</t>
  </si>
  <si>
    <t>9780805802702</t>
  </si>
  <si>
    <t>32285000035286</t>
  </si>
  <si>
    <t>893778745</t>
  </si>
  <si>
    <t>QP406 .P49 1983</t>
  </si>
  <si>
    <t>0                      QP 0406000P  49          1983</t>
  </si>
  <si>
    <t>The Physiological basis of memory / edited by J. Anthony Deutsch.</t>
  </si>
  <si>
    <t>9682843</t>
  </si>
  <si>
    <t>991000239539702656</t>
  </si>
  <si>
    <t>2264144920002656</t>
  </si>
  <si>
    <t>9780122134609</t>
  </si>
  <si>
    <t>32285001562171</t>
  </si>
  <si>
    <t>893784085</t>
  </si>
  <si>
    <t>QP406 .R66 1993</t>
  </si>
  <si>
    <t>0                      QP 0406000R  66          1993</t>
  </si>
  <si>
    <t>The making of memory : from molecules to mind / Steven Rose.</t>
  </si>
  <si>
    <t>Rose, Steven P. R. (Steven Peter Russell), 1938-</t>
  </si>
  <si>
    <t>New York : Anchor Books, 1993.</t>
  </si>
  <si>
    <t>1st Anchor Books ed.</t>
  </si>
  <si>
    <t>2005-02-17</t>
  </si>
  <si>
    <t>1994-05-09</t>
  </si>
  <si>
    <t>837751351:eng</t>
  </si>
  <si>
    <t>28026752</t>
  </si>
  <si>
    <t>991002177689702656</t>
  </si>
  <si>
    <t>2262836200002656</t>
  </si>
  <si>
    <t>9780385471213</t>
  </si>
  <si>
    <t>32285001879716</t>
  </si>
  <si>
    <t>893244858</t>
  </si>
  <si>
    <t>QP406 .R67 1988</t>
  </si>
  <si>
    <t>0                      QP 0406000R  67          1988</t>
  </si>
  <si>
    <t>The invention of memory : a new view of the brain / Israel Rosenfield.</t>
  </si>
  <si>
    <t>Rosenfield, Israel, 1939-</t>
  </si>
  <si>
    <t>New York : Basic Books, c1988.</t>
  </si>
  <si>
    <t>1993-02-22</t>
  </si>
  <si>
    <t>1991-03-08</t>
  </si>
  <si>
    <t>15982812:eng</t>
  </si>
  <si>
    <t>17234329</t>
  </si>
  <si>
    <t>991001189589702656</t>
  </si>
  <si>
    <t>2271867040002656</t>
  </si>
  <si>
    <t>9780465035922</t>
  </si>
  <si>
    <t>32285000493790</t>
  </si>
  <si>
    <t>893872360</t>
  </si>
  <si>
    <t>QP406 .S663 1999</t>
  </si>
  <si>
    <t>0                      QP 0406000S  663         1999</t>
  </si>
  <si>
    <t>Memory : from mind to molecules / Larry R. Squire, Eric R. Kandel.</t>
  </si>
  <si>
    <t>Squire, Larry R.</t>
  </si>
  <si>
    <t>New York : Scientific American Library : Distributed by W.H. Freeman and Co., 1999.</t>
  </si>
  <si>
    <t>Scientific American Library series, 1040-3213 ; no. 69</t>
  </si>
  <si>
    <t>2000-07-18</t>
  </si>
  <si>
    <t>509519432:eng</t>
  </si>
  <si>
    <t>39839709</t>
  </si>
  <si>
    <t>991003205939702656</t>
  </si>
  <si>
    <t>2265805900002656</t>
  </si>
  <si>
    <t>9780716750710</t>
  </si>
  <si>
    <t>32285003740551</t>
  </si>
  <si>
    <t>893711137</t>
  </si>
  <si>
    <t>QP408 .B7</t>
  </si>
  <si>
    <t>0                      QP 0408000B  7</t>
  </si>
  <si>
    <t>Brain and learning / edited by Timothy Teyler.</t>
  </si>
  <si>
    <t>Stamford, Conn. : Greylock Publishers, c1978.</t>
  </si>
  <si>
    <t>355971238:eng</t>
  </si>
  <si>
    <t>4014883</t>
  </si>
  <si>
    <t>991004569599702656</t>
  </si>
  <si>
    <t>2268171400002656</t>
  </si>
  <si>
    <t>9780892230082</t>
  </si>
  <si>
    <t>32285001562189</t>
  </si>
  <si>
    <t>893417780</t>
  </si>
  <si>
    <t>QP408 .H37 1983</t>
  </si>
  <si>
    <t>0                      QP 0408000H  37          1983</t>
  </si>
  <si>
    <t>Human brain and human learning / Leslie A. Hart ; illustrated by Jacques Ducas.</t>
  </si>
  <si>
    <t>New York : Longman, c1983.</t>
  </si>
  <si>
    <t>1992-01-27</t>
  </si>
  <si>
    <t>17567410:eng</t>
  </si>
  <si>
    <t>8589391</t>
  </si>
  <si>
    <t>991000026649702656</t>
  </si>
  <si>
    <t>2255096430002656</t>
  </si>
  <si>
    <t>9780582283794</t>
  </si>
  <si>
    <t>32285000919778</t>
  </si>
  <si>
    <t>893237004</t>
  </si>
  <si>
    <t>QP408 .L427 1990</t>
  </si>
  <si>
    <t>0                      QP 0408000L  427         1990</t>
  </si>
  <si>
    <t>Learning and computational neuroscience : foundations of adaptive networks / edited by Michael Gabriel and John Moore.</t>
  </si>
  <si>
    <t>Cambridge, Mass. ; London, England : MIT Press, c1990.</t>
  </si>
  <si>
    <t>1991-04-09</t>
  </si>
  <si>
    <t>836903180:eng</t>
  </si>
  <si>
    <t>21520873</t>
  </si>
  <si>
    <t>991001699129702656</t>
  </si>
  <si>
    <t>2257367960002656</t>
  </si>
  <si>
    <t>9780262071024</t>
  </si>
  <si>
    <t>32285000566314</t>
  </si>
  <si>
    <t>893250410</t>
  </si>
  <si>
    <t>QP408 .L435 1992</t>
  </si>
  <si>
    <t>0                      QP 0408000L  435         1992</t>
  </si>
  <si>
    <t>Learning and memory : the behavioral and biological substrates / edited by Isidore Gormezano, Edward A. Wasserman.</t>
  </si>
  <si>
    <t>Hillsdale, N.J. : L. Erlbaum Associates, 1992.</t>
  </si>
  <si>
    <t>1997-11-20</t>
  </si>
  <si>
    <t>865278830:eng</t>
  </si>
  <si>
    <t>25049422</t>
  </si>
  <si>
    <t>991001975619702656</t>
  </si>
  <si>
    <t>2264229860002656</t>
  </si>
  <si>
    <t>9780805808889</t>
  </si>
  <si>
    <t>32285001315596</t>
  </si>
  <si>
    <t>893408541</t>
  </si>
  <si>
    <t>QP408 .N49 1984</t>
  </si>
  <si>
    <t>0                      QP 0408000N  49          1984</t>
  </si>
  <si>
    <t>Neurobiology of learning and memory / edited by Gary Lynch, James L. McGaugh, Norman M. Weinberger.</t>
  </si>
  <si>
    <t>New York : Guilford Press, c1984.</t>
  </si>
  <si>
    <t>2009-06-03</t>
  </si>
  <si>
    <t>350163909:eng</t>
  </si>
  <si>
    <t>11158704</t>
  </si>
  <si>
    <t>991000497899702656</t>
  </si>
  <si>
    <t>2255309140002656</t>
  </si>
  <si>
    <t>9780898626452</t>
  </si>
  <si>
    <t>32285001562205</t>
  </si>
  <si>
    <t>893237369</t>
  </si>
  <si>
    <t>QP408 .P53 1995</t>
  </si>
  <si>
    <t>0                      QP 0408000P  53          1995</t>
  </si>
  <si>
    <t>Plasticity in the central nervous system : learning and memory / edited by James L. McGaugh, Federico Bermúdez-Rattoni, Roberto A. Prado-Alcalá.</t>
  </si>
  <si>
    <t>Mahwah, N.J. : L. Erlbaum Associates, 1995.</t>
  </si>
  <si>
    <t>37526677:eng</t>
  </si>
  <si>
    <t>32969385</t>
  </si>
  <si>
    <t>991002536559702656</t>
  </si>
  <si>
    <t>2265842750002656</t>
  </si>
  <si>
    <t>9780805815733</t>
  </si>
  <si>
    <t>32285002393071</t>
  </si>
  <si>
    <t>893341559</t>
  </si>
  <si>
    <t>QP408 .W64 2007</t>
  </si>
  <si>
    <t>0                      QP 0408000W  64          2007</t>
  </si>
  <si>
    <t>Proust and the squid : the story and science of the reading brain / Maryanne Wolf ; illustrations by Catherine Stoodley.</t>
  </si>
  <si>
    <t>Wolf, Maryanne.</t>
  </si>
  <si>
    <t>New York, NY : Harper, c2007.</t>
  </si>
  <si>
    <t>2010-07-08</t>
  </si>
  <si>
    <t>407674483:eng</t>
  </si>
  <si>
    <t>148887403</t>
  </si>
  <si>
    <t>991005143489702656</t>
  </si>
  <si>
    <t>2264275510002656</t>
  </si>
  <si>
    <t>9780060186395</t>
  </si>
  <si>
    <t>32285005366785</t>
  </si>
  <si>
    <t>893514117</t>
  </si>
  <si>
    <t>QP411 .E34 1989</t>
  </si>
  <si>
    <t>0                      QP 0411000E  34          1989</t>
  </si>
  <si>
    <t>The remembered present : a biological theory of consciousness / Gerald M. Edelman.</t>
  </si>
  <si>
    <t>New York : Basic Books, c1989.</t>
  </si>
  <si>
    <t>1996-04-24</t>
  </si>
  <si>
    <t>866244331:eng</t>
  </si>
  <si>
    <t>20130117</t>
  </si>
  <si>
    <t>991001540649702656</t>
  </si>
  <si>
    <t>2263658020002656</t>
  </si>
  <si>
    <t>9780465069101</t>
  </si>
  <si>
    <t>32285002156932</t>
  </si>
  <si>
    <t>893897848</t>
  </si>
  <si>
    <t>QP411 .F76 1998</t>
  </si>
  <si>
    <t>0                      QP 0411000F  76          1998</t>
  </si>
  <si>
    <t>From brains to consciousness? : essays on the new sciences of the mind / edited by Steven Rose.</t>
  </si>
  <si>
    <t>Princeton, N.J. : Princeton University Press, 1998.</t>
  </si>
  <si>
    <t>1999-08-12</t>
  </si>
  <si>
    <t>836919651:eng</t>
  </si>
  <si>
    <t>39130442</t>
  </si>
  <si>
    <t>991002940669702656</t>
  </si>
  <si>
    <t>2265121310002656</t>
  </si>
  <si>
    <t>9780691004693</t>
  </si>
  <si>
    <t>32285003581641</t>
  </si>
  <si>
    <t>893440715</t>
  </si>
  <si>
    <t>QP411 .R32 2004</t>
  </si>
  <si>
    <t>0                      QP 0411000R  32          2004</t>
  </si>
  <si>
    <t>A brief tour of human consciousness : from impostor poodles to purple numbers / V. S. Ramachandran.</t>
  </si>
  <si>
    <t>Ramachandran, V. S.</t>
  </si>
  <si>
    <t>New York : Pi Press, c2004.</t>
  </si>
  <si>
    <t>2006-07-13</t>
  </si>
  <si>
    <t>1952931:eng</t>
  </si>
  <si>
    <t>60500318</t>
  </si>
  <si>
    <t>991004845309702656</t>
  </si>
  <si>
    <t>2267718900002656</t>
  </si>
  <si>
    <t>9780131872783</t>
  </si>
  <si>
    <t>32285005194641</t>
  </si>
  <si>
    <t>893241903</t>
  </si>
  <si>
    <t>QP411 .S46 1995</t>
  </si>
  <si>
    <t>0                      QP 0411000S  46          1995</t>
  </si>
  <si>
    <t>Stairway to the mind : the controversial new science of consciousness / Alwyn Scott.</t>
  </si>
  <si>
    <t>Scott, Alwyn, 1931-</t>
  </si>
  <si>
    <t>New York : Copernicus, c1995.</t>
  </si>
  <si>
    <t>2003-04-03</t>
  </si>
  <si>
    <t>1996-11-20</t>
  </si>
  <si>
    <t>1997-12-19</t>
  </si>
  <si>
    <t>34457091:eng</t>
  </si>
  <si>
    <t>32087411</t>
  </si>
  <si>
    <t>991001790859702656</t>
  </si>
  <si>
    <t>2271123950002656</t>
  </si>
  <si>
    <t>9780387943817</t>
  </si>
  <si>
    <t>32285002374733</t>
  </si>
  <si>
    <t>893414516</t>
  </si>
  <si>
    <t>QP411 .W45 1997</t>
  </si>
  <si>
    <t>0                      QP 0411000W  45          1997</t>
  </si>
  <si>
    <t>Consciousness lost and found : a neuropsychological exploration / Lawrence Weiskrantz.</t>
  </si>
  <si>
    <t>Weiskrantz, Lawrence.</t>
  </si>
  <si>
    <t>Oxford ; New York : Oxford University Press, 1997.</t>
  </si>
  <si>
    <t>1998-03-24</t>
  </si>
  <si>
    <t>9282977870:eng</t>
  </si>
  <si>
    <t>36038012</t>
  </si>
  <si>
    <t>991002746009702656</t>
  </si>
  <si>
    <t>2258854720002656</t>
  </si>
  <si>
    <t>9780198523017</t>
  </si>
  <si>
    <t>32285003360004</t>
  </si>
  <si>
    <t>893873927</t>
  </si>
  <si>
    <t>QP425 .A3 v...</t>
  </si>
  <si>
    <t>0                      QP 0425000A  3                                                       v...</t>
  </si>
  <si>
    <t>Advances in sleep research / edited by Elliot D. Weitzman.</t>
  </si>
  <si>
    <t>Flushing, N.Y. : Spectrum Publications; distributed by Halsted Press, New York, [1974-</t>
  </si>
  <si>
    <t>1998-10-08</t>
  </si>
  <si>
    <t>2000-04-13</t>
  </si>
  <si>
    <t>2829746810:eng</t>
  </si>
  <si>
    <t>2695985</t>
  </si>
  <si>
    <t>991004215839702656</t>
  </si>
  <si>
    <t>2264690400002656</t>
  </si>
  <si>
    <t>9780470933008</t>
  </si>
  <si>
    <t>32285001579795</t>
  </si>
  <si>
    <t>893888432</t>
  </si>
  <si>
    <t>32285001562221</t>
  </si>
  <si>
    <t>893875827</t>
  </si>
  <si>
    <t>1993-03-19</t>
  </si>
  <si>
    <t>32285001498798</t>
  </si>
  <si>
    <t>893888433</t>
  </si>
  <si>
    <t>QP425 .A3 v.6</t>
  </si>
  <si>
    <t>0                      QP 0425000A  3                                                       v.6</t>
  </si>
  <si>
    <t>Sleep, dreams, and memory : advances in sleep research / [edited] by William Fishbein.</t>
  </si>
  <si>
    <t>V.6</t>
  </si>
  <si>
    <t>Jamaica, N.Y. : Spectrum Publications, c1981.</t>
  </si>
  <si>
    <t>Advances in sleep research ; v. 6</t>
  </si>
  <si>
    <t>2007-10-25</t>
  </si>
  <si>
    <t>1996-03-28</t>
  </si>
  <si>
    <t>54344982:eng</t>
  </si>
  <si>
    <t>5675822</t>
  </si>
  <si>
    <t>991004857119702656</t>
  </si>
  <si>
    <t>2260691440002656</t>
  </si>
  <si>
    <t>9780893350543</t>
  </si>
  <si>
    <t>32285001562239</t>
  </si>
  <si>
    <t>893526604</t>
  </si>
  <si>
    <t>QP425 .A76 1991</t>
  </si>
  <si>
    <t>0                      QP 0425000A  76          1991</t>
  </si>
  <si>
    <t>Sleep and its secrets : the river of crystal light / Michael S. Aronoff.</t>
  </si>
  <si>
    <t>Aronoff, Michael S.</t>
  </si>
  <si>
    <t>2003-10-01</t>
  </si>
  <si>
    <t>1992-05-22</t>
  </si>
  <si>
    <t>365305589:eng</t>
  </si>
  <si>
    <t>24068833</t>
  </si>
  <si>
    <t>991001906709702656</t>
  </si>
  <si>
    <t>2261376840002656</t>
  </si>
  <si>
    <t>9780306439681</t>
  </si>
  <si>
    <t>32285001118040</t>
  </si>
  <si>
    <t>893703434</t>
  </si>
  <si>
    <t>QP425 .A825</t>
  </si>
  <si>
    <t>0                      QP 0425000A  825</t>
  </si>
  <si>
    <t>Sleep and altered states of consciousness : proceedings of the association, December 3 and 4, 1965, New York.</t>
  </si>
  <si>
    <t>Association for Research in Nervous and Mental Disease.</t>
  </si>
  <si>
    <t>Baltimore : Williams and Wilkins, 1967.</t>
  </si>
  <si>
    <t>Its Research publication, v. 45</t>
  </si>
  <si>
    <t>146702593:eng</t>
  </si>
  <si>
    <t>1276651</t>
  </si>
  <si>
    <t>991003664139702656</t>
  </si>
  <si>
    <t>2259872640002656</t>
  </si>
  <si>
    <t>32285001579787</t>
  </si>
  <si>
    <t>893262861</t>
  </si>
  <si>
    <t>QP425 .C37</t>
  </si>
  <si>
    <t>0                      QP 0425000C  37</t>
  </si>
  <si>
    <t>A primer on sleep and dreaming / Rosalind Dymond Cartwright.</t>
  </si>
  <si>
    <t>Cartwright, Rosalind Dymond.</t>
  </si>
  <si>
    <t>Reading, Mass. : Addison-Wesley Pub. Co., c1978.</t>
  </si>
  <si>
    <t>Addison-Wesley series in clinical and professional psychology</t>
  </si>
  <si>
    <t>416728:eng</t>
  </si>
  <si>
    <t>3934713</t>
  </si>
  <si>
    <t>991004551049702656</t>
  </si>
  <si>
    <t>2268306830002656</t>
  </si>
  <si>
    <t>9780201009415</t>
  </si>
  <si>
    <t>32285001778512</t>
  </si>
  <si>
    <t>893712759</t>
  </si>
  <si>
    <t>QP425 .C59 1979</t>
  </si>
  <si>
    <t>0                      QP 0425000C  59          1979</t>
  </si>
  <si>
    <t>Sleep and dreaming : origins, nature and functions / by David B. Cohen.</t>
  </si>
  <si>
    <t>Cohen, David B.</t>
  </si>
  <si>
    <t>Oxford, Eng. ; New York : Pergamon Press, c1979, 1980 printing.</t>
  </si>
  <si>
    <t>1st. ed.</t>
  </si>
  <si>
    <t>International series in experimental psychology ; v. 23</t>
  </si>
  <si>
    <t>2003-01-29</t>
  </si>
  <si>
    <t>1992-01-30</t>
  </si>
  <si>
    <t>281127288:eng</t>
  </si>
  <si>
    <t>5436581</t>
  </si>
  <si>
    <t>991004834589702656</t>
  </si>
  <si>
    <t>2263626380002656</t>
  </si>
  <si>
    <t>9780080214672</t>
  </si>
  <si>
    <t>32285000930460</t>
  </si>
  <si>
    <t>893520096</t>
  </si>
  <si>
    <t>QP425 .D44 1974</t>
  </si>
  <si>
    <t>0                      QP 0425000D  44          1974</t>
  </si>
  <si>
    <t>Some must watch while some must sleep / by William C. Dement.</t>
  </si>
  <si>
    <t>Dement, William C., 1928-2020.</t>
  </si>
  <si>
    <t>San Francisco : W. H. Freeman ; trade distributor: Scribner, New York, [1974]</t>
  </si>
  <si>
    <t>2004-07-20</t>
  </si>
  <si>
    <t>447100:eng</t>
  </si>
  <si>
    <t>886439</t>
  </si>
  <si>
    <t>991003353809702656</t>
  </si>
  <si>
    <t>2257890560002656</t>
  </si>
  <si>
    <t>9780716707691</t>
  </si>
  <si>
    <t>32285001779718</t>
  </si>
  <si>
    <t>893780932</t>
  </si>
  <si>
    <t>QP425 .H25</t>
  </si>
  <si>
    <t>0                      QP 0425000H  25</t>
  </si>
  <si>
    <t>The functions of sleep / [by] Ernest L. Hartmann.</t>
  </si>
  <si>
    <t>Hartmann, Ernest, 1934-</t>
  </si>
  <si>
    <t>New Haven : Yale University Press, 1973.</t>
  </si>
  <si>
    <t>Yale fastback ; 13</t>
  </si>
  <si>
    <t>2007-02-11</t>
  </si>
  <si>
    <t>1990-11-19</t>
  </si>
  <si>
    <t>571872:eng</t>
  </si>
  <si>
    <t>839107</t>
  </si>
  <si>
    <t>991003314469702656</t>
  </si>
  <si>
    <t>2259409610002656</t>
  </si>
  <si>
    <t>9780300017007</t>
  </si>
  <si>
    <t>32285000396985</t>
  </si>
  <si>
    <t>893258305</t>
  </si>
  <si>
    <t>QP425 .H555 1989</t>
  </si>
  <si>
    <t>0                      QP 0425000H  555         1989</t>
  </si>
  <si>
    <t>Sleep / J. Allan Hobson.</t>
  </si>
  <si>
    <t>Hobson, J. Allan, 1933-</t>
  </si>
  <si>
    <t>New York : Scientific American Library, c1989.</t>
  </si>
  <si>
    <t>1989-10-20</t>
  </si>
  <si>
    <t>19449827:eng</t>
  </si>
  <si>
    <t>18949644</t>
  </si>
  <si>
    <t>991001791979702656</t>
  </si>
  <si>
    <t>2270747100002656</t>
  </si>
  <si>
    <t>9780716750505</t>
  </si>
  <si>
    <t>32285000001288</t>
  </si>
  <si>
    <t>893803906</t>
  </si>
  <si>
    <t>QP425 .K53 1963</t>
  </si>
  <si>
    <t>0                      QP 0425000K  53          1963</t>
  </si>
  <si>
    <t>Sleep and wakefulness.</t>
  </si>
  <si>
    <t>Kleitman, Nathaniel, 1895-1999.</t>
  </si>
  <si>
    <t>Chicago : University of Chicago Press, [1963]</t>
  </si>
  <si>
    <t>Rev. and enl. ed.</t>
  </si>
  <si>
    <t>2000-02-08</t>
  </si>
  <si>
    <t>418666:eng</t>
  </si>
  <si>
    <t>550312</t>
  </si>
  <si>
    <t>991002972729702656</t>
  </si>
  <si>
    <t>2254828650002656</t>
  </si>
  <si>
    <t>32285000396993</t>
  </si>
  <si>
    <t>893598121</t>
  </si>
  <si>
    <t>QP425 .K63</t>
  </si>
  <si>
    <t>0                      QP 0425000K  63</t>
  </si>
  <si>
    <t>Sleep, its nature and physiological organization / by Werner P. Koella. With a foreword by Hudson Hoagland.</t>
  </si>
  <si>
    <t>Koella, Werner P. (Werner Paul), 1917-</t>
  </si>
  <si>
    <t>Springfield, Ill. : Thomas, [1967]</t>
  </si>
  <si>
    <t>3753780669:eng</t>
  </si>
  <si>
    <t>1018265</t>
  </si>
  <si>
    <t>991003474389702656</t>
  </si>
  <si>
    <t>2257517920002656</t>
  </si>
  <si>
    <t>32285000397009</t>
  </si>
  <si>
    <t>893781047</t>
  </si>
  <si>
    <t>QP425 .M66 1989</t>
  </si>
  <si>
    <t>0                      QP 0425000M  66          1989</t>
  </si>
  <si>
    <t>Sleep, dreaming, and sleep disorders : an introduction / William H. Moorcroft.</t>
  </si>
  <si>
    <t>Moorcroft, William H., 1944-</t>
  </si>
  <si>
    <t>Lanham, MD : University Press of America, c1989.</t>
  </si>
  <si>
    <t>2007-10-07</t>
  </si>
  <si>
    <t>836839929:eng</t>
  </si>
  <si>
    <t>19455800</t>
  </si>
  <si>
    <t>991001461969702656</t>
  </si>
  <si>
    <t>2270595040002656</t>
  </si>
  <si>
    <t>9780819174352</t>
  </si>
  <si>
    <t>32285000935188</t>
  </si>
  <si>
    <t>893225865</t>
  </si>
  <si>
    <t>QP425 .M83</t>
  </si>
  <si>
    <t>0                      QP 0425000M  83</t>
  </si>
  <si>
    <t>Sleep, dreams, and arousal / [by] Edward J. Murray.</t>
  </si>
  <si>
    <t>Murray, Edward J.</t>
  </si>
  <si>
    <t>New York : Appleton-Century-Crofts, [1965]</t>
  </si>
  <si>
    <t>1965</t>
  </si>
  <si>
    <t>The Century psychology series</t>
  </si>
  <si>
    <t>1992-11-05</t>
  </si>
  <si>
    <t>1629223:eng</t>
  </si>
  <si>
    <t>559324</t>
  </si>
  <si>
    <t>991002988949702656</t>
  </si>
  <si>
    <t>2262152780002656</t>
  </si>
  <si>
    <t>32285001382547</t>
  </si>
  <si>
    <t>893780492</t>
  </si>
  <si>
    <t>QP425 .N67 1978</t>
  </si>
  <si>
    <t>0                      QP 0425000N  67          1978</t>
  </si>
  <si>
    <t>Sleep research : proceedings of the Northern European Symposium on Sleep Research, Basle, September 26 and 27, 1978 / edited by R. G. Priest, A. Pletscher, and J. Ward.</t>
  </si>
  <si>
    <t>Northern European Symposium on Sleep Research (1978 : Basel, Switzerland)</t>
  </si>
  <si>
    <t>Baltimore : University Park Press, c1979.</t>
  </si>
  <si>
    <t>2001-09-17</t>
  </si>
  <si>
    <t>1993-02-25</t>
  </si>
  <si>
    <t>15030927:eng</t>
  </si>
  <si>
    <t>4774510</t>
  </si>
  <si>
    <t>991004712099702656</t>
  </si>
  <si>
    <t>2257157810002656</t>
  </si>
  <si>
    <t>9780839114307</t>
  </si>
  <si>
    <t>32285001538221</t>
  </si>
  <si>
    <t>893694234</t>
  </si>
  <si>
    <t>QP425 .S54 1970</t>
  </si>
  <si>
    <t>0                      QP 0425000S  54          1970</t>
  </si>
  <si>
    <t>Sleep and dreaming / edited by Ernest Hartmann.</t>
  </si>
  <si>
    <t>Boston : Little, Brown, [1970]</t>
  </si>
  <si>
    <t>International psychiatry clinics ; v. 7, no. 2</t>
  </si>
  <si>
    <t>1994-11-02</t>
  </si>
  <si>
    <t>53936030:eng</t>
  </si>
  <si>
    <t>110198</t>
  </si>
  <si>
    <t>991000643619702656</t>
  </si>
  <si>
    <t>2266870330002656</t>
  </si>
  <si>
    <t>9780700001941</t>
  </si>
  <si>
    <t>32285001963817</t>
  </si>
  <si>
    <t>893608136</t>
  </si>
  <si>
    <t>QP425 .W28</t>
  </si>
  <si>
    <t>0                      QP 0425000W  28</t>
  </si>
  <si>
    <t>Sleep : an active process : research and commentary / edited by Wilse B. Webb. Contributing authors: Dana C. Brooks [and others]</t>
  </si>
  <si>
    <t>Webb, Wilse B.</t>
  </si>
  <si>
    <t>Glenview, Ill. : Scott, Foresman, [1973]</t>
  </si>
  <si>
    <t>Scott, Foresman physiological psychology series</t>
  </si>
  <si>
    <t>1635482:eng</t>
  </si>
  <si>
    <t>659130</t>
  </si>
  <si>
    <t>991003114439702656</t>
  </si>
  <si>
    <t>2260648260002656</t>
  </si>
  <si>
    <t>9780673077042</t>
  </si>
  <si>
    <t>32285001030708</t>
  </si>
  <si>
    <t>893440942</t>
  </si>
  <si>
    <t>QP425 .W32</t>
  </si>
  <si>
    <t>0                      QP 0425000W  32</t>
  </si>
  <si>
    <t>Sleep, the gentle tyrant / Wilse B. Webb.</t>
  </si>
  <si>
    <t>Englewood Cliffs, N.J. : Prentice-Hall, c1975.</t>
  </si>
  <si>
    <t>A Spectrum book ; S-376</t>
  </si>
  <si>
    <t>3768478352:eng</t>
  </si>
  <si>
    <t>1582823</t>
  </si>
  <si>
    <t>991003829169702656</t>
  </si>
  <si>
    <t>2270822170002656</t>
  </si>
  <si>
    <t>9780138129330</t>
  </si>
  <si>
    <t>32285000044171</t>
  </si>
  <si>
    <t>893324542</t>
  </si>
  <si>
    <t>QP426 .H3</t>
  </si>
  <si>
    <t>0                      QP 0426000H  3</t>
  </si>
  <si>
    <t>The biology of dreaming.</t>
  </si>
  <si>
    <t>Springfield, Ill. : C.C. Thomas, [1967]</t>
  </si>
  <si>
    <t>American lectures series, no. 686. A monograph in the Bannerstone division of American lectures in living chemistry.</t>
  </si>
  <si>
    <t>1999-09-28</t>
  </si>
  <si>
    <t>1992-01-16</t>
  </si>
  <si>
    <t>2542062114:eng</t>
  </si>
  <si>
    <t>167927</t>
  </si>
  <si>
    <t>991000955689702656</t>
  </si>
  <si>
    <t>2272622330002656</t>
  </si>
  <si>
    <t>32285000913037</t>
  </si>
  <si>
    <t>893419921</t>
  </si>
  <si>
    <t>QP426 .H63 1988</t>
  </si>
  <si>
    <t>0                      QP 0426000H  63          1988</t>
  </si>
  <si>
    <t>The dreaming brain / J. Allan Hobson.</t>
  </si>
  <si>
    <t>2001-09-23</t>
  </si>
  <si>
    <t>1989-11-13</t>
  </si>
  <si>
    <t>17023183:eng</t>
  </si>
  <si>
    <t>17747071</t>
  </si>
  <si>
    <t>991001786299702656</t>
  </si>
  <si>
    <t>2262419260002656</t>
  </si>
  <si>
    <t>9780465017034</t>
  </si>
  <si>
    <t>32285000012400</t>
  </si>
  <si>
    <t>893803898</t>
  </si>
  <si>
    <t>QP426 .H67 1988</t>
  </si>
  <si>
    <t>0                      QP 0426000H  67          1988</t>
  </si>
  <si>
    <t>Why we sleep : the functions of sleep in humans and other mammals / James Horne.</t>
  </si>
  <si>
    <t>Horne, James (James A.)</t>
  </si>
  <si>
    <t>Oxford ; New York : Oxford University Press, c1988, 1989 printing.</t>
  </si>
  <si>
    <t>1990-06-05</t>
  </si>
  <si>
    <t>326677985:eng</t>
  </si>
  <si>
    <t>16467158</t>
  </si>
  <si>
    <t>991001110589702656</t>
  </si>
  <si>
    <t>2270889020002656</t>
  </si>
  <si>
    <t>9780192616821</t>
  </si>
  <si>
    <t>32285000159185</t>
  </si>
  <si>
    <t>893626573</t>
  </si>
  <si>
    <t>QP426 .M56</t>
  </si>
  <si>
    <t>0                      QP 0426000M  56</t>
  </si>
  <si>
    <t>The mind in sleep : psychology and psychophysiology / edited by Arthur M. Arkin, John S. Antrobus, Steven J. Ellman.</t>
  </si>
  <si>
    <t>Hillsdale, N.J. : Lawrence Erlbaum Associates ; New York : distributed by Halsted Press, 1978.</t>
  </si>
  <si>
    <t>1999-09-24</t>
  </si>
  <si>
    <t>1998-12-21</t>
  </si>
  <si>
    <t>836679708:eng</t>
  </si>
  <si>
    <t>3843421</t>
  </si>
  <si>
    <t>991004525639702656</t>
  </si>
  <si>
    <t>2266391990002656</t>
  </si>
  <si>
    <t>9780470263693</t>
  </si>
  <si>
    <t>32285003262614</t>
  </si>
  <si>
    <t>893694037</t>
  </si>
  <si>
    <t>QP426 .P78</t>
  </si>
  <si>
    <t>0                      QP 0426000P  78</t>
  </si>
  <si>
    <t>The Psychodynamic implications of the physiological studies on dreams / edited by Leo Madow and Laurence H. Snow.</t>
  </si>
  <si>
    <t>Springfield, Ill. : Thomas, [1970]</t>
  </si>
  <si>
    <t>1999-09-22</t>
  </si>
  <si>
    <t>364604912:eng</t>
  </si>
  <si>
    <t>86804</t>
  </si>
  <si>
    <t>991000517929702656</t>
  </si>
  <si>
    <t>2270066210002656</t>
  </si>
  <si>
    <t>32285001382539</t>
  </si>
  <si>
    <t>893796740</t>
  </si>
  <si>
    <t>QP43 .M47 1989</t>
  </si>
  <si>
    <t>0                      QP 0043000M  47          1989</t>
  </si>
  <si>
    <t>Methods in animal physiology / editors, Zdeněk Deyl, Josef Zicha.</t>
  </si>
  <si>
    <t>Boca Raton, Fla. : CRC Press, c1989.</t>
  </si>
  <si>
    <t>1999-07-13</t>
  </si>
  <si>
    <t>431226019:eng</t>
  </si>
  <si>
    <t>18166085</t>
  </si>
  <si>
    <t>991001314709702656</t>
  </si>
  <si>
    <t>2262260810002656</t>
  </si>
  <si>
    <t>9780849369650</t>
  </si>
  <si>
    <t>32285001549046</t>
  </si>
  <si>
    <t>893439054</t>
  </si>
  <si>
    <t>QP431 .B37</t>
  </si>
  <si>
    <t>0                      QP 0431000B  37</t>
  </si>
  <si>
    <t>The sensory world : an introduction to sensation and perception / Thomas L. Bennett.</t>
  </si>
  <si>
    <t>Monterey, Calif. : Brooks/Cole Pub. Co., c1978</t>
  </si>
  <si>
    <t>Core books in psychology series</t>
  </si>
  <si>
    <t>1994-11-30</t>
  </si>
  <si>
    <t>1994-10-06</t>
  </si>
  <si>
    <t>424573086:eng</t>
  </si>
  <si>
    <t>3730161</t>
  </si>
  <si>
    <t>991004503899702656</t>
  </si>
  <si>
    <t>2268948650002656</t>
  </si>
  <si>
    <t>9780818502620</t>
  </si>
  <si>
    <t>32285001562338</t>
  </si>
  <si>
    <t>893430138</t>
  </si>
  <si>
    <t>QP431 .B86 1970</t>
  </si>
  <si>
    <t>0                      QP 0431000B  86          1970</t>
  </si>
  <si>
    <t>Animal senses.</t>
  </si>
  <si>
    <t>Burton, Robert, 1941-</t>
  </si>
  <si>
    <t>New York, Taplinger [1970]</t>
  </si>
  <si>
    <t>1999-11-08</t>
  </si>
  <si>
    <t>1233113:eng</t>
  </si>
  <si>
    <t>66977</t>
  </si>
  <si>
    <t>991000216449702656</t>
  </si>
  <si>
    <t>2258639320002656</t>
  </si>
  <si>
    <t>9780800802608</t>
  </si>
  <si>
    <t>32285003014825</t>
  </si>
  <si>
    <t>893508630</t>
  </si>
  <si>
    <t>QP431 .C63</t>
  </si>
  <si>
    <t>0                      QP 0431000C  63</t>
  </si>
  <si>
    <t>Sensation and perception / Stanley Coren, Clare Porac, Lawrence M. Ward ; [text ill. prepared by Rino Dussi].</t>
  </si>
  <si>
    <t>New York : Academic Press, c1979.</t>
  </si>
  <si>
    <t>1996-09-18</t>
  </si>
  <si>
    <t>1993-03-04</t>
  </si>
  <si>
    <t>5189756716:eng</t>
  </si>
  <si>
    <t>4875320</t>
  </si>
  <si>
    <t>991004739359702656</t>
  </si>
  <si>
    <t>2263455530002656</t>
  </si>
  <si>
    <t>9780121885502</t>
  </si>
  <si>
    <t>32285001562346</t>
  </si>
  <si>
    <t>893789039</t>
  </si>
  <si>
    <t>QP431 .D7513</t>
  </si>
  <si>
    <t>0                      QP 0431000D  7513</t>
  </si>
  <si>
    <t>The magic of the senses; new discoveries in animal perception [by] Vitus B. Dröscher. Translated from the German by Ursula Lehrburger and Oliver Coburn.</t>
  </si>
  <si>
    <t>Dröscher, Vitus B.</t>
  </si>
  <si>
    <t>New York, Dutton, 1969.</t>
  </si>
  <si>
    <t>1151130587:eng</t>
  </si>
  <si>
    <t>11989</t>
  </si>
  <si>
    <t>991000003229702656</t>
  </si>
  <si>
    <t>2265520700002656</t>
  </si>
  <si>
    <t>32285003014833</t>
  </si>
  <si>
    <t>893236985</t>
  </si>
  <si>
    <t>QP431 .D87 1992</t>
  </si>
  <si>
    <t>0                      QP 0431000D  87          1992</t>
  </si>
  <si>
    <t>Sensory ecology : how organisms acquire and respond to information / David B. Dusenbery.</t>
  </si>
  <si>
    <t>Dusenbery, David B.</t>
  </si>
  <si>
    <t>New York : W.H. Freeman, c1992.</t>
  </si>
  <si>
    <t>1992-10-08</t>
  </si>
  <si>
    <t>293892553:eng</t>
  </si>
  <si>
    <t>25787245</t>
  </si>
  <si>
    <t>991002025909702656</t>
  </si>
  <si>
    <t>2256003180002656</t>
  </si>
  <si>
    <t>9780716723332</t>
  </si>
  <si>
    <t>32285001316669</t>
  </si>
  <si>
    <t>893256781</t>
  </si>
  <si>
    <t>QP431 .M5</t>
  </si>
  <si>
    <t>0                      QP 0431000M  5</t>
  </si>
  <si>
    <t>The senses of animals and men [by] Lorus and Margery Milne. Drawings by Kenneth Gosner.</t>
  </si>
  <si>
    <t>Milne, Lorus Johnson, 1910-1987.</t>
  </si>
  <si>
    <t>New York, Atheneum, 1962.</t>
  </si>
  <si>
    <t>1630494:eng</t>
  </si>
  <si>
    <t>559699</t>
  </si>
  <si>
    <t>991002989519702656</t>
  </si>
  <si>
    <t>2262171480002656</t>
  </si>
  <si>
    <t>32285003014874</t>
  </si>
  <si>
    <t>893251881</t>
  </si>
  <si>
    <t>QP431 .S443 1998</t>
  </si>
  <si>
    <t>0                      QP 0431000S  443         1998</t>
  </si>
  <si>
    <t>The Senses and communication / Tim Halliday, (ed.).</t>
  </si>
  <si>
    <t>Berlin ; New York : Springer, in association with the Open University, c1998.</t>
  </si>
  <si>
    <t>1999-04-28</t>
  </si>
  <si>
    <t>629489:eng</t>
  </si>
  <si>
    <t>37935153</t>
  </si>
  <si>
    <t>991002878669702656</t>
  </si>
  <si>
    <t>2266209190002656</t>
  </si>
  <si>
    <t>9783540637752</t>
  </si>
  <si>
    <t>32285003557260</t>
  </si>
  <si>
    <t>893685893</t>
  </si>
  <si>
    <t>QP431 .W66</t>
  </si>
  <si>
    <t>0                      QP 0431000W  66</t>
  </si>
  <si>
    <t>Sensory processing in the brain : an exercise in neuroconnective modeling / Dean E. Wooldridge.</t>
  </si>
  <si>
    <t>Wooldridge, Dean E.</t>
  </si>
  <si>
    <t>New York : Wiley, c1979.</t>
  </si>
  <si>
    <t>796080633:eng</t>
  </si>
  <si>
    <t>4505307</t>
  </si>
  <si>
    <t>991004667409702656</t>
  </si>
  <si>
    <t>2264322940002656</t>
  </si>
  <si>
    <t>9780471052692</t>
  </si>
  <si>
    <t>32285001562353</t>
  </si>
  <si>
    <t>893606309</t>
  </si>
  <si>
    <t>QP44 .A45 1985</t>
  </si>
  <si>
    <t>0                      QP 0044000A  45          1985</t>
  </si>
  <si>
    <t>Basic biochemical methods / Renee R. Alexander, Joan M. Griffiths, Maria L. Wilkinson.</t>
  </si>
  <si>
    <t>Alexander, Renee R., 1932-</t>
  </si>
  <si>
    <t>2003-08-29</t>
  </si>
  <si>
    <t>2866554:eng</t>
  </si>
  <si>
    <t>10951287</t>
  </si>
  <si>
    <t>991000465359702656</t>
  </si>
  <si>
    <t>2258443710002656</t>
  </si>
  <si>
    <t>9780471880271</t>
  </si>
  <si>
    <t>32285001549053</t>
  </si>
  <si>
    <t>893508804</t>
  </si>
  <si>
    <t>QP44 .D66 1993</t>
  </si>
  <si>
    <t>0                      QP 0044000D  66          1993</t>
  </si>
  <si>
    <t>Laboratory manual for anatomy and physiology : with cat dissections / Patricia J. Donnelly, George A. Wistreich.</t>
  </si>
  <si>
    <t>Donnelly, Patricia J.</t>
  </si>
  <si>
    <t>New York, NY : HarperCollins Publishers, c1993.</t>
  </si>
  <si>
    <t>1997-11-05</t>
  </si>
  <si>
    <t>1995-03-19</t>
  </si>
  <si>
    <t>12178795:eng</t>
  </si>
  <si>
    <t>27146772</t>
  </si>
  <si>
    <t>991002118299702656</t>
  </si>
  <si>
    <t>2255579860002656</t>
  </si>
  <si>
    <t>9780065009033</t>
  </si>
  <si>
    <t>32285002003266</t>
  </si>
  <si>
    <t>893523218</t>
  </si>
  <si>
    <t>QP44 .T672</t>
  </si>
  <si>
    <t>0                      QP 0044000T  672</t>
  </si>
  <si>
    <t>Laboratory exercises in anatomy and physiology with cat dissections / Gerard J. Tortora, Nicholas P. Anagnostakos.</t>
  </si>
  <si>
    <t>Tortora, Gerard J.</t>
  </si>
  <si>
    <t>Minneapolis, Mn. : Burgess Publishing, 1980.</t>
  </si>
  <si>
    <t>1994-11-08</t>
  </si>
  <si>
    <t>324975:eng</t>
  </si>
  <si>
    <t>7165685</t>
  </si>
  <si>
    <t>991005078729702656</t>
  </si>
  <si>
    <t>2269481000002656</t>
  </si>
  <si>
    <t>9780808736097</t>
  </si>
  <si>
    <t>32285001549061</t>
  </si>
  <si>
    <t>893883297</t>
  </si>
  <si>
    <t>QP441 .A3</t>
  </si>
  <si>
    <t>0                      QP 0441000A  3</t>
  </si>
  <si>
    <t>Perception, consciousness, memory : reflections of a biologist / G. Ádám ; translated by K. Takácsi-Nagy.</t>
  </si>
  <si>
    <t>Ádám, György, 1922-2013.</t>
  </si>
  <si>
    <t>New York : Plenum ; Budapest : Akadémiai Kiadó, 1980.</t>
  </si>
  <si>
    <t>436238:eng</t>
  </si>
  <si>
    <t>6742131</t>
  </si>
  <si>
    <t>991005034549702656</t>
  </si>
  <si>
    <t>2265140380002656</t>
  </si>
  <si>
    <t>9780306307768</t>
  </si>
  <si>
    <t>32285001562361</t>
  </si>
  <si>
    <t>893700940</t>
  </si>
  <si>
    <t>QP45 .F72 1992</t>
  </si>
  <si>
    <t>0                      QP 0045000F  72          1992</t>
  </si>
  <si>
    <t>Vivisection and dissection in the classroom : a guide to conscientious objection / Gary L. Francione, Anna E. Charlton.</t>
  </si>
  <si>
    <t>Francione, Gary L. (Gary Lawrence), 1954-</t>
  </si>
  <si>
    <t>Jenkintown, Pa. : American Anti-Vivisection Society, 1992.</t>
  </si>
  <si>
    <t>1994-02-20</t>
  </si>
  <si>
    <t>28742643:eng</t>
  </si>
  <si>
    <t>26611042</t>
  </si>
  <si>
    <t>991002075689702656</t>
  </si>
  <si>
    <t>2259604620002656</t>
  </si>
  <si>
    <t>32285001495141</t>
  </si>
  <si>
    <t>893596999</t>
  </si>
  <si>
    <t>QP451 .I5 1966</t>
  </si>
  <si>
    <t>0                      QP 0451000I  5           1966</t>
  </si>
  <si>
    <t>The skin senses; proceedings. Compiled and edited by Dan R. Kenshalo.</t>
  </si>
  <si>
    <t>International Symposium on Skin Senses (1st : 1966 : Florida State University)</t>
  </si>
  <si>
    <t>Springfield, Ill., Thomas [1968]</t>
  </si>
  <si>
    <t>3901229283:eng</t>
  </si>
  <si>
    <t>239118</t>
  </si>
  <si>
    <t>991001899799702656</t>
  </si>
  <si>
    <t>2256989950002656</t>
  </si>
  <si>
    <t>32285003080016</t>
  </si>
  <si>
    <t>893352047</t>
  </si>
  <si>
    <t>QP455 .S95 1976</t>
  </si>
  <si>
    <t>0                      QP 0455000S  95          1976</t>
  </si>
  <si>
    <t>Chemical signals in vertebrates / edited by Dietland Müller-Schwarze and Maxwell M. Mozell.</t>
  </si>
  <si>
    <t>Symposium on Chemical Signals in Vertebrates (1976 : Saratoga Springs, N.Y.)</t>
  </si>
  <si>
    <t>New York : Plenum Press, c1977.</t>
  </si>
  <si>
    <t>2007-02-22</t>
  </si>
  <si>
    <t>42352837:eng</t>
  </si>
  <si>
    <t>2818690</t>
  </si>
  <si>
    <t>991004254319702656</t>
  </si>
  <si>
    <t>2267750290002656</t>
  </si>
  <si>
    <t>9780306310324</t>
  </si>
  <si>
    <t>32285003080032</t>
  </si>
  <si>
    <t>893229122</t>
  </si>
  <si>
    <t>QP456 .H3 1967</t>
  </si>
  <si>
    <t>0                      QP 0456000H  3           1967</t>
  </si>
  <si>
    <t>Olfaction and taste II : proceedings of the second international symposium held in Tokyo, September, 1965 / edited by T. Hayashi.</t>
  </si>
  <si>
    <t>Hayashi, Takashi, 1897-1969 editor.</t>
  </si>
  <si>
    <t>Oxford ; New York : Symposium Publications Division, Pergamon Press, [1967]</t>
  </si>
  <si>
    <t>Wenner-Gren Center international symposium series ; v. 8</t>
  </si>
  <si>
    <t>2002-10-06</t>
  </si>
  <si>
    <t>1994-07-20</t>
  </si>
  <si>
    <t>1658597:eng</t>
  </si>
  <si>
    <t>567583</t>
  </si>
  <si>
    <t>991002999409702656</t>
  </si>
  <si>
    <t>2257694470002656</t>
  </si>
  <si>
    <t>32285001936862</t>
  </si>
  <si>
    <t>893721746</t>
  </si>
  <si>
    <t>QP456 .S96 1969</t>
  </si>
  <si>
    <t>0                      QP 0456000S  96          1969</t>
  </si>
  <si>
    <t>Taste and smell in vertebrates / edited by G. E. W. Wolstenholme and Julie Knight.</t>
  </si>
  <si>
    <t>Symposium on Taste and Smell in Vertebrates (1969 : London, England)</t>
  </si>
  <si>
    <t>London : Churchill, 1970.</t>
  </si>
  <si>
    <t>1994-11-28</t>
  </si>
  <si>
    <t>1228404:eng</t>
  </si>
  <si>
    <t>113207</t>
  </si>
  <si>
    <t>991005264699702656</t>
  </si>
  <si>
    <t>2265534960002656</t>
  </si>
  <si>
    <t>9780700014545</t>
  </si>
  <si>
    <t>32285001967503</t>
  </si>
  <si>
    <t>893877221</t>
  </si>
  <si>
    <t>QP458 .A46</t>
  </si>
  <si>
    <t>0                      QP 0458000A  46</t>
  </si>
  <si>
    <t>Molecular basis of odor / by John E. Amoore.</t>
  </si>
  <si>
    <t>Amoore, John E., 1930-</t>
  </si>
  <si>
    <t>American lecture series, publication no. 773. A monograph in the Bannerstone division of American lectures in living chemistry</t>
  </si>
  <si>
    <t>1320395:eng</t>
  </si>
  <si>
    <t>96117</t>
  </si>
  <si>
    <t>991000586399702656</t>
  </si>
  <si>
    <t>2271230080002656</t>
  </si>
  <si>
    <t>32285003658209</t>
  </si>
  <si>
    <t>893589583</t>
  </si>
  <si>
    <t>QP458 .B84</t>
  </si>
  <si>
    <t>0                      QP 0458000B  84</t>
  </si>
  <si>
    <t>The language of smell / Robert Burton.</t>
  </si>
  <si>
    <t>London ; Boston : Routledge &amp; Kegan Paul, 1976.</t>
  </si>
  <si>
    <t>5857869:eng</t>
  </si>
  <si>
    <t>2681251</t>
  </si>
  <si>
    <t>991004210819702656</t>
  </si>
  <si>
    <t>2265632410002656</t>
  </si>
  <si>
    <t>9780710084293</t>
  </si>
  <si>
    <t>32285003080057</t>
  </si>
  <si>
    <t>893525793</t>
  </si>
  <si>
    <t>QP458 .H3</t>
  </si>
  <si>
    <t>0                      QP 0458000H  3</t>
  </si>
  <si>
    <t>Odour description and odour classification; a multidisciplinary examination, by R. Harper, E. C. Bate Smith and D. G. Land.</t>
  </si>
  <si>
    <t>Harper, Roland, 1916-</t>
  </si>
  <si>
    <t>New York, American Elsevier Pub. Co. [1968]</t>
  </si>
  <si>
    <t>2000-09-21</t>
  </si>
  <si>
    <t>1437979:eng</t>
  </si>
  <si>
    <t>369203</t>
  </si>
  <si>
    <t>991002549219702656</t>
  </si>
  <si>
    <t>2265218320002656</t>
  </si>
  <si>
    <t>32285003080065</t>
  </si>
  <si>
    <t>893616258</t>
  </si>
  <si>
    <t>QP458 .M28</t>
  </si>
  <si>
    <t>0                      QP 0458000M  28</t>
  </si>
  <si>
    <t>Olfaction and odours : an osphrésiological essay / William McCartney.</t>
  </si>
  <si>
    <t>McCartney, William.</t>
  </si>
  <si>
    <t>Berlin ; New York : Springer-Verlag, 1968.</t>
  </si>
  <si>
    <t>1995-08-09</t>
  </si>
  <si>
    <t>198457045:eng</t>
  </si>
  <si>
    <t>448292</t>
  </si>
  <si>
    <t>991002802749702656</t>
  </si>
  <si>
    <t>2266657280002656</t>
  </si>
  <si>
    <t>32285002063005</t>
  </si>
  <si>
    <t>893716930</t>
  </si>
  <si>
    <t>QP460 .S95 1974</t>
  </si>
  <si>
    <t>0                      QP 0460000S  95          1974</t>
  </si>
  <si>
    <t>Facts and models in hearing; proceedings. Edited by E. Zwicker and E. Terhardt.</t>
  </si>
  <si>
    <t>Symposium on Psychophysical Models and Physiological Facts in Hearing (1974 : Tutzing, Germany)</t>
  </si>
  <si>
    <t>Berlin, New York, Springer-Verlag, 1974.</t>
  </si>
  <si>
    <t>Communication and cybernetics, v. 8</t>
  </si>
  <si>
    <t>2002-02-19</t>
  </si>
  <si>
    <t>189877220:eng</t>
  </si>
  <si>
    <t>948107</t>
  </si>
  <si>
    <t>991003409819702656</t>
  </si>
  <si>
    <t>2264876670002656</t>
  </si>
  <si>
    <t>9780387068268</t>
  </si>
  <si>
    <t>32285003080099</t>
  </si>
  <si>
    <t>893422545</t>
  </si>
  <si>
    <t>QP461 .B57 1983</t>
  </si>
  <si>
    <t>0                      QP 0461000B  57          1983</t>
  </si>
  <si>
    <t>Bioacoustics, a comparative approach / edited by Brian Lewis.</t>
  </si>
  <si>
    <t>London ; New York : Academic Press, 1983.</t>
  </si>
  <si>
    <t>2001-08-03</t>
  </si>
  <si>
    <t>43786421:eng</t>
  </si>
  <si>
    <t>9854193</t>
  </si>
  <si>
    <t>991000270899702656</t>
  </si>
  <si>
    <t>2261402430002656</t>
  </si>
  <si>
    <t>9780124465503</t>
  </si>
  <si>
    <t>32285001562403</t>
  </si>
  <si>
    <t>893255304</t>
  </si>
  <si>
    <t>QP461 .F39 1988</t>
  </si>
  <si>
    <t>0                      QP 0461000F  39          1988</t>
  </si>
  <si>
    <t>Hearing in vertebrates : a psychophysics databook / Richard R. Fay.</t>
  </si>
  <si>
    <t>Fay, Richard R.</t>
  </si>
  <si>
    <t>Winnetka, Ill. : Hill-Fay Associates, c1988.</t>
  </si>
  <si>
    <t>1996-03-07</t>
  </si>
  <si>
    <t>1990-04-20</t>
  </si>
  <si>
    <t>196491533:eng</t>
  </si>
  <si>
    <t>19457617</t>
  </si>
  <si>
    <t>991001463119702656</t>
  </si>
  <si>
    <t>2267384160002656</t>
  </si>
  <si>
    <t>9780961855901</t>
  </si>
  <si>
    <t>32285000104421</t>
  </si>
  <si>
    <t>893340464</t>
  </si>
  <si>
    <t>QP461 .G83 1989</t>
  </si>
  <si>
    <t>0                      QP 0461000G  83          1989</t>
  </si>
  <si>
    <t>Hearing : physiological acoustics, neural coding, and psychoacoustics / W. Lawrence Gulick, George A. Gescheider, Robert D. Frisina.</t>
  </si>
  <si>
    <t>Gulick, W. Lawrence (Walter Lawrence), 1927-</t>
  </si>
  <si>
    <t>2003-04-11</t>
  </si>
  <si>
    <t>1991-07-18</t>
  </si>
  <si>
    <t>3856217914:eng</t>
  </si>
  <si>
    <t>18962393</t>
  </si>
  <si>
    <t>991001419839702656</t>
  </si>
  <si>
    <t>2263934100002656</t>
  </si>
  <si>
    <t>9780195043075</t>
  </si>
  <si>
    <t>32285000676204</t>
  </si>
  <si>
    <t>893351894</t>
  </si>
  <si>
    <t>QP461 .L5 1965</t>
  </si>
  <si>
    <t>0                      QP 0461000L  5           1965</t>
  </si>
  <si>
    <t>The physics of the ear / by T.S. Littler.</t>
  </si>
  <si>
    <t>Littler, T. S.</t>
  </si>
  <si>
    <t>Oxford ; New York : Pergamon Press ; [distributed in the Western Hemisphere by Macmillan, New York, 1965]</t>
  </si>
  <si>
    <t>International series of monographs on physics ; v. 3</t>
  </si>
  <si>
    <t>2007-04-24</t>
  </si>
  <si>
    <t>1994-12-20</t>
  </si>
  <si>
    <t>1528382:eng</t>
  </si>
  <si>
    <t>392026</t>
  </si>
  <si>
    <t>991002662789702656</t>
  </si>
  <si>
    <t>2263177400002656</t>
  </si>
  <si>
    <t>32285001984276</t>
  </si>
  <si>
    <t>893603844</t>
  </si>
  <si>
    <t>QP461 .R5</t>
  </si>
  <si>
    <t>0                      QP 0461000R  5</t>
  </si>
  <si>
    <t>Basic experimentation in psychoacoustics / Alan M. Richards.</t>
  </si>
  <si>
    <t>Richards, Alan M.</t>
  </si>
  <si>
    <t>4183666:eng</t>
  </si>
  <si>
    <t>2089747</t>
  </si>
  <si>
    <t>991004009769702656</t>
  </si>
  <si>
    <t>2263343950002656</t>
  </si>
  <si>
    <t>9780839108849</t>
  </si>
  <si>
    <t>32285000057777</t>
  </si>
  <si>
    <t>893247046</t>
  </si>
  <si>
    <t>QP461 .S68 1983</t>
  </si>
  <si>
    <t>0                      QP 0461000S  68          1983</t>
  </si>
  <si>
    <t>The acoustic sense of animals / William C. Stebbins.</t>
  </si>
  <si>
    <t>Stebbins, William C., 1929-</t>
  </si>
  <si>
    <t>Cambridge, Mass. ; London, England : Harvard University Press, 1983.</t>
  </si>
  <si>
    <t>2675708:eng</t>
  </si>
  <si>
    <t>9016864</t>
  </si>
  <si>
    <t>991000112319702656</t>
  </si>
  <si>
    <t>2257465190002656</t>
  </si>
  <si>
    <t>9780674003262</t>
  </si>
  <si>
    <t>32285001562411</t>
  </si>
  <si>
    <t>893345394</t>
  </si>
  <si>
    <t>QP461 .S7</t>
  </si>
  <si>
    <t>0                      QP 0461000S  7</t>
  </si>
  <si>
    <t>Hearing, its psychology and physiology / by Stanley Smith Stevens and Hallowell Davis.</t>
  </si>
  <si>
    <t>Stevens, S. S. (Stanley Smith), 1906-1973.</t>
  </si>
  <si>
    <t>New York : J. Wiley &amp; Sons, inc. ; London : Chapman &amp; Hall, limited, 1938.</t>
  </si>
  <si>
    <t>1938</t>
  </si>
  <si>
    <t>1995-03-31</t>
  </si>
  <si>
    <t>1650135:eng</t>
  </si>
  <si>
    <t>565037</t>
  </si>
  <si>
    <t>991002996599702656</t>
  </si>
  <si>
    <t>2258785470002656</t>
  </si>
  <si>
    <t>32285001633774</t>
  </si>
  <si>
    <t>893518041</t>
  </si>
  <si>
    <t>QP461 .S72</t>
  </si>
  <si>
    <t>0                      QP 0461000S  72</t>
  </si>
  <si>
    <t>Sound and hearing / by S. S. Stevens, Fred Warshofsky, and the editors of Life.</t>
  </si>
  <si>
    <t>New York : Time, inc., [1965]</t>
  </si>
  <si>
    <t>2003-06-09</t>
  </si>
  <si>
    <t>1448530:eng</t>
  </si>
  <si>
    <t>505471</t>
  </si>
  <si>
    <t>991005264719702656</t>
  </si>
  <si>
    <t>2263583490002656</t>
  </si>
  <si>
    <t>32285000057819</t>
  </si>
  <si>
    <t>893446688</t>
  </si>
  <si>
    <t>QP461 .S9 1967</t>
  </si>
  <si>
    <t>0                      QP 0461000S  9           1967</t>
  </si>
  <si>
    <t>Hearing mechanisms in vertebrates : a Ciba Foundation symposium / edited by A. V. S. De Reuck and Julie Knight.</t>
  </si>
  <si>
    <t>Symposium on Hearing Mechanisms in Vertebrates (1967 : London, England)</t>
  </si>
  <si>
    <t>Boston : Little, Brown, 1968.</t>
  </si>
  <si>
    <t>2003-06-11</t>
  </si>
  <si>
    <t>890902214:eng</t>
  </si>
  <si>
    <t>434708</t>
  </si>
  <si>
    <t>991005264729702656</t>
  </si>
  <si>
    <t>2267245580002656</t>
  </si>
  <si>
    <t>9780700013609</t>
  </si>
  <si>
    <t>32285002026606</t>
  </si>
  <si>
    <t>893870788</t>
  </si>
  <si>
    <t>QP461 .V3</t>
  </si>
  <si>
    <t>0                      QP 0461000V  3</t>
  </si>
  <si>
    <t>Waves and the ear / [by] Willem A. van Bergeijk, John R. Pierce, and Edward E. David, Jr.</t>
  </si>
  <si>
    <t>Van Bergeijk, Willem André Maria, 1929-</t>
  </si>
  <si>
    <t>Garden City, N.Y. : Anchor Books, 1960.</t>
  </si>
  <si>
    <t>Science study series ; S9</t>
  </si>
  <si>
    <t>1995-04-11</t>
  </si>
  <si>
    <t>18635216:eng</t>
  </si>
  <si>
    <t>221097</t>
  </si>
  <si>
    <t>991001331489702656</t>
  </si>
  <si>
    <t>2258269240002656</t>
  </si>
  <si>
    <t>32285002026598</t>
  </si>
  <si>
    <t>893408042</t>
  </si>
  <si>
    <t>QP464 .D33 1976</t>
  </si>
  <si>
    <t>0                      QP 0464000D  33          1976</t>
  </si>
  <si>
    <t>Recognition of complex acoustic signals : report of the Dahlem Workshop on Recognition of Complex Acoustic Signals, Berlin 1976, September 27 to October 2 / Theodore H. Bullock, ed. ; rapporteurs, E. F. Evans ... [et al.].</t>
  </si>
  <si>
    <t>Dahlem Workshop on Recognition of Complex Acoustic Signals (1976 : Berlin, Germany)</t>
  </si>
  <si>
    <t>Berlin : Abakon-Verlagsgesellschaft [in Komm.], 1977.</t>
  </si>
  <si>
    <t>1. Aufl.</t>
  </si>
  <si>
    <t>Life sciences research report ; 5</t>
  </si>
  <si>
    <t>289418741:eng</t>
  </si>
  <si>
    <t>3414632</t>
  </si>
  <si>
    <t>991004429069702656</t>
  </si>
  <si>
    <t>2260034580002656</t>
  </si>
  <si>
    <t>9783820012064</t>
  </si>
  <si>
    <t>32285001562429</t>
  </si>
  <si>
    <t>893782231</t>
  </si>
  <si>
    <t>QP469 .G7</t>
  </si>
  <si>
    <t>0                      QP 0469000G  7</t>
  </si>
  <si>
    <t>Echoes of bats and men.</t>
  </si>
  <si>
    <t>Griffin, Donald R. (Donald Redfield), 1915-2003.</t>
  </si>
  <si>
    <t>Garden City, N.Y., Anchor Books, 1959.</t>
  </si>
  <si>
    <t>1959</t>
  </si>
  <si>
    <t>Science study series ; S4</t>
  </si>
  <si>
    <t>422777387:eng</t>
  </si>
  <si>
    <t>561052</t>
  </si>
  <si>
    <t>991002991629702656</t>
  </si>
  <si>
    <t>2255257480002656</t>
  </si>
  <si>
    <t>32285003080131</t>
  </si>
  <si>
    <t>893893261</t>
  </si>
  <si>
    <t>QP469 .I57 1979</t>
  </si>
  <si>
    <t>0                      QP 0469000I  57          1979</t>
  </si>
  <si>
    <t>Animal sonar systems : [proceedings of the Second International Interdisciplinary Symposium on Animal Sonar Systems, held in Jersey, Channel Islands, April 1-8, 1979] / edited by René-Guy Busnel and James F. Fish.</t>
  </si>
  <si>
    <t>International Interdisciplinary Symposium on Animal Sonar Systems (2nd : 1979 : Jersey)</t>
  </si>
  <si>
    <t>NATO advanced study institutes series. Series A, Life sciences ; v. 28</t>
  </si>
  <si>
    <t>471549794:eng</t>
  </si>
  <si>
    <t>5564956</t>
  </si>
  <si>
    <t>991004846869702656</t>
  </si>
  <si>
    <t>2268745630002656</t>
  </si>
  <si>
    <t>9780306403279</t>
  </si>
  <si>
    <t>32285001562445</t>
  </si>
  <si>
    <t>893350439</t>
  </si>
  <si>
    <t>QP474 .N46</t>
  </si>
  <si>
    <t>0                      QP 0474000N  46</t>
  </si>
  <si>
    <t>Neural mechanisms of behavior in the pigeon / edited by A. M. Granda and J. H. Maxwell.</t>
  </si>
  <si>
    <t>353766344:eng</t>
  </si>
  <si>
    <t>4504156</t>
  </si>
  <si>
    <t>991004666209702656</t>
  </si>
  <si>
    <t>2264920570002656</t>
  </si>
  <si>
    <t>9780306400964</t>
  </si>
  <si>
    <t>32285001562452</t>
  </si>
  <si>
    <t>893869959</t>
  </si>
  <si>
    <t>QP475 .A8</t>
  </si>
  <si>
    <t>0                      QP 0475000A  8</t>
  </si>
  <si>
    <t>Experiments in seeing / illustrated by C. Phillipson.</t>
  </si>
  <si>
    <t>Asher, Harry.</t>
  </si>
  <si>
    <t>New York : Basic Books, [1963, c1961]</t>
  </si>
  <si>
    <t>Science and discovery</t>
  </si>
  <si>
    <t>1998-08-31</t>
  </si>
  <si>
    <t>2205666:eng</t>
  </si>
  <si>
    <t>1276733</t>
  </si>
  <si>
    <t>991003664179702656</t>
  </si>
  <si>
    <t>2259927030002656</t>
  </si>
  <si>
    <t>32285001470185</t>
  </si>
  <si>
    <t>893258686</t>
  </si>
  <si>
    <t>QP475 .B43</t>
  </si>
  <si>
    <t>0                      QP 0475000B  43</t>
  </si>
  <si>
    <t>Seeing and the eye : an introduction to vision / [by] G. Hugh Begbie.</t>
  </si>
  <si>
    <t>Begbie, G. Hugh.</t>
  </si>
  <si>
    <t>Garden City, N.Y. : Published for the American Museum of Natural History [by] the Natural History Press, 1969.</t>
  </si>
  <si>
    <t>1995-05-01</t>
  </si>
  <si>
    <t>1135251:eng</t>
  </si>
  <si>
    <t>12310</t>
  </si>
  <si>
    <t>991000003729702656</t>
  </si>
  <si>
    <t>2264984250002656</t>
  </si>
  <si>
    <t>32285002021268</t>
  </si>
  <si>
    <t>893242889</t>
  </si>
  <si>
    <t>QP475 .C33 1981</t>
  </si>
  <si>
    <t>0                      QP 0475000C  33          1981</t>
  </si>
  <si>
    <t>Visual perception : theory and practice / Terry Caelli.</t>
  </si>
  <si>
    <t>Caelli, Terry.</t>
  </si>
  <si>
    <t>Oxford, Eng. ; New York : Pergamon, 1981.</t>
  </si>
  <si>
    <t>Pergamon international library of science, technology, engineering, and social studies</t>
  </si>
  <si>
    <t>407507:eng</t>
  </si>
  <si>
    <t>6357478</t>
  </si>
  <si>
    <t>991004970589702656</t>
  </si>
  <si>
    <t>2256130230002656</t>
  </si>
  <si>
    <t>9780080244198</t>
  </si>
  <si>
    <t>32285001022507</t>
  </si>
  <si>
    <t>893236116</t>
  </si>
  <si>
    <t>QP475 .D3 1972</t>
  </si>
  <si>
    <t>0                      QP 0475000D  3           1972</t>
  </si>
  <si>
    <t>The physiology of the eye.</t>
  </si>
  <si>
    <t>Davson, Hugh, 1909-1996.</t>
  </si>
  <si>
    <t>New York, Academic Press [1972]</t>
  </si>
  <si>
    <t>2007-07-23</t>
  </si>
  <si>
    <t>1992-12-07</t>
  </si>
  <si>
    <t>153207282:eng</t>
  </si>
  <si>
    <t>329558</t>
  </si>
  <si>
    <t>991005257709702656</t>
  </si>
  <si>
    <t>2267465570002656</t>
  </si>
  <si>
    <t>9780122067402</t>
  </si>
  <si>
    <t>32285001439966</t>
  </si>
  <si>
    <t>893254726</t>
  </si>
  <si>
    <t>QP475 .E92</t>
  </si>
  <si>
    <t>0                      QP 0475000E  92</t>
  </si>
  <si>
    <t>The Eye / edited by Hugh Davson.</t>
  </si>
  <si>
    <t>New York : Academic Press, 1969-</t>
  </si>
  <si>
    <t>1992-12-08</t>
  </si>
  <si>
    <t>5574124809:eng</t>
  </si>
  <si>
    <t>10512</t>
  </si>
  <si>
    <t>991000001629702656</t>
  </si>
  <si>
    <t>2268066720002656</t>
  </si>
  <si>
    <t>9780122067532</t>
  </si>
  <si>
    <t>32285001413250</t>
  </si>
  <si>
    <t>893431581</t>
  </si>
  <si>
    <t>QP475 .E92 V.3</t>
  </si>
  <si>
    <t>0                      QP 0475000E  92                                                      V.3</t>
  </si>
  <si>
    <t>V.3*</t>
  </si>
  <si>
    <t>1998-10-06</t>
  </si>
  <si>
    <t>32285001021996</t>
  </si>
  <si>
    <t>893412982</t>
  </si>
  <si>
    <t>QP475 .G65</t>
  </si>
  <si>
    <t>0                      QP 0475000G  65</t>
  </si>
  <si>
    <t>Vision and visual perception / Clarence H. Graham, editor. [Contributors:] Neil R. Bartlett [and others]</t>
  </si>
  <si>
    <t>Graham, Clarence H. (Clarence Henry), 1906-1971, editor.</t>
  </si>
  <si>
    <t>New York : Wiley, [1965]</t>
  </si>
  <si>
    <t>1998-11-01</t>
  </si>
  <si>
    <t>1993-01-08</t>
  </si>
  <si>
    <t>160913:eng</t>
  </si>
  <si>
    <t>559625</t>
  </si>
  <si>
    <t>991002989299702656</t>
  </si>
  <si>
    <t>2262157950002656</t>
  </si>
  <si>
    <t>32285001474492</t>
  </si>
  <si>
    <t>893686055</t>
  </si>
  <si>
    <t>QP475 .H486</t>
  </si>
  <si>
    <t>0                      QP 0475000H  486</t>
  </si>
  <si>
    <t>Helmholtz's treatise on physiological optics / translated from the 3d German ed. Edited by James P. C. Southall.</t>
  </si>
  <si>
    <t>V.1-2</t>
  </si>
  <si>
    <t>Helmholtz, Hermann von, 1821-1894.</t>
  </si>
  <si>
    <t>New York : Dover Publications, [1962]</t>
  </si>
  <si>
    <t>2003-02-18</t>
  </si>
  <si>
    <t>907023:eng</t>
  </si>
  <si>
    <t>523553</t>
  </si>
  <si>
    <t>991002914079702656</t>
  </si>
  <si>
    <t>2261743790002656</t>
  </si>
  <si>
    <t>32285001470177</t>
  </si>
  <si>
    <t>893610463</t>
  </si>
  <si>
    <t>32285001562460</t>
  </si>
  <si>
    <t>893610462</t>
  </si>
  <si>
    <t>QP475 .H815 2005</t>
  </si>
  <si>
    <t>0                      QP 0475000H  815         2005</t>
  </si>
  <si>
    <t>Brain and visual perception : the story of a 25-year collaboration / David H. Hubel, Torsten N. Wiesel.</t>
  </si>
  <si>
    <t>New York, N.Y. : Oxford University Press, 2005.</t>
  </si>
  <si>
    <t>2005-09-12</t>
  </si>
  <si>
    <t>801989616:eng</t>
  </si>
  <si>
    <t>55055487</t>
  </si>
  <si>
    <t>991004629829702656</t>
  </si>
  <si>
    <t>2265136880002656</t>
  </si>
  <si>
    <t>9780195176186</t>
  </si>
  <si>
    <t>32285005083448</t>
  </si>
  <si>
    <t>893700457</t>
  </si>
  <si>
    <t>QP475 .L4713 1980</t>
  </si>
  <si>
    <t>0                      QP 0475000L  4713        1980</t>
  </si>
  <si>
    <t>Physiological optics / Y. Le Grand ; [translated by] S.G. El Hage.</t>
  </si>
  <si>
    <t>Le Grand, Yves, 1908-1986.</t>
  </si>
  <si>
    <t>Springer series in optical sciences ; v. 13</t>
  </si>
  <si>
    <t>1996-03-11</t>
  </si>
  <si>
    <t>1992-12-15</t>
  </si>
  <si>
    <t>501352389:eng</t>
  </si>
  <si>
    <t>6196709</t>
  </si>
  <si>
    <t>991004943839702656</t>
  </si>
  <si>
    <t>2266240480002656</t>
  </si>
  <si>
    <t>9780387099194</t>
  </si>
  <si>
    <t>32285001441806</t>
  </si>
  <si>
    <t>893612946</t>
  </si>
  <si>
    <t>QP475 .L473 1968</t>
  </si>
  <si>
    <t>0                      QP 0475000L  473         1968</t>
  </si>
  <si>
    <t>Light, colour and vision; approved translation [from the French] by R. W. G. Hunt, J. W. T. Walsh and F. R. W. Hunt.</t>
  </si>
  <si>
    <t>London, Chapman &amp; Hall, 1968.</t>
  </si>
  <si>
    <t>English 2nd ed.</t>
  </si>
  <si>
    <t>1997-02-20</t>
  </si>
  <si>
    <t>4495054252:eng</t>
  </si>
  <si>
    <t>455533</t>
  </si>
  <si>
    <t>991002811399702656</t>
  </si>
  <si>
    <t>2263524280002656</t>
  </si>
  <si>
    <t>32285001439974</t>
  </si>
  <si>
    <t>893409578</t>
  </si>
  <si>
    <t>QP475 .L778</t>
  </si>
  <si>
    <t>0                      QP 0475000L  778</t>
  </si>
  <si>
    <t>Light, vision and seeing; a simplified presentation of their relationships and their importance in human efficiency and welfare.</t>
  </si>
  <si>
    <t>Luckiesh, Matthew, 1883-1967.</t>
  </si>
  <si>
    <t>New York, Van Nostrand, 1944.</t>
  </si>
  <si>
    <t>1944</t>
  </si>
  <si>
    <t>1992-12-20</t>
  </si>
  <si>
    <t>1931308:eng</t>
  </si>
  <si>
    <t>972756</t>
  </si>
  <si>
    <t>991003437129702656</t>
  </si>
  <si>
    <t>2259015120002656</t>
  </si>
  <si>
    <t>32285001470169</t>
  </si>
  <si>
    <t>893686550</t>
  </si>
  <si>
    <t>QP475 .L95</t>
  </si>
  <si>
    <t>0                      QP 0475000L  95</t>
  </si>
  <si>
    <t>The ecology of vision / J. N. Lythgoe.</t>
  </si>
  <si>
    <t>Lythgoe, J. N.</t>
  </si>
  <si>
    <t>Oxford : Clarendon Press ; New York : Oxford University Press, 1979.</t>
  </si>
  <si>
    <t>1996-03-09</t>
  </si>
  <si>
    <t>1992-12-06</t>
  </si>
  <si>
    <t>111161759:eng</t>
  </si>
  <si>
    <t>4804801</t>
  </si>
  <si>
    <t>991004722619702656</t>
  </si>
  <si>
    <t>2270327690002656</t>
  </si>
  <si>
    <t>9780198545293</t>
  </si>
  <si>
    <t>32285001439982</t>
  </si>
  <si>
    <t>893619013</t>
  </si>
  <si>
    <t>QP475 .P24 1999</t>
  </si>
  <si>
    <t>0                      QP 0475000P  24          1999</t>
  </si>
  <si>
    <t>Vision science : photons to phenomenology / Stephen E. Palmer.</t>
  </si>
  <si>
    <t>Palmer, Stephen E.</t>
  </si>
  <si>
    <t>Cambridge, Mass. : MIT Press, c1999.</t>
  </si>
  <si>
    <t>2009-04-06</t>
  </si>
  <si>
    <t>2003-11-10</t>
  </si>
  <si>
    <t>799802508:eng</t>
  </si>
  <si>
    <t>40610519</t>
  </si>
  <si>
    <t>991004170219702656</t>
  </si>
  <si>
    <t>2267774700002656</t>
  </si>
  <si>
    <t>9780262161831</t>
  </si>
  <si>
    <t>32285004796214</t>
  </si>
  <si>
    <t>893535848</t>
  </si>
  <si>
    <t>QP475 .P33 1998</t>
  </si>
  <si>
    <t>0                      QP 0475000P  33          1998</t>
  </si>
  <si>
    <t>Optics and vision / Leno S. Pedrotti, Frank L. Pedrotti.</t>
  </si>
  <si>
    <t>Pedrotti, Leno S., 1927-</t>
  </si>
  <si>
    <t>Upper Saddle River, N.J. : Prentice Hall, c1998.</t>
  </si>
  <si>
    <t>2002-10-14</t>
  </si>
  <si>
    <t>592775:eng</t>
  </si>
  <si>
    <t>37213957</t>
  </si>
  <si>
    <t>991002826669702656</t>
  </si>
  <si>
    <t>2257726400002656</t>
  </si>
  <si>
    <t>9780132422239</t>
  </si>
  <si>
    <t>32285003668240</t>
  </si>
  <si>
    <t>893504863</t>
  </si>
  <si>
    <t>QP475 .P38 1990</t>
  </si>
  <si>
    <t>0                      QP 0475000P  38          1990</t>
  </si>
  <si>
    <t>The Perceptual world : readings from Scientific American magazine / edited by Irvin Rock.</t>
  </si>
  <si>
    <t>New York : W.H. Freeman, c1990.</t>
  </si>
  <si>
    <t>1997-05-02</t>
  </si>
  <si>
    <t>1990-02-26</t>
  </si>
  <si>
    <t>889909523:eng</t>
  </si>
  <si>
    <t>20133558</t>
  </si>
  <si>
    <t>991001543199702656</t>
  </si>
  <si>
    <t>2261259030002656</t>
  </si>
  <si>
    <t>9780716720683</t>
  </si>
  <si>
    <t>32285000041011</t>
  </si>
  <si>
    <t>893885352</t>
  </si>
  <si>
    <t>QP475 .S576 1997</t>
  </si>
  <si>
    <t>0                      QP 0475000S  576         1997</t>
  </si>
  <si>
    <t>The eye and visual optical instruments / George Smith, David A. Atchison.</t>
  </si>
  <si>
    <t>Smith, George, 1941 October 19-</t>
  </si>
  <si>
    <t>Cambridge, U.K. ; New York, NY, USA : Cambridge University Press, 1997.</t>
  </si>
  <si>
    <t>1998-06-30</t>
  </si>
  <si>
    <t>44127666:eng</t>
  </si>
  <si>
    <t>34772297</t>
  </si>
  <si>
    <t>991002660439702656</t>
  </si>
  <si>
    <t>2263236860002656</t>
  </si>
  <si>
    <t>9780521472524</t>
  </si>
  <si>
    <t>32285003424594</t>
  </si>
  <si>
    <t>893685623</t>
  </si>
  <si>
    <t>QP475 .S6 1961</t>
  </si>
  <si>
    <t>0                      QP 0475000S  6           1961</t>
  </si>
  <si>
    <t>Introduction to physiological optics.</t>
  </si>
  <si>
    <t>Southall, James P. C. (James Powell Cocke), 1871-1962.</t>
  </si>
  <si>
    <t>New York : Dover Publications, [1961, c1937]</t>
  </si>
  <si>
    <t>1999-09-21</t>
  </si>
  <si>
    <t>1992-12-23</t>
  </si>
  <si>
    <t>3768514193:eng</t>
  </si>
  <si>
    <t>14617205</t>
  </si>
  <si>
    <t>991002989599702656</t>
  </si>
  <si>
    <t>2262207910002656</t>
  </si>
  <si>
    <t>32285001404739</t>
  </si>
  <si>
    <t>893686056</t>
  </si>
  <si>
    <t>QP475 .W24 1998</t>
  </si>
  <si>
    <t>0                      QP 0475000W  24          1998</t>
  </si>
  <si>
    <t>A natural history of vision / Nicholas J. Wade.</t>
  </si>
  <si>
    <t>Wade, Nicholas.</t>
  </si>
  <si>
    <t>Cambridge, Mass. : MIT Press, c1998.</t>
  </si>
  <si>
    <t>2009-04-28</t>
  </si>
  <si>
    <t>56193105:eng</t>
  </si>
  <si>
    <t>37246567</t>
  </si>
  <si>
    <t>991002829009702656</t>
  </si>
  <si>
    <t>2267770710002656</t>
  </si>
  <si>
    <t>9780262231947</t>
  </si>
  <si>
    <t>32285003534046</t>
  </si>
  <si>
    <t>893535209</t>
  </si>
  <si>
    <t>QP475 .W58 1966</t>
  </si>
  <si>
    <t>0                      QP 0475000W  58          1966</t>
  </si>
  <si>
    <t>Seeing and perceiving / by C.W. Wilman.</t>
  </si>
  <si>
    <t>Wilman, C. W. (Charles Wilfred)</t>
  </si>
  <si>
    <t>Oxford ; New York : Pergamon, 1966.</t>
  </si>
  <si>
    <t>Commonwealth and international library. Liberal studies division</t>
  </si>
  <si>
    <t>1998-11-20</t>
  </si>
  <si>
    <t>1991-08-20</t>
  </si>
  <si>
    <t>2205703:eng</t>
  </si>
  <si>
    <t>1276758</t>
  </si>
  <si>
    <t>991003664199702656</t>
  </si>
  <si>
    <t>2259939450002656</t>
  </si>
  <si>
    <t>32285000697010</t>
  </si>
  <si>
    <t>893531450</t>
  </si>
  <si>
    <t>QP475.5 .M8 1966</t>
  </si>
  <si>
    <t>0                      QP 0475500M  8           1966</t>
  </si>
  <si>
    <t>Light and vision / by Conrad G. Mueller, Mae Rudolph, and the editors of Life.</t>
  </si>
  <si>
    <t>Mueller, Conrad G. (Conrad George), 1920-</t>
  </si>
  <si>
    <t>New York : Time, inc., [1966]</t>
  </si>
  <si>
    <t>1998-09-13</t>
  </si>
  <si>
    <t>47508940:eng</t>
  </si>
  <si>
    <t>504077</t>
  </si>
  <si>
    <t>991002878239702656</t>
  </si>
  <si>
    <t>2260888770002656</t>
  </si>
  <si>
    <t>32285000697085</t>
  </si>
  <si>
    <t>893323488</t>
  </si>
  <si>
    <t>QP475.5 .R48</t>
  </si>
  <si>
    <t>0                      QP 0475500R  48</t>
  </si>
  <si>
    <t>Sportsvision : Dr. Revien's eye exercises Program for athletes / by Leon Revien &amp; Mark Gabor ; photographs by Jerry Darvin.</t>
  </si>
  <si>
    <t>Revien, Leon.</t>
  </si>
  <si>
    <t>New York : Workman Pub., c1981.</t>
  </si>
  <si>
    <t>427157683:eng</t>
  </si>
  <si>
    <t>7461348</t>
  </si>
  <si>
    <t>991005114619702656</t>
  </si>
  <si>
    <t>2265963270002656</t>
  </si>
  <si>
    <t>9780894801525</t>
  </si>
  <si>
    <t>32285001562486</t>
  </si>
  <si>
    <t>893594491</t>
  </si>
  <si>
    <t>QP475.5 .S56 1985</t>
  </si>
  <si>
    <t>0                      QP 0475500S  56          1985</t>
  </si>
  <si>
    <t>How animals see : other visions of our world / Sandra Sinclair.</t>
  </si>
  <si>
    <t>Sinclair, Sandra.</t>
  </si>
  <si>
    <t>New York, NY : Facts on File Publications, c1985.</t>
  </si>
  <si>
    <t>1993-01-04</t>
  </si>
  <si>
    <t>4839610:eng</t>
  </si>
  <si>
    <t>9894268</t>
  </si>
  <si>
    <t>991000274839702656</t>
  </si>
  <si>
    <t>2262684140002656</t>
  </si>
  <si>
    <t>9780871962737</t>
  </si>
  <si>
    <t>32285001471761</t>
  </si>
  <si>
    <t>893701989</t>
  </si>
  <si>
    <t>QP475.5 .W47 1984</t>
  </si>
  <si>
    <t>0                      QP 0475500W  47          1984</t>
  </si>
  <si>
    <t>The eye : window to the world / by Lael Wertenbaker.</t>
  </si>
  <si>
    <t>Wertenbaker, Lael Tucker, 1909-1997.</t>
  </si>
  <si>
    <t>Tarrytown, N.Y. : Torstar Books, c1984.</t>
  </si>
  <si>
    <t>2007-08-30</t>
  </si>
  <si>
    <t>906776982:eng</t>
  </si>
  <si>
    <t>11816371</t>
  </si>
  <si>
    <t>991000598599702656</t>
  </si>
  <si>
    <t>2264219140002656</t>
  </si>
  <si>
    <t>9780920269251</t>
  </si>
  <si>
    <t>32285000696996</t>
  </si>
  <si>
    <t>893407351</t>
  </si>
  <si>
    <t>QP478 .W56 1995</t>
  </si>
  <si>
    <t>0                      QP 0478000W  56          1995</t>
  </si>
  <si>
    <t>Molecular biology and evolution of crystallins : gene recruitment and multifunctional proteins in the eye lens / Graeme Wistow.</t>
  </si>
  <si>
    <t>Wistow, Graeme, 1953-</t>
  </si>
  <si>
    <t>New York : Springer ; Austin, Tex. : R.G. Landes, 1995.</t>
  </si>
  <si>
    <t>Molecular biology intelligence unit</t>
  </si>
  <si>
    <t>2004-06-30</t>
  </si>
  <si>
    <t>898046210:eng</t>
  </si>
  <si>
    <t>32854916</t>
  </si>
  <si>
    <t>991002526889702656</t>
  </si>
  <si>
    <t>2272336430002656</t>
  </si>
  <si>
    <t>9781570592997</t>
  </si>
  <si>
    <t>32285002188976</t>
  </si>
  <si>
    <t>893523717</t>
  </si>
  <si>
    <t>QP479 .I5</t>
  </si>
  <si>
    <t>0                      QP 0479000I  5</t>
  </si>
  <si>
    <t>Biochemistry of the retina. Edited by Clive N. Graymore.</t>
  </si>
  <si>
    <t>International Symposium on the Biochemistry of the Retina (1st : 1964 : London, England)</t>
  </si>
  <si>
    <t>London, New York, Academic Press, 1965.</t>
  </si>
  <si>
    <t>1630680:eng</t>
  </si>
  <si>
    <t>559748</t>
  </si>
  <si>
    <t>991002989619702656</t>
  </si>
  <si>
    <t>2262206970002656</t>
  </si>
  <si>
    <t>32285003080206</t>
  </si>
  <si>
    <t>893239768</t>
  </si>
  <si>
    <t>QP481 .B52 1988</t>
  </si>
  <si>
    <t>0                      QP 0481000B  52          1988</t>
  </si>
  <si>
    <t>Light, color &amp; environment : presenting a wealth of data on the biological and psychological effects of color, with detailed recommendations for practical color use, special attention to computer facilities, and a historic review of period styles / Faber Birren.</t>
  </si>
  <si>
    <t>Birren, Faber, 1900-1988.</t>
  </si>
  <si>
    <t>West Chester, Penn. : Schiffer Pub., 1988.</t>
  </si>
  <si>
    <t>2nd rev. ed.</t>
  </si>
  <si>
    <t>1998-11-22</t>
  </si>
  <si>
    <t>9093624040:eng</t>
  </si>
  <si>
    <t>18773883</t>
  </si>
  <si>
    <t>991001391589702656</t>
  </si>
  <si>
    <t>2258610790002656</t>
  </si>
  <si>
    <t>9780887401312</t>
  </si>
  <si>
    <t>32285000697077</t>
  </si>
  <si>
    <t>893778767</t>
  </si>
  <si>
    <t>QP481 .F7</t>
  </si>
  <si>
    <t>0                      QP 0481000F  7</t>
  </si>
  <si>
    <t>Colour and colour theories / by Christine Ladd-Franklin.</t>
  </si>
  <si>
    <t>Ladd-Franklin, Christine, 1847-1930.</t>
  </si>
  <si>
    <t>London : K. Paul, Trench, Trubner &amp; co., ltd. ; New York : Harcourt, Brace and company, 1929.</t>
  </si>
  <si>
    <t>1929</t>
  </si>
  <si>
    <t>International library of psychology, philosophy, and scientific method</t>
  </si>
  <si>
    <t>1999-12-01</t>
  </si>
  <si>
    <t>1992-03-13</t>
  </si>
  <si>
    <t>60180:eng</t>
  </si>
  <si>
    <t>2716253</t>
  </si>
  <si>
    <t>991004221969702656</t>
  </si>
  <si>
    <t>2272119910002656</t>
  </si>
  <si>
    <t>32285001020311</t>
  </si>
  <si>
    <t>893882204</t>
  </si>
  <si>
    <t>QP481 .M26</t>
  </si>
  <si>
    <t>0                      QP 0481000M  26</t>
  </si>
  <si>
    <t>Sources of color science / selected and edited by David L. MacAdam.</t>
  </si>
  <si>
    <t>MacAdam, David L., 1910-1998, compiler.</t>
  </si>
  <si>
    <t>Cambridge, Mass. : MIT Press, [1970]</t>
  </si>
  <si>
    <t>347104945:eng</t>
  </si>
  <si>
    <t>115810</t>
  </si>
  <si>
    <t>991000656729702656</t>
  </si>
  <si>
    <t>2260334980002656</t>
  </si>
  <si>
    <t>9780262130615</t>
  </si>
  <si>
    <t>32285001020303</t>
  </si>
  <si>
    <t>893702312</t>
  </si>
  <si>
    <t>QP481 .R34</t>
  </si>
  <si>
    <t>0                      QP 0481000R  34</t>
  </si>
  <si>
    <t>Mach bands : quantitative studies on neural networks in the retina.</t>
  </si>
  <si>
    <t>Ratliff, Floyd.</t>
  </si>
  <si>
    <t>San Francisco : Holden-Day, 1965.</t>
  </si>
  <si>
    <t>Holden-Day series in psychology</t>
  </si>
  <si>
    <t>1992-11-23</t>
  </si>
  <si>
    <t>502819497:eng</t>
  </si>
  <si>
    <t>8991552</t>
  </si>
  <si>
    <t>991000109709702656</t>
  </si>
  <si>
    <t>2258827110002656</t>
  </si>
  <si>
    <t>32285001407997</t>
  </si>
  <si>
    <t>893720578</t>
  </si>
  <si>
    <t>QP481 .S513</t>
  </si>
  <si>
    <t>0                      QP 0481000S  513</t>
  </si>
  <si>
    <t>Human color perception : a critical study of the experimental foundation / [by] Joseph J. Sheppard, Jr.</t>
  </si>
  <si>
    <t>Sheppard, Joseph J., Jr.</t>
  </si>
  <si>
    <t>New York : American Elsevier Pub. Co., 1968.</t>
  </si>
  <si>
    <t>308738882:eng</t>
  </si>
  <si>
    <t>526435</t>
  </si>
  <si>
    <t>991002920529702656</t>
  </si>
  <si>
    <t>2262231820002656</t>
  </si>
  <si>
    <t>32285001020295</t>
  </si>
  <si>
    <t>893616761</t>
  </si>
  <si>
    <t>QP481 .T43</t>
  </si>
  <si>
    <t>0                      QP 0481000T  43</t>
  </si>
  <si>
    <t>Color vision : an enduring problem in psychology : selected readings / edited by Richard C. Teevan and Robert C. Birney.</t>
  </si>
  <si>
    <t>Teevan, Richard C., 1919-2006 editor.</t>
  </si>
  <si>
    <t>Princeton, N.J. : Van Nostrand, [1961]</t>
  </si>
  <si>
    <t>An Insight book, 4</t>
  </si>
  <si>
    <t>2000-02-07</t>
  </si>
  <si>
    <t>890230810:eng</t>
  </si>
  <si>
    <t>14611807</t>
  </si>
  <si>
    <t>991002629989702656</t>
  </si>
  <si>
    <t>2259919400002656</t>
  </si>
  <si>
    <t>32285001005098</t>
  </si>
  <si>
    <t>893786355</t>
  </si>
  <si>
    <t>QP481 .W7</t>
  </si>
  <si>
    <t>0                      QP 0481000W  7</t>
  </si>
  <si>
    <t>The rays are not coloured : essays on the science and vision and colour / by W. D. Wright.</t>
  </si>
  <si>
    <t>Wright, W. D. (William David), 1906-1997.</t>
  </si>
  <si>
    <t>London : Hilger, [1967].</t>
  </si>
  <si>
    <t>1991-12-05</t>
  </si>
  <si>
    <t>376656801:eng</t>
  </si>
  <si>
    <t>2616571</t>
  </si>
  <si>
    <t>991004186579702656</t>
  </si>
  <si>
    <t>2265059890002656</t>
  </si>
  <si>
    <t>9780852740682</t>
  </si>
  <si>
    <t>32285000844430</t>
  </si>
  <si>
    <t>893788384</t>
  </si>
  <si>
    <t>QP483 .E9</t>
  </si>
  <si>
    <t>0                      QP 0483000E  9</t>
  </si>
  <si>
    <t>The perception of color.</t>
  </si>
  <si>
    <t>Evans, Ralph M. (Ralph Merrill)</t>
  </si>
  <si>
    <t>New York, Wiley [1974]</t>
  </si>
  <si>
    <t>2001-12-03</t>
  </si>
  <si>
    <t>1888318:eng</t>
  </si>
  <si>
    <t>934771</t>
  </si>
  <si>
    <t>991003396609702656</t>
  </si>
  <si>
    <t>2271626030002656</t>
  </si>
  <si>
    <t>9780471247852</t>
  </si>
  <si>
    <t>32285000840933</t>
  </si>
  <si>
    <t>893623444</t>
  </si>
  <si>
    <t>QP483 .J3</t>
  </si>
  <si>
    <t>0                      QP 0483000J  3</t>
  </si>
  <si>
    <t>Comparative color vision / Gerald H. Jacobs.</t>
  </si>
  <si>
    <t>Jacobs, Gerald H.</t>
  </si>
  <si>
    <t>New York : Academic Press, 1981.</t>
  </si>
  <si>
    <t>Academic Press series in cognition and perception</t>
  </si>
  <si>
    <t>409225:eng</t>
  </si>
  <si>
    <t>7947782</t>
  </si>
  <si>
    <t>991005183269702656</t>
  </si>
  <si>
    <t>2270118650002656</t>
  </si>
  <si>
    <t>9780123785206</t>
  </si>
  <si>
    <t>32285001408458</t>
  </si>
  <si>
    <t>893606968</t>
  </si>
  <si>
    <t>QP483 .S4</t>
  </si>
  <si>
    <t>0                      QP 0483000S  4</t>
  </si>
  <si>
    <t>Colour vision in the nineteenth century : the Young-Helmholtz-Maxwell theory / Paul D. Sherman ; foreword by W.D. Wright.</t>
  </si>
  <si>
    <t>Sherman, Paul D.</t>
  </si>
  <si>
    <t>Bristol : A. Hilger, 1981.</t>
  </si>
  <si>
    <t>1992-12-02</t>
  </si>
  <si>
    <t>509711:eng</t>
  </si>
  <si>
    <t>8360366</t>
  </si>
  <si>
    <t>991005234719702656</t>
  </si>
  <si>
    <t>2263511610002656</t>
  </si>
  <si>
    <t>9780852743768</t>
  </si>
  <si>
    <t>32285000180108</t>
  </si>
  <si>
    <t>893533417</t>
  </si>
  <si>
    <t>QP485 .I1513</t>
  </si>
  <si>
    <t>0                      QP 0485000I  1513</t>
  </si>
  <si>
    <t>Eye movements and vision / by Alfred L. Yarbus. Translated from Russian by Basil Haigh. Translation editor: Lorrin A. Riggs.</t>
  </si>
  <si>
    <t>I͡Arbus, A. L. (Alʹfred Lukʹi͡anovich)</t>
  </si>
  <si>
    <t>New York : Plenum Press, 1967.</t>
  </si>
  <si>
    <t>1992-06-30</t>
  </si>
  <si>
    <t>50774083:eng</t>
  </si>
  <si>
    <t>927806</t>
  </si>
  <si>
    <t>991003390079702656</t>
  </si>
  <si>
    <t>2266818300002656</t>
  </si>
  <si>
    <t>32285001145787</t>
  </si>
  <si>
    <t>893240170</t>
  </si>
  <si>
    <t>QP491 .G5</t>
  </si>
  <si>
    <t>0                      QP 0491000G  5</t>
  </si>
  <si>
    <t>The perception of the visual world.</t>
  </si>
  <si>
    <t>Gibson, James J. (James Jerome), 1904-1979.</t>
  </si>
  <si>
    <t>Boston : Houghton Mifflin, [1950]</t>
  </si>
  <si>
    <t>1950</t>
  </si>
  <si>
    <t>1997-11-18</t>
  </si>
  <si>
    <t>1992-12-16</t>
  </si>
  <si>
    <t>53108244:eng</t>
  </si>
  <si>
    <t>560396</t>
  </si>
  <si>
    <t>991002990589702656</t>
  </si>
  <si>
    <t>2256721810002656</t>
  </si>
  <si>
    <t>32285001441798</t>
  </si>
  <si>
    <t>893686057</t>
  </si>
  <si>
    <t>QP491 .H32</t>
  </si>
  <si>
    <t>0                      QP 0491000H  32</t>
  </si>
  <si>
    <t>Contemporary theory and research in visual perception.</t>
  </si>
  <si>
    <t>Haber, Ralph Norman, compiler.</t>
  </si>
  <si>
    <t>New York : Holt, Rinehart and Winston, [1968]</t>
  </si>
  <si>
    <t>1997-11-06</t>
  </si>
  <si>
    <t>118815326:eng</t>
  </si>
  <si>
    <t>440415</t>
  </si>
  <si>
    <t>991002781629702656</t>
  </si>
  <si>
    <t>2256800100002656</t>
  </si>
  <si>
    <t>32285001470151</t>
  </si>
  <si>
    <t>893323368</t>
  </si>
  <si>
    <t>QP491 .H66 1989</t>
  </si>
  <si>
    <t>0                      QP 0491000H  66          1989</t>
  </si>
  <si>
    <t>Depth perception in frogs and toads : a study in neural computing / Donald House.</t>
  </si>
  <si>
    <t>House, Donald, 1945-</t>
  </si>
  <si>
    <t>New York : Springer-Verlag, 1989.</t>
  </si>
  <si>
    <t>Lecture notes in biomathematics ; v. 80</t>
  </si>
  <si>
    <t>889720974:eng</t>
  </si>
  <si>
    <t>20563366</t>
  </si>
  <si>
    <t>991001588969702656</t>
  </si>
  <si>
    <t>2257358570002656</t>
  </si>
  <si>
    <t>9783540971573</t>
  </si>
  <si>
    <t>32285001038586</t>
  </si>
  <si>
    <t>893244231</t>
  </si>
  <si>
    <t>QP491 .O93 1976</t>
  </si>
  <si>
    <t>0                      QP 0491000O  93          1976</t>
  </si>
  <si>
    <t>Vision and acquisition : fundamentals of human visual performance, environmental influences, and applications in instrumental optics / Ian Overington.</t>
  </si>
  <si>
    <t>Overington, Ian.</t>
  </si>
  <si>
    <t>London : Pentech Press ; New York : Crane, Russak, 1976.</t>
  </si>
  <si>
    <t>1993-02-18</t>
  </si>
  <si>
    <t>369389510:eng</t>
  </si>
  <si>
    <t>2542089</t>
  </si>
  <si>
    <t>991004156589702656</t>
  </si>
  <si>
    <t>2272027360002656</t>
  </si>
  <si>
    <t>9780844809175</t>
  </si>
  <si>
    <t>32285001470144</t>
  </si>
  <si>
    <t>893599496</t>
  </si>
  <si>
    <t>QP495 .H35</t>
  </si>
  <si>
    <t>0                      QP 0495000H  35</t>
  </si>
  <si>
    <t>Image, object, and illusion; readings from Scientific American. With introductions by Richard Held.</t>
  </si>
  <si>
    <t>Held, Richard compiler.</t>
  </si>
  <si>
    <t>San Francisco, W. H. Freeman [1974]</t>
  </si>
  <si>
    <t>2009-02-22</t>
  </si>
  <si>
    <t>1992-07-22</t>
  </si>
  <si>
    <t>366238574:eng</t>
  </si>
  <si>
    <t>948012</t>
  </si>
  <si>
    <t>991001977559702656</t>
  </si>
  <si>
    <t>2264923610002656</t>
  </si>
  <si>
    <t>9780716705055</t>
  </si>
  <si>
    <t>32285001214484</t>
  </si>
  <si>
    <t>893238503</t>
  </si>
  <si>
    <t>QP495 .R35</t>
  </si>
  <si>
    <t>0                      QP 0495000R  35</t>
  </si>
  <si>
    <t>Illusions: a journey into perception.</t>
  </si>
  <si>
    <t>Rainey, Patricia Ann.</t>
  </si>
  <si>
    <t>[Hamden, Conn.] Linnet Books, 1973.</t>
  </si>
  <si>
    <t>1748886:eng</t>
  </si>
  <si>
    <t>632475</t>
  </si>
  <si>
    <t>991003080609702656</t>
  </si>
  <si>
    <t>2263842910002656</t>
  </si>
  <si>
    <t>9780208012128</t>
  </si>
  <si>
    <t>32285001214476</t>
  </si>
  <si>
    <t>893428421</t>
  </si>
  <si>
    <t>QP495 .S44 2006</t>
  </si>
  <si>
    <t>0                      QP 0495000S  44          2006</t>
  </si>
  <si>
    <t>The ultimate book of optical illusions / Al Seckel.</t>
  </si>
  <si>
    <t>Seckel, Al, 1958-2015.</t>
  </si>
  <si>
    <t>New York : Sterling Pub. Co., c2006.</t>
  </si>
  <si>
    <t>2010-03-29</t>
  </si>
  <si>
    <t>2009-10-15</t>
  </si>
  <si>
    <t>58223127:eng</t>
  </si>
  <si>
    <t>71259940</t>
  </si>
  <si>
    <t>991005337989702656</t>
  </si>
  <si>
    <t>2263515780002656</t>
  </si>
  <si>
    <t>9781402734045</t>
  </si>
  <si>
    <t>32285005548150</t>
  </si>
  <si>
    <t>893437540</t>
  </si>
  <si>
    <t>QP495 .T6 1964</t>
  </si>
  <si>
    <t>0                      QP 0495000T  6           1964</t>
  </si>
  <si>
    <t>Optical illusions / by S. Tolansky.</t>
  </si>
  <si>
    <t>Tolansky, S. (Samuel), 1907-1973.</t>
  </si>
  <si>
    <t>Oxford ; New York : Pergamon Press ; [distributed in the Western Hemisphere by Macmillan, New York], 1964.</t>
  </si>
  <si>
    <t>510547915:eng</t>
  </si>
  <si>
    <t>560454</t>
  </si>
  <si>
    <t>991002990819702656</t>
  </si>
  <si>
    <t>2256727740002656</t>
  </si>
  <si>
    <t>32285000697028</t>
  </si>
  <si>
    <t>893409795</t>
  </si>
  <si>
    <t>QP509 .S45 vol.1</t>
  </si>
  <si>
    <t>0                      QP 0509000S  45                                                      vol.1</t>
  </si>
  <si>
    <t>Bacterial genetics and temperate phage. Edited by Jun-ichi Tomizawa.</t>
  </si>
  <si>
    <t>Tomizawa, Junʼichi, 1924-, compiler.</t>
  </si>
  <si>
    <t>Baltimore, University Park Press [1971]</t>
  </si>
  <si>
    <t>Selected papers in biochemistry ; v. 1</t>
  </si>
  <si>
    <t>2002-02-24</t>
  </si>
  <si>
    <t>1251578:eng</t>
  </si>
  <si>
    <t>200390</t>
  </si>
  <si>
    <t>991001227339702656</t>
  </si>
  <si>
    <t>2257588300002656</t>
  </si>
  <si>
    <t>9780839106111</t>
  </si>
  <si>
    <t>32285003080289</t>
  </si>
  <si>
    <t>893231808</t>
  </si>
  <si>
    <t>QP511 .F78</t>
  </si>
  <si>
    <t>0                      QP 0511000F  78</t>
  </si>
  <si>
    <t>Molecules and life : historical essays on the interplay of chemistry and biology / [by] Joseph S. Fruton.</t>
  </si>
  <si>
    <t>Fruton, Joseph S. (Joseph Stewart), 1912-2007.</t>
  </si>
  <si>
    <t>New York : Wiley-Interscience, [1972]</t>
  </si>
  <si>
    <t>1995-09-27</t>
  </si>
  <si>
    <t>1994-10-05</t>
  </si>
  <si>
    <t>374126776:eng</t>
  </si>
  <si>
    <t>308724</t>
  </si>
  <si>
    <t>991002272549702656</t>
  </si>
  <si>
    <t>2265148470002656</t>
  </si>
  <si>
    <t>9780471284482</t>
  </si>
  <si>
    <t>32285001953677</t>
  </si>
  <si>
    <t>893879703</t>
  </si>
  <si>
    <t>QP511.8.C45 A33</t>
  </si>
  <si>
    <t>0                      QP 0511800C  45                 A  33</t>
  </si>
  <si>
    <t>Heraclitean fire : sketches from a life before nature / Erwin Chargaff.</t>
  </si>
  <si>
    <t>Chargaff, Erwin.</t>
  </si>
  <si>
    <t>New York : Rockefeller University Press, 1978.</t>
  </si>
  <si>
    <t>1997-11-21</t>
  </si>
  <si>
    <t>1150919653:eng</t>
  </si>
  <si>
    <t>4180182</t>
  </si>
  <si>
    <t>991004602179702656</t>
  </si>
  <si>
    <t>2266302400002656</t>
  </si>
  <si>
    <t>9780874700299</t>
  </si>
  <si>
    <t>32285001953669</t>
  </si>
  <si>
    <t>893882655</t>
  </si>
  <si>
    <t>QP511.8.K68 A3 1989</t>
  </si>
  <si>
    <t>0                      QP 0511800K  68                 A  3           1989</t>
  </si>
  <si>
    <t>For the love of enzymes : the odyssey of a biochemist / Arthur Kornberg.</t>
  </si>
  <si>
    <t>Kornberg, Arthur, 1918-2007.</t>
  </si>
  <si>
    <t>Cambridge, Mass. : Harvard University Press, 1989.</t>
  </si>
  <si>
    <t>196510108:eng</t>
  </si>
  <si>
    <t>18744754</t>
  </si>
  <si>
    <t>991001389429702656</t>
  </si>
  <si>
    <t>2257076880002656</t>
  </si>
  <si>
    <t>9780674307759</t>
  </si>
  <si>
    <t>32285001562585</t>
  </si>
  <si>
    <t>893590252</t>
  </si>
  <si>
    <t>QP511.8.K68 A3 1991</t>
  </si>
  <si>
    <t>0                      QP 0511800K  68                 A  3           1991</t>
  </si>
  <si>
    <t>Cambridge, Mass. : Harvard University Press, 1991.</t>
  </si>
  <si>
    <t>2009-04-01</t>
  </si>
  <si>
    <t>1996-08-12</t>
  </si>
  <si>
    <t>233924968</t>
  </si>
  <si>
    <t>991001961219702656</t>
  </si>
  <si>
    <t>2269676280002656</t>
  </si>
  <si>
    <t>9780674307766</t>
  </si>
  <si>
    <t>32285002273794</t>
  </si>
  <si>
    <t>893516730</t>
  </si>
  <si>
    <t>QP511.8.K73 A37 1981</t>
  </si>
  <si>
    <t>0                      QP 0511800K  73                 A  37          1981</t>
  </si>
  <si>
    <t>Reminiscences and reflections / Hans Krebs ; in collaboration with Anne Martin.</t>
  </si>
  <si>
    <t>Krebs, Hans Adolf, Sir.</t>
  </si>
  <si>
    <t>Oxford : Clarendon Press ; New York : Oxford University Press, c1981.</t>
  </si>
  <si>
    <t>2002-10-25</t>
  </si>
  <si>
    <t>3770185249:eng</t>
  </si>
  <si>
    <t>8367855</t>
  </si>
  <si>
    <t>991005235119702656</t>
  </si>
  <si>
    <t>2260572650002656</t>
  </si>
  <si>
    <t>9780198547020</t>
  </si>
  <si>
    <t>32285001562593</t>
  </si>
  <si>
    <t>893883563</t>
  </si>
  <si>
    <t>QP512 .G55 1990</t>
  </si>
  <si>
    <t>0                      QP 0512000G  55          1990</t>
  </si>
  <si>
    <t>Glossary of biochemistry and molecular biology / David M. Glick.</t>
  </si>
  <si>
    <t>Glick, David M., 1936-</t>
  </si>
  <si>
    <t>New York, N.Y. : Raven Press, c1990.</t>
  </si>
  <si>
    <t>1994-09-29</t>
  </si>
  <si>
    <t>1991-04-10</t>
  </si>
  <si>
    <t>9907022888:eng</t>
  </si>
  <si>
    <t>19887156</t>
  </si>
  <si>
    <t>991001745309702656</t>
  </si>
  <si>
    <t>2260574260002656</t>
  </si>
  <si>
    <t>9780881675634</t>
  </si>
  <si>
    <t>32285000567312</t>
  </si>
  <si>
    <t>893615348</t>
  </si>
  <si>
    <t>QP512 .W55 1988</t>
  </si>
  <si>
    <t>0                      QP 0512000W  55          1988</t>
  </si>
  <si>
    <t>Biochemistry : an illustrated outline / David J. Williams.</t>
  </si>
  <si>
    <t>Williams, David J. (David John), 1937-</t>
  </si>
  <si>
    <t>Philadelphia : Lippincott, c1988.</t>
  </si>
  <si>
    <t>1995-11-01</t>
  </si>
  <si>
    <t>198823308:eng</t>
  </si>
  <si>
    <t>19000141</t>
  </si>
  <si>
    <t>991001425439702656</t>
  </si>
  <si>
    <t>2269346600002656</t>
  </si>
  <si>
    <t>9780397446995</t>
  </si>
  <si>
    <t>32285000706407</t>
  </si>
  <si>
    <t>893596466</t>
  </si>
  <si>
    <t>QP514 .B67</t>
  </si>
  <si>
    <t>0                      QP 0514000B  67</t>
  </si>
  <si>
    <t>Man, the chemical machine.</t>
  </si>
  <si>
    <t>Borek, Ernest, 1911-1986.</t>
  </si>
  <si>
    <t>New York, Columbia University Press, 1952.</t>
  </si>
  <si>
    <t>9341344127:eng</t>
  </si>
  <si>
    <t>1455880</t>
  </si>
  <si>
    <t>991003764499702656</t>
  </si>
  <si>
    <t>2258538510002656</t>
  </si>
  <si>
    <t>32285003080370</t>
  </si>
  <si>
    <t>893900322</t>
  </si>
  <si>
    <t>QP514 .C3</t>
  </si>
  <si>
    <t>0                      QP 0514000C  3</t>
  </si>
  <si>
    <t>A textbook of biochemistry for students of medicine and science / by A.T. Cameron ; with a foreword by Swale Vincent.</t>
  </si>
  <si>
    <t>Cameron, A. T. (Alexander Thomas), 1882-1947.</t>
  </si>
  <si>
    <t>New York : Macmillan, 1928.</t>
  </si>
  <si>
    <t>1928</t>
  </si>
  <si>
    <t>1995-04-22</t>
  </si>
  <si>
    <t>1992-07-17</t>
  </si>
  <si>
    <t>3740130:eng</t>
  </si>
  <si>
    <t>16950788</t>
  </si>
  <si>
    <t>991001170209702656</t>
  </si>
  <si>
    <t>2262965940002656</t>
  </si>
  <si>
    <t>32285001154052</t>
  </si>
  <si>
    <t>893420131</t>
  </si>
  <si>
    <t>QP514 .H336 1966</t>
  </si>
  <si>
    <t>0                      QP 0514000H  336         1966</t>
  </si>
  <si>
    <t>Textbook of biochemistry / [by] Benjamin Harrow [and] Abraham Mazur.</t>
  </si>
  <si>
    <t>Harrow, Benjamin, 1888-1970.</t>
  </si>
  <si>
    <t>1994-06-11</t>
  </si>
  <si>
    <t>1631564:eng</t>
  </si>
  <si>
    <t>559965</t>
  </si>
  <si>
    <t>991002989739702656</t>
  </si>
  <si>
    <t>2262088300002656</t>
  </si>
  <si>
    <t>32285000103746</t>
  </si>
  <si>
    <t>893623003</t>
  </si>
  <si>
    <t>QP514 .K5 1948</t>
  </si>
  <si>
    <t>0                      QP 0514000K  5           1948</t>
  </si>
  <si>
    <t>Human biochemistry.</t>
  </si>
  <si>
    <t>Kleiner, Israel Simon, 1885-1966.</t>
  </si>
  <si>
    <t>St. Louis : C.V. Mosby Co., 1948.</t>
  </si>
  <si>
    <t>1948</t>
  </si>
  <si>
    <t>1995-01-27</t>
  </si>
  <si>
    <t>4020752706:eng</t>
  </si>
  <si>
    <t>559265</t>
  </si>
  <si>
    <t>991002988839702656</t>
  </si>
  <si>
    <t>2262119800002656</t>
  </si>
  <si>
    <t>32285001988129</t>
  </si>
  <si>
    <t>893780491</t>
  </si>
  <si>
    <t>QP514 .M23</t>
  </si>
  <si>
    <t>0                      QP 0514000M  23</t>
  </si>
  <si>
    <t>Biological chemistry [by] Henry R. Mahler &amp; Eugene H. Cordes.</t>
  </si>
  <si>
    <t>Mahler, Henry R.</t>
  </si>
  <si>
    <t>New York, Harper &amp; Row [1966]</t>
  </si>
  <si>
    <t>1271853:eng</t>
  </si>
  <si>
    <t>559269</t>
  </si>
  <si>
    <t>991005257349702656</t>
  </si>
  <si>
    <t>2262100490002656</t>
  </si>
  <si>
    <t>32285003080404</t>
  </si>
  <si>
    <t>893701282</t>
  </si>
  <si>
    <t>QP514 .S39</t>
  </si>
  <si>
    <t>0                      QP 0514000S  39</t>
  </si>
  <si>
    <t>Applied physiological chemistry.</t>
  </si>
  <si>
    <t>Schwalm, Mary Elise.</t>
  </si>
  <si>
    <t>Philadelphia : F.A. Davis Co., [1964]</t>
  </si>
  <si>
    <t>1641627:eng</t>
  </si>
  <si>
    <t>809075</t>
  </si>
  <si>
    <t>991003286989702656</t>
  </si>
  <si>
    <t>2262877790002656</t>
  </si>
  <si>
    <t>32285001872315</t>
  </si>
  <si>
    <t>893445597</t>
  </si>
  <si>
    <t>QP514 .T67</t>
  </si>
  <si>
    <t>0                      QP 0514000T  67</t>
  </si>
  <si>
    <t>Basic chemistry of life.</t>
  </si>
  <si>
    <t>Toporek, Milton, 1920-</t>
  </si>
  <si>
    <t>New York : Appleton-Century-Crofts, [1968]</t>
  </si>
  <si>
    <t>2005-09-24</t>
  </si>
  <si>
    <t>1992-05-08</t>
  </si>
  <si>
    <t>1301036:eng</t>
  </si>
  <si>
    <t>172597</t>
  </si>
  <si>
    <t>991001005619702656</t>
  </si>
  <si>
    <t>2270310070002656</t>
  </si>
  <si>
    <t>32285001105542</t>
  </si>
  <si>
    <t>893432511</t>
  </si>
  <si>
    <t>QP514 .W45 1964</t>
  </si>
  <si>
    <t>0                      QP 0514000W  45          1964</t>
  </si>
  <si>
    <t>Principles of biochemistry [by] Abraham White, Philip Handler [and] Emil L. Smith.</t>
  </si>
  <si>
    <t>White, Abraham, 1908-1980.</t>
  </si>
  <si>
    <t>New York, Blakiston Division, McGraw-Hill [1964]</t>
  </si>
  <si>
    <t>1992-02-10</t>
  </si>
  <si>
    <t>4929126305:eng</t>
  </si>
  <si>
    <t>559507</t>
  </si>
  <si>
    <t>991002989099702656</t>
  </si>
  <si>
    <t>2262304460002656</t>
  </si>
  <si>
    <t>32285000946110</t>
  </si>
  <si>
    <t>893348204</t>
  </si>
  <si>
    <t>QP514.2 .A24 1992</t>
  </si>
  <si>
    <t>0                      QP 0514200A  24          1992</t>
  </si>
  <si>
    <t>Biochemistry / Robert H. Abeles, Perry A. Frey, William P. Jencks.</t>
  </si>
  <si>
    <t>Abeles, Robert H.</t>
  </si>
  <si>
    <t>Boston : Jones and Bartlett, c1992.</t>
  </si>
  <si>
    <t>The Jones and Bartlett series in biology</t>
  </si>
  <si>
    <t>2005-05-19</t>
  </si>
  <si>
    <t>27925302:eng</t>
  </si>
  <si>
    <t>25412518</t>
  </si>
  <si>
    <t>991001793849702656</t>
  </si>
  <si>
    <t>2257019380002656</t>
  </si>
  <si>
    <t>9780867202120</t>
  </si>
  <si>
    <t>32285001858710</t>
  </si>
  <si>
    <t>893891849</t>
  </si>
  <si>
    <t>QP514.2 .D39 1979</t>
  </si>
  <si>
    <t>0                      QP 0514200D  39          1979</t>
  </si>
  <si>
    <t>Elementary biochemistry : an introduction to the chemistry of living cells / Julian Davies &amp; Barbara Shaffer Littlewood.</t>
  </si>
  <si>
    <t>Davies, Julian E.</t>
  </si>
  <si>
    <t>2006-11-09</t>
  </si>
  <si>
    <t>3856034553:eng</t>
  </si>
  <si>
    <t>4195228</t>
  </si>
  <si>
    <t>991004607569702656</t>
  </si>
  <si>
    <t>2260966860002656</t>
  </si>
  <si>
    <t>9780132528092</t>
  </si>
  <si>
    <t>32285001403129</t>
  </si>
  <si>
    <t>893593894</t>
  </si>
  <si>
    <t>QP514.2 .E33</t>
  </si>
  <si>
    <t>0                      QP 0514200E  33</t>
  </si>
  <si>
    <t>Introductory biochemistry : fundamentals of cellular metabolism and molecular biology / [by] Stuart J. Edelstein.</t>
  </si>
  <si>
    <t>Edelstein, Stuart J.</t>
  </si>
  <si>
    <t>San Francisco : Holden-Day, [1973]</t>
  </si>
  <si>
    <t>1994-09-28</t>
  </si>
  <si>
    <t>1990-03-05</t>
  </si>
  <si>
    <t>1808638:eng</t>
  </si>
  <si>
    <t>695188</t>
  </si>
  <si>
    <t>991003155729702656</t>
  </si>
  <si>
    <t>2267782980002656</t>
  </si>
  <si>
    <t>9780816225309</t>
  </si>
  <si>
    <t>32285000064617</t>
  </si>
  <si>
    <t>893610773</t>
  </si>
  <si>
    <t>QP514.2 .H36 1984</t>
  </si>
  <si>
    <t>0                      QP 0514200H  36          1984</t>
  </si>
  <si>
    <t>Essentials of bio-organic chemistry / R.W. Hanson.</t>
  </si>
  <si>
    <t>Hanson, Richard W.</t>
  </si>
  <si>
    <t>London : E. Arnold, 1984.</t>
  </si>
  <si>
    <t>xxk</t>
  </si>
  <si>
    <t>1992-08-07</t>
  </si>
  <si>
    <t>1990-06-29</t>
  </si>
  <si>
    <t>6893970:eng</t>
  </si>
  <si>
    <t>13359276</t>
  </si>
  <si>
    <t>991000544879702656</t>
  </si>
  <si>
    <t>2266046710002656</t>
  </si>
  <si>
    <t>9780713135008</t>
  </si>
  <si>
    <t>32285000217512</t>
  </si>
  <si>
    <t>893890794</t>
  </si>
  <si>
    <t>QP514.2 .H68 1995</t>
  </si>
  <si>
    <t>0                      QP 0514200H  68          1995</t>
  </si>
  <si>
    <t>Biochemistry primer for exercise science / Michael E. Houston.</t>
  </si>
  <si>
    <t>Houston, Michael E., 1941-2008.</t>
  </si>
  <si>
    <t>1995-10-23</t>
  </si>
  <si>
    <t>33353937:eng</t>
  </si>
  <si>
    <t>31374201</t>
  </si>
  <si>
    <t>991002409789702656</t>
  </si>
  <si>
    <t>2255424880002656</t>
  </si>
  <si>
    <t>9780873225779</t>
  </si>
  <si>
    <t>32285002069069</t>
  </si>
  <si>
    <t>893779780</t>
  </si>
  <si>
    <t>QP514.2 .P374 1998</t>
  </si>
  <si>
    <t>0                      QP 0514200P  374         1998</t>
  </si>
  <si>
    <t>The molecules within us : our body in health and disease / Charles A. Pasternak.</t>
  </si>
  <si>
    <t>Pasternak, Charles A. (Charles Alexander)</t>
  </si>
  <si>
    <t>New York : Plenum, c1998.</t>
  </si>
  <si>
    <t>1999-03-04</t>
  </si>
  <si>
    <t>1998-10-28</t>
  </si>
  <si>
    <t>20623309:eng</t>
  </si>
  <si>
    <t>39282399</t>
  </si>
  <si>
    <t>991002948759702656</t>
  </si>
  <si>
    <t>2264772890002656</t>
  </si>
  <si>
    <t>9780306459870</t>
  </si>
  <si>
    <t>32285003478467</t>
  </si>
  <si>
    <t>893348143</t>
  </si>
  <si>
    <t>QP517.B54 G37 1995</t>
  </si>
  <si>
    <t>0                      QP 0517000B  54                 G  37          1995</t>
  </si>
  <si>
    <t>Bioenergetics : its thermodynamic foundations / Lars Garby and Poul S. Larsen.</t>
  </si>
  <si>
    <t>Garby, Lars.</t>
  </si>
  <si>
    <t>Cambridge ; New York : Cambridge University Press, 1995.</t>
  </si>
  <si>
    <t>2006-12-09</t>
  </si>
  <si>
    <t>31703239:eng</t>
  </si>
  <si>
    <t>29703669</t>
  </si>
  <si>
    <t>991002292309702656</t>
  </si>
  <si>
    <t>2261784110002656</t>
  </si>
  <si>
    <t>9780521451437</t>
  </si>
  <si>
    <t>32285002094679</t>
  </si>
  <si>
    <t>893439994</t>
  </si>
  <si>
    <t>QP517.B54 W48 1994</t>
  </si>
  <si>
    <t>0                      QP 0517000B  54                 W  48          1994</t>
  </si>
  <si>
    <t>What is controlling life? : 50 years after Erwin Schrödinger's What is Life? / edited by Erich Gnaiger, Frank N. Gellerich, Markus Wyss.</t>
  </si>
  <si>
    <t>Innsbruck, Austria : Innsbruck University Press, c1994.</t>
  </si>
  <si>
    <t xml:space="preserve">au </t>
  </si>
  <si>
    <t>Modern trends in biothermokinetics ; v. 3</t>
  </si>
  <si>
    <t>2009-02-16</t>
  </si>
  <si>
    <t>889718817:eng</t>
  </si>
  <si>
    <t>32846037</t>
  </si>
  <si>
    <t>991002525329702656</t>
  </si>
  <si>
    <t>2265909340002656</t>
  </si>
  <si>
    <t>9783901249174</t>
  </si>
  <si>
    <t>32285002178910</t>
  </si>
  <si>
    <t>893251333</t>
  </si>
  <si>
    <t>QP517.C45 C45 1991</t>
  </si>
  <si>
    <t>0                      QP 0517000C  45                 C  45          1991</t>
  </si>
  <si>
    <t>Cell activation : genetic approaches / editors, James J. Mond, John C. Cambier, Arthur Weiss.</t>
  </si>
  <si>
    <t>New York : Raven Press, c1991.</t>
  </si>
  <si>
    <t>Advances in regulation of cell growth ; v. 2</t>
  </si>
  <si>
    <t>795627773:eng</t>
  </si>
  <si>
    <t>23868152</t>
  </si>
  <si>
    <t>991001889989702656</t>
  </si>
  <si>
    <t>2269186170002656</t>
  </si>
  <si>
    <t>9780881678192</t>
  </si>
  <si>
    <t>32285001402105</t>
  </si>
  <si>
    <t>893691001</t>
  </si>
  <si>
    <t>QP517.C45 H37 1991</t>
  </si>
  <si>
    <t>0                      QP 0517000C  45                 H  37          1991</t>
  </si>
  <si>
    <t>Biochemical messengers : hormones, neurotransmitters, and growth factors / D.G. Hardie.</t>
  </si>
  <si>
    <t>Hardie, D. G. (D. Grahame)</t>
  </si>
  <si>
    <t>London ; New York : Chapman &amp; Hall, 1991.</t>
  </si>
  <si>
    <t>2001-01-08</t>
  </si>
  <si>
    <t>1991-09-20</t>
  </si>
  <si>
    <t>24137717:eng</t>
  </si>
  <si>
    <t>23254606</t>
  </si>
  <si>
    <t>991001854029702656</t>
  </si>
  <si>
    <t>2268599660002656</t>
  </si>
  <si>
    <t>9780412303500</t>
  </si>
  <si>
    <t>32285000704576</t>
  </si>
  <si>
    <t>893261963</t>
  </si>
  <si>
    <t>QP517.L54 M38 1993</t>
  </si>
  <si>
    <t>0                      QP 0517000L  54                 M  38          1993</t>
  </si>
  <si>
    <t>Fundamentals of receptor, enzyme, and transport kinetics / John C. Matthews.</t>
  </si>
  <si>
    <t>Matthews, John C. (John Charles)</t>
  </si>
  <si>
    <t>Boca Raton : CRC Press, c1993.</t>
  </si>
  <si>
    <t>2006-03-08</t>
  </si>
  <si>
    <t>1996-09-09</t>
  </si>
  <si>
    <t>365327153:eng</t>
  </si>
  <si>
    <t>27144953</t>
  </si>
  <si>
    <t>991002117539702656</t>
  </si>
  <si>
    <t>2254806320002656</t>
  </si>
  <si>
    <t>9780849344268</t>
  </si>
  <si>
    <t>32285002316205</t>
  </si>
  <si>
    <t>893621930</t>
  </si>
  <si>
    <t>QP517.M3 H64 2008</t>
  </si>
  <si>
    <t>0                      QP 0517000M  3                  H  64          2008</t>
  </si>
  <si>
    <t>Molecular modeling : basic principles and applications / Hans-Dieter Höltje ... [et al.].</t>
  </si>
  <si>
    <t>Weinheim : Wiley-VCH, c2008.</t>
  </si>
  <si>
    <t>3rd rev. and expanded ed.</t>
  </si>
  <si>
    <t>2008-09-18</t>
  </si>
  <si>
    <t>839408233:eng</t>
  </si>
  <si>
    <t>191889943</t>
  </si>
  <si>
    <t>991005262849702656</t>
  </si>
  <si>
    <t>2261275700002656</t>
  </si>
  <si>
    <t>9783527315680</t>
  </si>
  <si>
    <t>32285005458889</t>
  </si>
  <si>
    <t>893418644</t>
  </si>
  <si>
    <t>QP517.M3 T46 1991</t>
  </si>
  <si>
    <t>0                      QP 0517000M  3                  T  46          1991</t>
  </si>
  <si>
    <t>Theoretical biochemistry &amp; molecular biophysics / edited by David L. Beveridge and Richard Lavery.</t>
  </si>
  <si>
    <t>Schenectady, NY : Adenine Press, c1991.</t>
  </si>
  <si>
    <t>1992-07-14</t>
  </si>
  <si>
    <t>5610391823:eng</t>
  </si>
  <si>
    <t>22860073</t>
  </si>
  <si>
    <t>991001817969702656</t>
  </si>
  <si>
    <t>2267019740002656</t>
  </si>
  <si>
    <t>9780940030343</t>
  </si>
  <si>
    <t>32285000594662</t>
  </si>
  <si>
    <t>893779105</t>
  </si>
  <si>
    <t>QP517.M65 C66 1995</t>
  </si>
  <si>
    <t>0                      QP 0517000M  65                 C  66          1995</t>
  </si>
  <si>
    <t>Biological structure and dynamics : proceedings of the ninth Conversation in the Discipline Biomolecular Stereodynamics, held at the State University of New York at Albany, June 20-24, 1995 / edited by R.H. Sarma &amp; M.H. Sarma.</t>
  </si>
  <si>
    <t>Conversation in Biomolecular Stereodynamics (9th : 1995 : State University of New York at Albany)</t>
  </si>
  <si>
    <t>Schenectady, NY, USA : Adenine Press, c1996.</t>
  </si>
  <si>
    <t>2009-10-12</t>
  </si>
  <si>
    <t>474874874:eng</t>
  </si>
  <si>
    <t>34699500</t>
  </si>
  <si>
    <t>991002653549702656</t>
  </si>
  <si>
    <t>2261974920002656</t>
  </si>
  <si>
    <t>9780940030466</t>
  </si>
  <si>
    <t>32285002388329</t>
  </si>
  <si>
    <t>893329370</t>
  </si>
  <si>
    <t>32285002388337</t>
  </si>
  <si>
    <t>893329371</t>
  </si>
  <si>
    <t>QP517.S85 C66 1987</t>
  </si>
  <si>
    <t>0                      QP 0517000S  85                 C  66          1987</t>
  </si>
  <si>
    <t>Structure &amp; expression : proceedings of the Fifth Conversation in the Discipline Biomolecular Stereodynamics held at the State University of New York at Albany, June 2-6, 1987 / edited by M.H. Sarma &amp; R.H. Sarma.</t>
  </si>
  <si>
    <t>Conversation in Biomolecular Stereodynamics (5th : 1987 : State University of New York at Albany)</t>
  </si>
  <si>
    <t>Schenectady, NY : Adenine Press, c1988.</t>
  </si>
  <si>
    <t>1992-01-13</t>
  </si>
  <si>
    <t>1991-12-16</t>
  </si>
  <si>
    <t>3768442236:eng</t>
  </si>
  <si>
    <t>17508160</t>
  </si>
  <si>
    <t>991001226639702656</t>
  </si>
  <si>
    <t>2272533500002656</t>
  </si>
  <si>
    <t>9780940030244</t>
  </si>
  <si>
    <t>32285000860808</t>
  </si>
  <si>
    <t>893438982</t>
  </si>
  <si>
    <t>QP517.T48 A42 2003</t>
  </si>
  <si>
    <t>0                      QP 0517000T  48                 A  42          2003</t>
  </si>
  <si>
    <t>Thermodynamics of biochemical reactions / Robert A. Alberty.</t>
  </si>
  <si>
    <t>Alberty, Robert A.</t>
  </si>
  <si>
    <t>Hoboken, N.J. : Wiley-Interscience, c2003.</t>
  </si>
  <si>
    <t>2005-04-07</t>
  </si>
  <si>
    <t>703079:eng</t>
  </si>
  <si>
    <t>51242181</t>
  </si>
  <si>
    <t>991004495249702656</t>
  </si>
  <si>
    <t>2268601870002656</t>
  </si>
  <si>
    <t>9780471228516</t>
  </si>
  <si>
    <t>32285005048524</t>
  </si>
  <si>
    <t>893794918</t>
  </si>
  <si>
    <t>QP518.3 .M37 1999</t>
  </si>
  <si>
    <t>0                      QP 0518300M  37          1999</t>
  </si>
  <si>
    <t>Biochemistry / Dawn B. Marks.</t>
  </si>
  <si>
    <t>Marks, Dawn B.</t>
  </si>
  <si>
    <t>Baltimore : Williams &amp; Wilkins, c1999.</t>
  </si>
  <si>
    <t>Board review series</t>
  </si>
  <si>
    <t>2009-05-05</t>
  </si>
  <si>
    <t>21214827:eng</t>
  </si>
  <si>
    <t>39485297</t>
  </si>
  <si>
    <t>991002956969702656</t>
  </si>
  <si>
    <t>2258911850002656</t>
  </si>
  <si>
    <t>9780683304916</t>
  </si>
  <si>
    <t>32285003529392</t>
  </si>
  <si>
    <t>893257914</t>
  </si>
  <si>
    <t>QP519 .D79 1989</t>
  </si>
  <si>
    <t>0                      QP 0519000D  79          1989</t>
  </si>
  <si>
    <t>Experimental biochemistry / by Robert L. Dryer and Gene F. Lata.</t>
  </si>
  <si>
    <t>Dryer, Robert L.</t>
  </si>
  <si>
    <t>1998-07-01</t>
  </si>
  <si>
    <t>134213470:eng</t>
  </si>
  <si>
    <t>17875714</t>
  </si>
  <si>
    <t>991001276589702656</t>
  </si>
  <si>
    <t>2270446520002656</t>
  </si>
  <si>
    <t>9780195050837</t>
  </si>
  <si>
    <t>32285000845478</t>
  </si>
  <si>
    <t>893715327</t>
  </si>
  <si>
    <t>QP519.7 .H64 1993</t>
  </si>
  <si>
    <t>0                      QP 0519700H  64          1993</t>
  </si>
  <si>
    <t>Analytical biochemistry / David J. Holme and Hazel Peck.</t>
  </si>
  <si>
    <t>Holme, David J. (David James), 1934-</t>
  </si>
  <si>
    <t>Burnt Mill, Harlow, Essex, England : Longman Scientific &amp; Technical ; New York : Copublished in the U.S. with Wiley, 1993.</t>
  </si>
  <si>
    <t>2005-04-29</t>
  </si>
  <si>
    <t>1994-04-25</t>
  </si>
  <si>
    <t>19059476:eng</t>
  </si>
  <si>
    <t>25873509</t>
  </si>
  <si>
    <t>991002032099702656</t>
  </si>
  <si>
    <t>2269607280002656</t>
  </si>
  <si>
    <t>9780470220450</t>
  </si>
  <si>
    <t>32285001877355</t>
  </si>
  <si>
    <t>893414746</t>
  </si>
  <si>
    <t>QP519.7 .M36 2004</t>
  </si>
  <si>
    <t>0                      QP 0519700M  36          2004</t>
  </si>
  <si>
    <t>Bioanalytical chemistry / Andreas Manz, Nicole Pamme, Dimitri Iossifidis.</t>
  </si>
  <si>
    <t>Manz, A. (Andreas)</t>
  </si>
  <si>
    <t>London : Imperial College Press ; River Edge, NJ : Distributed by World Scientific Pub., c2004.</t>
  </si>
  <si>
    <t>2006-03-06</t>
  </si>
  <si>
    <t>2006-02-08</t>
  </si>
  <si>
    <t>3922897192:eng</t>
  </si>
  <si>
    <t>56138932</t>
  </si>
  <si>
    <t>991004724689702656</t>
  </si>
  <si>
    <t>2264184370002656</t>
  </si>
  <si>
    <t>9781860943706</t>
  </si>
  <si>
    <t>32285005157911</t>
  </si>
  <si>
    <t>893229757</t>
  </si>
  <si>
    <t>QP519.7 .P75 1994</t>
  </si>
  <si>
    <t>0                      QP 0519700P  75          1994</t>
  </si>
  <si>
    <t>Principles and techniques of practical biochemistry / edited by Keith Wilson and John M. Walker.</t>
  </si>
  <si>
    <t>Cambridge ; New York : Cambridge University Press, 1994.</t>
  </si>
  <si>
    <t>2006-10-27</t>
  </si>
  <si>
    <t>1995-08-16</t>
  </si>
  <si>
    <t>3901318530:eng</t>
  </si>
  <si>
    <t>27431977</t>
  </si>
  <si>
    <t>991002141079702656</t>
  </si>
  <si>
    <t>2264506760002656</t>
  </si>
  <si>
    <t>9780521417693</t>
  </si>
  <si>
    <t>32285002077765</t>
  </si>
  <si>
    <t>893721299</t>
  </si>
  <si>
    <t>QP519.9.C36 K84 1993</t>
  </si>
  <si>
    <t>0                      QP 0519900C  36                 K  84          1993</t>
  </si>
  <si>
    <t>Capillary electrophoresis : principles and practice / R. Kuhn, S. Hoffstetter-Kuhn.</t>
  </si>
  <si>
    <t>Kuhn, R. (Reinhard), 1956-</t>
  </si>
  <si>
    <t>Berlin ; New York ; Springer-Verlag, c1993.</t>
  </si>
  <si>
    <t>2005-10-04</t>
  </si>
  <si>
    <t>1994-12-21</t>
  </si>
  <si>
    <t>890381932:eng</t>
  </si>
  <si>
    <t>27974851</t>
  </si>
  <si>
    <t>991002173209702656</t>
  </si>
  <si>
    <t>2261890620002656</t>
  </si>
  <si>
    <t>9780387564340</t>
  </si>
  <si>
    <t>32285001978005</t>
  </si>
  <si>
    <t>893238726</t>
  </si>
  <si>
    <t>QP519.9.C36 W45 2000</t>
  </si>
  <si>
    <t>0                      QP 0519900C  36                 W  45          2000</t>
  </si>
  <si>
    <t>Practical capillary electrophoresis / Robert Weinberger.</t>
  </si>
  <si>
    <t>Weinberger, Robert.</t>
  </si>
  <si>
    <t>San Diego, CA : Academic Press, c2000.</t>
  </si>
  <si>
    <t>2006-06-20</t>
  </si>
  <si>
    <t>2005-11-19</t>
  </si>
  <si>
    <t>27960714:eng</t>
  </si>
  <si>
    <t>43070163</t>
  </si>
  <si>
    <t>991004687249702656</t>
  </si>
  <si>
    <t>2264439620002656</t>
  </si>
  <si>
    <t>9780127423562</t>
  </si>
  <si>
    <t>32285005148456</t>
  </si>
  <si>
    <t>893446336</t>
  </si>
  <si>
    <t>QP519.9.C44 S53</t>
  </si>
  <si>
    <t>0                      QP 0519900C  44                 S  53</t>
  </si>
  <si>
    <t>Centrifugation in biology and medical science / Phillip Sheeler.</t>
  </si>
  <si>
    <t>Sheeler, Phillip.</t>
  </si>
  <si>
    <t>New York : Wiley, c1981.</t>
  </si>
  <si>
    <t>1995-10-22</t>
  </si>
  <si>
    <t>488795:eng</t>
  </si>
  <si>
    <t>6708092</t>
  </si>
  <si>
    <t>991001771039702656</t>
  </si>
  <si>
    <t>2255068150002656</t>
  </si>
  <si>
    <t>9780471052340</t>
  </si>
  <si>
    <t>32285001562775</t>
  </si>
  <si>
    <t>893596722</t>
  </si>
  <si>
    <t>QP519.9.E43 M53 1994</t>
  </si>
  <si>
    <t>0                      QP 0519900E  43                 M  53          1994</t>
  </si>
  <si>
    <t>Microelectrode techniques : the Plymouth Workshop handbook / edited by David Ogden.</t>
  </si>
  <si>
    <t>Cambridge : Company of Biologists, 1994.</t>
  </si>
  <si>
    <t>1997-06-19</t>
  </si>
  <si>
    <t>1151509859:eng</t>
  </si>
  <si>
    <t>31050404</t>
  </si>
  <si>
    <t>991002391449702656</t>
  </si>
  <si>
    <t>2270797290002656</t>
  </si>
  <si>
    <t>9780948601491</t>
  </si>
  <si>
    <t>32285002374618</t>
  </si>
  <si>
    <t>893597405</t>
  </si>
  <si>
    <t>QP519.9.G42 P88 1993</t>
  </si>
  <si>
    <t>0                      QP 0519900G  42                 P  88          1993</t>
  </si>
  <si>
    <t>Pulsed field gel electrophoresis : a practical guide / Bruce Birren, Eric Lai.</t>
  </si>
  <si>
    <t>Birren, Bruce W.</t>
  </si>
  <si>
    <t>1994-02-07</t>
  </si>
  <si>
    <t>364371198:eng</t>
  </si>
  <si>
    <t>31865767</t>
  </si>
  <si>
    <t>991002175129702656</t>
  </si>
  <si>
    <t>2265294340002656</t>
  </si>
  <si>
    <t>9780121012908</t>
  </si>
  <si>
    <t>32285001840528</t>
  </si>
  <si>
    <t>893597106</t>
  </si>
  <si>
    <t>QP519.9.M3 E44 1997</t>
  </si>
  <si>
    <t>0                      QP 0519900M  3                  E  44          1997</t>
  </si>
  <si>
    <t>Electrospray ionization mass spectrometry : fundamentals, instrumentation, and applications / edited by Richard B. Cole.</t>
  </si>
  <si>
    <t>New York : Wiley, c1997.</t>
  </si>
  <si>
    <t>2001-02-14</t>
  </si>
  <si>
    <t>1997-05-28</t>
  </si>
  <si>
    <t>806942390:eng</t>
  </si>
  <si>
    <t>35637508</t>
  </si>
  <si>
    <t>991005424919702656</t>
  </si>
  <si>
    <t>2270186810002656</t>
  </si>
  <si>
    <t>9780471145646</t>
  </si>
  <si>
    <t>32285002612124</t>
  </si>
  <si>
    <t>893883871</t>
  </si>
  <si>
    <t>QP519.9.N83 F7513 2005</t>
  </si>
  <si>
    <t>0                      QP 0519900N  83                 F  7513        2005</t>
  </si>
  <si>
    <t>Basic one- and two-dimensional NMR spectroscopy / Horst Friebolin ; translated by Jack K. Becconsall.</t>
  </si>
  <si>
    <t>Friebolin, Horst.</t>
  </si>
  <si>
    <t>Weinheim : Wiley-VCH, c2005.</t>
  </si>
  <si>
    <t>4th completely rev. &amp; updated ed.</t>
  </si>
  <si>
    <t>2006-02-14</t>
  </si>
  <si>
    <t>960511:eng</t>
  </si>
  <si>
    <t>59205064</t>
  </si>
  <si>
    <t>991004724909702656</t>
  </si>
  <si>
    <t>2270577730002656</t>
  </si>
  <si>
    <t>9783527312337</t>
  </si>
  <si>
    <t>32285005158737</t>
  </si>
  <si>
    <t>893526431</t>
  </si>
  <si>
    <t>QP521 .S92</t>
  </si>
  <si>
    <t>0                      QP 0521000S  92</t>
  </si>
  <si>
    <t>Bioelectronics; a study in cellular regulations, defense, and cancer.</t>
  </si>
  <si>
    <t>Szent-Györgyi, Albert, 1893-1986.</t>
  </si>
  <si>
    <t>2010-02-13</t>
  </si>
  <si>
    <t>365781880:eng</t>
  </si>
  <si>
    <t>36176</t>
  </si>
  <si>
    <t>991000090759702656</t>
  </si>
  <si>
    <t>2264851590002656</t>
  </si>
  <si>
    <t>32285003080503</t>
  </si>
  <si>
    <t>893890400</t>
  </si>
  <si>
    <t>QP521 .S93 1960</t>
  </si>
  <si>
    <t>0                      QP 0521000S  93          1960</t>
  </si>
  <si>
    <t>Introduction to a submolecular biology.</t>
  </si>
  <si>
    <t>New York, Academic Press, 1960.</t>
  </si>
  <si>
    <t>45999928:eng</t>
  </si>
  <si>
    <t>235033</t>
  </si>
  <si>
    <t>991001734019702656</t>
  </si>
  <si>
    <t>2259358380002656</t>
  </si>
  <si>
    <t>32285003080511</t>
  </si>
  <si>
    <t>893779021</t>
  </si>
  <si>
    <t>QP521 .T37</t>
  </si>
  <si>
    <t>0                      QP 0521000T  37</t>
  </si>
  <si>
    <t>The hydrophobic effect: formation of micelles and biological membranes.</t>
  </si>
  <si>
    <t>Tanford, Charles, 1921-2009.</t>
  </si>
  <si>
    <t>New York, Wiley [1973]</t>
  </si>
  <si>
    <t>1992-11-19</t>
  </si>
  <si>
    <t>762358564:eng</t>
  </si>
  <si>
    <t>695680</t>
  </si>
  <si>
    <t>991003156649702656</t>
  </si>
  <si>
    <t>2267595100002656</t>
  </si>
  <si>
    <t>9780471844600</t>
  </si>
  <si>
    <t>32285001053478</t>
  </si>
  <si>
    <t>893617051</t>
  </si>
  <si>
    <t>QP531 .B543 1994</t>
  </si>
  <si>
    <t>0                      QP 0531000B  543         1994</t>
  </si>
  <si>
    <t>Bioinorganic chemistry / Ivano Bertini ... [et al.]</t>
  </si>
  <si>
    <t>Mill Valley, Calif. : University Science Books, c1994.</t>
  </si>
  <si>
    <t>1995-04-19</t>
  </si>
  <si>
    <t>1994-05-24</t>
  </si>
  <si>
    <t>4926679589:eng</t>
  </si>
  <si>
    <t>29467565</t>
  </si>
  <si>
    <t>991002270439702656</t>
  </si>
  <si>
    <t>2260642000002656</t>
  </si>
  <si>
    <t>9780935702576</t>
  </si>
  <si>
    <t>32285001898401</t>
  </si>
  <si>
    <t>893433696</t>
  </si>
  <si>
    <t>QP531 .B547 2007</t>
  </si>
  <si>
    <t>0                      QP 0531000B  547         2007</t>
  </si>
  <si>
    <t>Biological inorganic chemistry : structure and reactivity / edited by] Ivano Bertini ... [et al.].</t>
  </si>
  <si>
    <t>Sausalito, Calif. : University Science Books, c2007.</t>
  </si>
  <si>
    <t>2007-03-21</t>
  </si>
  <si>
    <t>3373389474:eng</t>
  </si>
  <si>
    <t>65400780</t>
  </si>
  <si>
    <t>991005048509702656</t>
  </si>
  <si>
    <t>2258347110002656</t>
  </si>
  <si>
    <t>9781891389436</t>
  </si>
  <si>
    <t>32285005282248</t>
  </si>
  <si>
    <t>893430762</t>
  </si>
  <si>
    <t>QP531 .H29 1984</t>
  </si>
  <si>
    <t>0                      QP 0531000H  29          1984</t>
  </si>
  <si>
    <t>Bio-inorganic chemistry / R.W. Hay.</t>
  </si>
  <si>
    <t>Hay, R. W. (Robert Walker), 1934-</t>
  </si>
  <si>
    <t>Chichester [West Sussex] : E. Horwood ; New York : Halsted Press, distributor, 1984.</t>
  </si>
  <si>
    <t>Ellis Horwood series in chemical science</t>
  </si>
  <si>
    <t>1996-03-05</t>
  </si>
  <si>
    <t>1992-08-19</t>
  </si>
  <si>
    <t>2887229:eng</t>
  </si>
  <si>
    <t>10558336</t>
  </si>
  <si>
    <t>991000392269702656</t>
  </si>
  <si>
    <t>2270964270002656</t>
  </si>
  <si>
    <t>9780853122005</t>
  </si>
  <si>
    <t>32285001246270</t>
  </si>
  <si>
    <t>893502438</t>
  </si>
  <si>
    <t>QP531 .O238 2008</t>
  </si>
  <si>
    <t>0                      QP 0531000O  238         2008</t>
  </si>
  <si>
    <t>Bioinorganic chemistry : a survey / Eiichiro Ochiai.</t>
  </si>
  <si>
    <t>Ochiai, Ei-ichiro, 1936-</t>
  </si>
  <si>
    <t>Amsterdam ; Boston : Elsevier/Academic Press, c2008.</t>
  </si>
  <si>
    <t>2010-02-22</t>
  </si>
  <si>
    <t>797269227:eng</t>
  </si>
  <si>
    <t>213839467</t>
  </si>
  <si>
    <t>991005363609702656</t>
  </si>
  <si>
    <t>2268043780002656</t>
  </si>
  <si>
    <t>9780120887569</t>
  </si>
  <si>
    <t>32285005574495</t>
  </si>
  <si>
    <t>893722933</t>
  </si>
  <si>
    <t>QP531 .R63 2007</t>
  </si>
  <si>
    <t>0                      QP 0531000R  63          2007</t>
  </si>
  <si>
    <t>Bioinorganic chemistry : a short course / Rosette M. Roat-Malone.</t>
  </si>
  <si>
    <t>Roat-Malone, Rosette M.</t>
  </si>
  <si>
    <t>Hoboken, N.J. : Wiley-Interscience, c2007.</t>
  </si>
  <si>
    <t>2008-04-02</t>
  </si>
  <si>
    <t>116906618:eng</t>
  </si>
  <si>
    <t>126230917</t>
  </si>
  <si>
    <t>991005200879702656</t>
  </si>
  <si>
    <t>2255595800002656</t>
  </si>
  <si>
    <t>9780471761136</t>
  </si>
  <si>
    <t>32285005400634</t>
  </si>
  <si>
    <t>893431026</t>
  </si>
  <si>
    <t>QP534 .U5 1977</t>
  </si>
  <si>
    <t>0                      QP 0534000U  5           1977</t>
  </si>
  <si>
    <t>Trace elements in human and animal nutrition / Eric J. Underwood.</t>
  </si>
  <si>
    <t>Underwood, E. J. (Eric John), 1905-1980.</t>
  </si>
  <si>
    <t>New York : Academic Press, 1977.</t>
  </si>
  <si>
    <t>1997-05-12</t>
  </si>
  <si>
    <t>1995-05-02</t>
  </si>
  <si>
    <t>9565596211:eng</t>
  </si>
  <si>
    <t>2507616</t>
  </si>
  <si>
    <t>991004144779702656</t>
  </si>
  <si>
    <t>2255332530002656</t>
  </si>
  <si>
    <t>9780127090658</t>
  </si>
  <si>
    <t>32285002030814</t>
  </si>
  <si>
    <t>893718538</t>
  </si>
  <si>
    <t>QP535.C1 C9</t>
  </si>
  <si>
    <t>0                      QP 0535000C  1                  C  9</t>
  </si>
  <si>
    <t>Cyanide in biology / edited by B. Vennesland ... [et al.].</t>
  </si>
  <si>
    <t>London ; New York : Academic Press, 1981.</t>
  </si>
  <si>
    <t>1991-12-27</t>
  </si>
  <si>
    <t>409926:eng</t>
  </si>
  <si>
    <t>8197330</t>
  </si>
  <si>
    <t>991005217849702656</t>
  </si>
  <si>
    <t>2265234840002656</t>
  </si>
  <si>
    <t>9780127169804</t>
  </si>
  <si>
    <t>32285000896505</t>
  </si>
  <si>
    <t>893527122</t>
  </si>
  <si>
    <t>QP535.C2 C2618 1985</t>
  </si>
  <si>
    <t>0                      QP 0535000C  2                  C  2618        1985</t>
  </si>
  <si>
    <t>Calcium and cell physiology / edited by Dieter Marmé.</t>
  </si>
  <si>
    <t>Berlin ; New York : Springer-Verlag, c1985.</t>
  </si>
  <si>
    <t>1994-11-21</t>
  </si>
  <si>
    <t>502744986:eng</t>
  </si>
  <si>
    <t>11370131</t>
  </si>
  <si>
    <t>991000525299702656</t>
  </si>
  <si>
    <t>2260156820002656</t>
  </si>
  <si>
    <t>9780387138411</t>
  </si>
  <si>
    <t>32285001562841</t>
  </si>
  <si>
    <t>893419542</t>
  </si>
  <si>
    <t>QP535.C2 C2663 2000</t>
  </si>
  <si>
    <t>0                      QP 0535000C  2                  C  2663        2000</t>
  </si>
  <si>
    <t>Calcium signaling / edited by James W. Putney, Jr.</t>
  </si>
  <si>
    <t>Boca Raton, Fla : CRC Press, c2000.</t>
  </si>
  <si>
    <t>Methods in signal transduction</t>
  </si>
  <si>
    <t>2004-07-13</t>
  </si>
  <si>
    <t>2000-07-20</t>
  </si>
  <si>
    <t>766866368:eng</t>
  </si>
  <si>
    <t>42049355</t>
  </si>
  <si>
    <t>991003208339702656</t>
  </si>
  <si>
    <t>2271932290002656</t>
  </si>
  <si>
    <t>9780849333866</t>
  </si>
  <si>
    <t>32285003712162</t>
  </si>
  <si>
    <t>893336242</t>
  </si>
  <si>
    <t>QP535.C2 C268 1983</t>
  </si>
  <si>
    <t>0                      QP 0535000C  2                  C  268         1983</t>
  </si>
  <si>
    <t>Intracellular calcium, its universal role as regulator / Anthony K. Campbell.</t>
  </si>
  <si>
    <t>Campbell, Anthony K.</t>
  </si>
  <si>
    <t>Chichester ; New York : Wiley, c1983.</t>
  </si>
  <si>
    <t>Monographs in molecular biophysics and biochemistry</t>
  </si>
  <si>
    <t>235060726:eng</t>
  </si>
  <si>
    <t>8476156</t>
  </si>
  <si>
    <t>991005249089702656</t>
  </si>
  <si>
    <t>2257798460002656</t>
  </si>
  <si>
    <t>9780471104889</t>
  </si>
  <si>
    <t>32285001562858</t>
  </si>
  <si>
    <t>893722858</t>
  </si>
  <si>
    <t>QP535.C2 I59 1986</t>
  </si>
  <si>
    <t>0                      QP 0535000C  2                  I  59          1986</t>
  </si>
  <si>
    <t>Intracellular calcium regulation / edited by H. Bader ... [et al.].</t>
  </si>
  <si>
    <t>Manchester ; Dover, N.H. : Manchester University Press, c1986.</t>
  </si>
  <si>
    <t>2003-12-18</t>
  </si>
  <si>
    <t>890084864:eng</t>
  </si>
  <si>
    <t>13010180</t>
  </si>
  <si>
    <t>991000769779702656</t>
  </si>
  <si>
    <t>2261072790002656</t>
  </si>
  <si>
    <t>9780719018350</t>
  </si>
  <si>
    <t>32285001562866</t>
  </si>
  <si>
    <t>893620771</t>
  </si>
  <si>
    <t>QP535.C9 A44 1989</t>
  </si>
  <si>
    <t>0                      QP 0535000C  9                  A  44          1989</t>
  </si>
  <si>
    <t>Copper bioavailability and metabolism / edited by Constance Kies.</t>
  </si>
  <si>
    <t>American Chemical Society Symposium on Copper Bioavailability and Metabolism (1989 : Dallas, Tex.)</t>
  </si>
  <si>
    <t>Advances in experimental medicine and biology ; v. 258</t>
  </si>
  <si>
    <t>1994-11-22</t>
  </si>
  <si>
    <t>1990-09-06</t>
  </si>
  <si>
    <t>152292054:eng</t>
  </si>
  <si>
    <t>20320419</t>
  </si>
  <si>
    <t>991001565539702656</t>
  </si>
  <si>
    <t>2261874360002656</t>
  </si>
  <si>
    <t>9780306433733</t>
  </si>
  <si>
    <t>32285000276716</t>
  </si>
  <si>
    <t>893497165</t>
  </si>
  <si>
    <t>QP535.H1 I57</t>
  </si>
  <si>
    <t>0                      QP 0535000H  1                  I  57</t>
  </si>
  <si>
    <t>Intracellular pH : its measurement, regulation, and utilization in cellular functions : proceedings of a conference held at the Kroc Foundation, Santa Ynez Valley, California, on July 20-24, 1981 / editors, Richard Nuccitelli and David W. Deamer.</t>
  </si>
  <si>
    <t>New York : Alan R. Liss, 1982.</t>
  </si>
  <si>
    <t>Kroc Foundation series ; v. 15</t>
  </si>
  <si>
    <t>889992225:eng</t>
  </si>
  <si>
    <t>7945190</t>
  </si>
  <si>
    <t>991005180189702656</t>
  </si>
  <si>
    <t>2271123280002656</t>
  </si>
  <si>
    <t>9780845103050</t>
  </si>
  <si>
    <t>32285001562908</t>
  </si>
  <si>
    <t>893776978</t>
  </si>
  <si>
    <t>QP535.N1 N58</t>
  </si>
  <si>
    <t>0                      QP 0535000N  1                  N  58</t>
  </si>
  <si>
    <t>Nitrogen metabolism and the environment : a joint symposium of the American Physiological Society and the American Society of Zoologists held at Bloomington, Indiana, U.S.A., in August, 1970 / edited by J. W. Campbell and L. Goldstein.</t>
  </si>
  <si>
    <t>London ; New York : Academic Press, 1972.</t>
  </si>
  <si>
    <t>1995-03-06</t>
  </si>
  <si>
    <t>1994-12-01</t>
  </si>
  <si>
    <t>796113932:eng</t>
  </si>
  <si>
    <t>329570</t>
  </si>
  <si>
    <t>991002384869702656</t>
  </si>
  <si>
    <t>2267463720002656</t>
  </si>
  <si>
    <t>9780121578503</t>
  </si>
  <si>
    <t>32285001969111</t>
  </si>
  <si>
    <t>893710218</t>
  </si>
  <si>
    <t>QP535.N1 P67</t>
  </si>
  <si>
    <t>0                      QP 0535000N  1                  P  67</t>
  </si>
  <si>
    <t>The chemistry and biochemistry of nitrogen fixation, edited by J. R. Postgate.</t>
  </si>
  <si>
    <t>Postgate, J. R. (John Raymond)</t>
  </si>
  <si>
    <t>London, New York, Plenum Pub. Co., 1971.</t>
  </si>
  <si>
    <t>1998-02-06</t>
  </si>
  <si>
    <t>1385596:eng</t>
  </si>
  <si>
    <t>266727</t>
  </si>
  <si>
    <t>991002107739702656</t>
  </si>
  <si>
    <t>2269209020002656</t>
  </si>
  <si>
    <t>9780306304590</t>
  </si>
  <si>
    <t>32285003080586</t>
  </si>
  <si>
    <t>893534856</t>
  </si>
  <si>
    <t>QP535.N2 D46 1982</t>
  </si>
  <si>
    <t>0                      QP 0535000N  2                  D  46          1982</t>
  </si>
  <si>
    <t>The hunger for salt : an anthropological, physiological, and medical analysis / Derek Denton.</t>
  </si>
  <si>
    <t>Denton, Derek A.</t>
  </si>
  <si>
    <t>Berlin ; New York : Springer-Verlag, 1982.</t>
  </si>
  <si>
    <t>4689012:eng</t>
  </si>
  <si>
    <t>8283860</t>
  </si>
  <si>
    <t>991005227469702656</t>
  </si>
  <si>
    <t>2268439910002656</t>
  </si>
  <si>
    <t>9780387112862</t>
  </si>
  <si>
    <t>32285000088459</t>
  </si>
  <si>
    <t>893607042</t>
  </si>
  <si>
    <t>QP535.O1 C73 1985</t>
  </si>
  <si>
    <t>0                      QP 0535000O  1                  C  73          1985</t>
  </si>
  <si>
    <t>CRC handbook of methods for oxygen radical research / editor, Robert A. Greenwald.</t>
  </si>
  <si>
    <t>Boca Raton, Fla. : CRC Press, c1985, 1986 printing.</t>
  </si>
  <si>
    <t>1997-10-20</t>
  </si>
  <si>
    <t>4728287:eng</t>
  </si>
  <si>
    <t>11842763</t>
  </si>
  <si>
    <t>991000603229702656</t>
  </si>
  <si>
    <t>2264610040002656</t>
  </si>
  <si>
    <t>9780849329364</t>
  </si>
  <si>
    <t>32285000933977</t>
  </si>
  <si>
    <t>893871812</t>
  </si>
  <si>
    <t>QP551 .A97 1991</t>
  </si>
  <si>
    <t>0                      QP 0551000A  97          1991</t>
  </si>
  <si>
    <t>Protein targeting and secretion / Brian M. Austen and Olwyn M.R. Westwood.</t>
  </si>
  <si>
    <t>Austen, Brian M.</t>
  </si>
  <si>
    <t>Oxford, OX ; New York : IRL Press at Oxford University Press, c1991.</t>
  </si>
  <si>
    <t>In focus</t>
  </si>
  <si>
    <t>1993-05-26</t>
  </si>
  <si>
    <t>1992-02-13</t>
  </si>
  <si>
    <t>24212279:eng</t>
  </si>
  <si>
    <t>22813726</t>
  </si>
  <si>
    <t>991001816489702656</t>
  </si>
  <si>
    <t>2263628130002656</t>
  </si>
  <si>
    <t>9780199632176</t>
  </si>
  <si>
    <t>32285000869551</t>
  </si>
  <si>
    <t>893715750</t>
  </si>
  <si>
    <t>QP551 .B33 1988</t>
  </si>
  <si>
    <t>0                      QP 0551000B  33          1988</t>
  </si>
  <si>
    <t>Proteins and enzymes / J. Ellis Bell, Evelyn T. Bell.</t>
  </si>
  <si>
    <t>Bell, J. Ellis (John Ellis)</t>
  </si>
  <si>
    <t>Englewood Cliffs, NJ : Prentice-Hall, c1988.</t>
  </si>
  <si>
    <t>2000-11-15</t>
  </si>
  <si>
    <t>10505142:eng</t>
  </si>
  <si>
    <t>15428488</t>
  </si>
  <si>
    <t>991003341179702656</t>
  </si>
  <si>
    <t>2262076920002656</t>
  </si>
  <si>
    <t>9780137316472</t>
  </si>
  <si>
    <t>32285004266382</t>
  </si>
  <si>
    <t>893336398</t>
  </si>
  <si>
    <t>QP551 .B474 1998</t>
  </si>
  <si>
    <t>0                      QP 0551000B  474         1998</t>
  </si>
  <si>
    <t>Bioorganic chemistry : peptides and proteins / edited by Sidney M. Hecht.</t>
  </si>
  <si>
    <t>New York : Oxford University Press, 1998.</t>
  </si>
  <si>
    <t>Topics in bioorganic and biological chemistry</t>
  </si>
  <si>
    <t>1998-04-28</t>
  </si>
  <si>
    <t>836979132:eng</t>
  </si>
  <si>
    <t>37239017</t>
  </si>
  <si>
    <t>991002828059702656</t>
  </si>
  <si>
    <t>2254852540002656</t>
  </si>
  <si>
    <t>9780195084689</t>
  </si>
  <si>
    <t>32285003377990</t>
  </si>
  <si>
    <t>893692047</t>
  </si>
  <si>
    <t>QP551 .B7635 1991</t>
  </si>
  <si>
    <t>0                      QP 0551000B  7635        1991</t>
  </si>
  <si>
    <t>Introduction to protein structure / Carl Branden, John Tooze.</t>
  </si>
  <si>
    <t>Branden, Carl.</t>
  </si>
  <si>
    <t>New York : Garland Pub., 1991.</t>
  </si>
  <si>
    <t>2009-04-20</t>
  </si>
  <si>
    <t>1992-09-15</t>
  </si>
  <si>
    <t>906209:eng</t>
  </si>
  <si>
    <t>23286817</t>
  </si>
  <si>
    <t>991005309139702656</t>
  </si>
  <si>
    <t>2272149580002656</t>
  </si>
  <si>
    <t>9780815302704</t>
  </si>
  <si>
    <t>32285001287720</t>
  </si>
  <si>
    <t>893338902</t>
  </si>
  <si>
    <t>QP551 .C737 1983</t>
  </si>
  <si>
    <t>0                      QP 0551000C  737         1983</t>
  </si>
  <si>
    <t>Proteins : structures and molecular principles / Thomas E. Creighton.</t>
  </si>
  <si>
    <t>Creighton, Thomas E., 1940-</t>
  </si>
  <si>
    <t>New York : W.H. Freeman, c1983.</t>
  </si>
  <si>
    <t>2010-06-04</t>
  </si>
  <si>
    <t>1992-09-29</t>
  </si>
  <si>
    <t>3855293509:eng</t>
  </si>
  <si>
    <t>9946342</t>
  </si>
  <si>
    <t>991000288429702656</t>
  </si>
  <si>
    <t>2261746400002656</t>
  </si>
  <si>
    <t>9780716715665</t>
  </si>
  <si>
    <t>32285001323111</t>
  </si>
  <si>
    <t>893243124</t>
  </si>
  <si>
    <t>QP551 .G2</t>
  </si>
  <si>
    <t>0                      QP 0551000G  2</t>
  </si>
  <si>
    <t>DNA complex and adaptive behavior.</t>
  </si>
  <si>
    <t>Gaito, John.</t>
  </si>
  <si>
    <t>Englewood Cliffs, N.J. : Prentice-Hall, [1971]</t>
  </si>
  <si>
    <t>Prentice-Hall series in experimental psychology</t>
  </si>
  <si>
    <t>1994-02-22</t>
  </si>
  <si>
    <t>1276538:eng</t>
  </si>
  <si>
    <t>208402</t>
  </si>
  <si>
    <t>991001248499702656</t>
  </si>
  <si>
    <t>2270108810002656</t>
  </si>
  <si>
    <t>9780132163170</t>
  </si>
  <si>
    <t>32285001839017</t>
  </si>
  <si>
    <t>893528803</t>
  </si>
  <si>
    <t>QP551 .H55 1972a</t>
  </si>
  <si>
    <t>0                      QP 0551000H  55          1972a</t>
  </si>
  <si>
    <t>The structure and biological functions of histones / author, Lubomir S. Hnilica. --</t>
  </si>
  <si>
    <t>Hnilica, Lubomir S.</t>
  </si>
  <si>
    <t>West Palm Beach, Fla. : CRC Press, c1972, 1978 printing .</t>
  </si>
  <si>
    <t>The biochemistry and molecular biology of cell nucleus ; v. 1</t>
  </si>
  <si>
    <t>2288056066:eng</t>
  </si>
  <si>
    <t>4586379</t>
  </si>
  <si>
    <t>991004684159702656</t>
  </si>
  <si>
    <t>2269449690002656</t>
  </si>
  <si>
    <t>32285001562924</t>
  </si>
  <si>
    <t>893253988</t>
  </si>
  <si>
    <t>QP551 .I62 1995</t>
  </si>
  <si>
    <t>0                      QP 0551000I  62          1995</t>
  </si>
  <si>
    <t>Intramolecular chaperones and protein folding / Ujwal Shinde, Masayori Inouye [editors].</t>
  </si>
  <si>
    <t>Austin, TX : R.G. Landes, c1995.</t>
  </si>
  <si>
    <t>1998-04-09</t>
  </si>
  <si>
    <t>355818560:eng</t>
  </si>
  <si>
    <t>32855210</t>
  </si>
  <si>
    <t>991002527139702656</t>
  </si>
  <si>
    <t>2269855910002656</t>
  </si>
  <si>
    <t>9781570592928</t>
  </si>
  <si>
    <t>32285002188968</t>
  </si>
  <si>
    <t>893886410</t>
  </si>
  <si>
    <t>QP551 .P48 2004</t>
  </si>
  <si>
    <t>0                      QP 0551000P  48          2004</t>
  </si>
  <si>
    <t>Protein structure and function / Gregory A. Petsko, Dagmar Ringe.</t>
  </si>
  <si>
    <t>Petsko, Gregory A.</t>
  </si>
  <si>
    <t>London : New Science Press ; Sunderland, MA : Sinauer Associates ; Oxford : Blackwell Pub., c2004.</t>
  </si>
  <si>
    <t>Primers in biology</t>
  </si>
  <si>
    <t>2004-05-11</t>
  </si>
  <si>
    <t>765123:eng</t>
  </si>
  <si>
    <t>53181467</t>
  </si>
  <si>
    <t>991004284819702656</t>
  </si>
  <si>
    <t>2259540030002656</t>
  </si>
  <si>
    <t>9780878936632</t>
  </si>
  <si>
    <t>32285004905302</t>
  </si>
  <si>
    <t>893417435</t>
  </si>
  <si>
    <t>QP551 .P69582 1992</t>
  </si>
  <si>
    <t>0                      QP 0551000P  69582       1992</t>
  </si>
  <si>
    <t>Protein folding / Thomas E. Creighton, editor.</t>
  </si>
  <si>
    <t>New York : W.H. Freeman and Co., c1992.</t>
  </si>
  <si>
    <t>2000-07-12</t>
  </si>
  <si>
    <t>1994-05-06</t>
  </si>
  <si>
    <t>55572316:eng</t>
  </si>
  <si>
    <t>25628435</t>
  </si>
  <si>
    <t>991001796479702656</t>
  </si>
  <si>
    <t>2263465110002656</t>
  </si>
  <si>
    <t>9780716770275</t>
  </si>
  <si>
    <t>32285001878171</t>
  </si>
  <si>
    <t>893426873</t>
  </si>
  <si>
    <t>QP551 .R66 1986</t>
  </si>
  <si>
    <t>0                      QP 0551000R  66          1986</t>
  </si>
  <si>
    <t>Introduction to proteins and protein engineering / Barry Robson, Jean Garnier.</t>
  </si>
  <si>
    <t>Robson, Barry.</t>
  </si>
  <si>
    <t>Amsterdam ; New York : Elsevier ; New York, NY, USA : Sole distributors for the USA and Canada, Elsevier Science Pub. Co., 1986.</t>
  </si>
  <si>
    <t>5451326:eng</t>
  </si>
  <si>
    <t>12810142</t>
  </si>
  <si>
    <t>991000742629702656</t>
  </si>
  <si>
    <t>2267030390002656</t>
  </si>
  <si>
    <t>9780444806819</t>
  </si>
  <si>
    <t>32285001562957</t>
  </si>
  <si>
    <t>893803039</t>
  </si>
  <si>
    <t>QP551 .S653 2000</t>
  </si>
  <si>
    <t>0                      QP 0551000S  653         2000</t>
  </si>
  <si>
    <t>Interpreting protein mass spectra : a comprehensive resource / A. Peter Snyder.</t>
  </si>
  <si>
    <t>Snyder, A. Peter, 1952-</t>
  </si>
  <si>
    <t>New York : Oxford University, 2000.</t>
  </si>
  <si>
    <t>2004-08-25</t>
  </si>
  <si>
    <t>2001-04-19</t>
  </si>
  <si>
    <t>25593282:eng</t>
  </si>
  <si>
    <t>41211435</t>
  </si>
  <si>
    <t>991003502949702656</t>
  </si>
  <si>
    <t>2260025130002656</t>
  </si>
  <si>
    <t>9780841235717</t>
  </si>
  <si>
    <t>32285004313531</t>
  </si>
  <si>
    <t>893342628</t>
  </si>
  <si>
    <t>QP551 .S96 1977</t>
  </si>
  <si>
    <t>0                      QP 0551000S  96          1977</t>
  </si>
  <si>
    <t>Evolution of protein molecules : proceedings of the Symposium on Evolution of Protein Molecules / edited by Hiroshi Matsubara, Tateo Yamanaka.</t>
  </si>
  <si>
    <t>Symposium on Evolution of Protein Molecules (1977 : Osaka, Japan, and Kōbe-shi, Japan)</t>
  </si>
  <si>
    <t>Tokyo : Japan Scientific Societies Press, Center for Academic Publications Japan, 1978.</t>
  </si>
  <si>
    <t>1998-06-21</t>
  </si>
  <si>
    <t>234521699:eng</t>
  </si>
  <si>
    <t>4326967</t>
  </si>
  <si>
    <t>991004624599702656</t>
  </si>
  <si>
    <t>2259895710002656</t>
  </si>
  <si>
    <t>32285001562973</t>
  </si>
  <si>
    <t>893776218</t>
  </si>
  <si>
    <t>QP551 .T115 2008</t>
  </si>
  <si>
    <t>0                      QP 0551000T  115         2008</t>
  </si>
  <si>
    <t>Proteomic biology using LC-MS : large scale analysis of cellular dynamics and function / Nobuhiro Takahashi, Toshiaki Isobe.</t>
  </si>
  <si>
    <t>Takahashi, Nobuhiro.</t>
  </si>
  <si>
    <t>Hoboken, N.J. : Wiley-Interscience, c2008.</t>
  </si>
  <si>
    <t>Wiley-Interscience series in mass spectrometry</t>
  </si>
  <si>
    <t>801769574:eng</t>
  </si>
  <si>
    <t>77476600</t>
  </si>
  <si>
    <t>991005338749702656</t>
  </si>
  <si>
    <t>2262203150002656</t>
  </si>
  <si>
    <t>9780471662587</t>
  </si>
  <si>
    <t>32285005548614</t>
  </si>
  <si>
    <t>893424928</t>
  </si>
  <si>
    <t>QP552.C28 C34 1982</t>
  </si>
  <si>
    <t>0                      QP 0552000C  28                 C  34          1982</t>
  </si>
  <si>
    <t>Calmodulin and intracellular Ca⁺⁺ receptors / edited by Shiro Kakiuchi, Hiroyoshi Hidaka, and Anthony R. Means.</t>
  </si>
  <si>
    <t>1993-04-15</t>
  </si>
  <si>
    <t>503749022:eng</t>
  </si>
  <si>
    <t>8588929</t>
  </si>
  <si>
    <t>991000025789702656</t>
  </si>
  <si>
    <t>2257554260002656</t>
  </si>
  <si>
    <t>9780306411090</t>
  </si>
  <si>
    <t>32285001562981</t>
  </si>
  <si>
    <t>893626160</t>
  </si>
  <si>
    <t>QP552.C42 S57 1999</t>
  </si>
  <si>
    <t>0                      QP 0552000C  42                 S  57          1999</t>
  </si>
  <si>
    <t>Signaling through cell adhesion molecules / edited by Jun-Lin Guan.</t>
  </si>
  <si>
    <t>Boca Raton, Fla : CRC Press, 1999.</t>
  </si>
  <si>
    <t>2005-12-20</t>
  </si>
  <si>
    <t>2000-07-25</t>
  </si>
  <si>
    <t>56362681:eng</t>
  </si>
  <si>
    <t>40675167</t>
  </si>
  <si>
    <t>991003216979702656</t>
  </si>
  <si>
    <t>2260316720002656</t>
  </si>
  <si>
    <t>9780849333859</t>
  </si>
  <si>
    <t>32285003742052</t>
  </si>
  <si>
    <t>893711147</t>
  </si>
  <si>
    <t>QP552.C96 G85 1993</t>
  </si>
  <si>
    <t>0                      QP 0552000C  96                 G  85          1993</t>
  </si>
  <si>
    <t>Guidebook to the cytoskeletal and motor proteins / edited by Thomas Kreis and Ronald Vale.</t>
  </si>
  <si>
    <t>Oxford ; New York : Oxford University Press, 1993.</t>
  </si>
  <si>
    <t>1998-11-19</t>
  </si>
  <si>
    <t>1994-06-07</t>
  </si>
  <si>
    <t>350271377:eng</t>
  </si>
  <si>
    <t>27728588</t>
  </si>
  <si>
    <t>991002152679702656</t>
  </si>
  <si>
    <t>2265890290002656</t>
  </si>
  <si>
    <t>9780198599319</t>
  </si>
  <si>
    <t>32285001922052</t>
  </si>
  <si>
    <t>893433543</t>
  </si>
  <si>
    <t>QP552.G76 B7 1990</t>
  </si>
  <si>
    <t>0                      QP 0552000G  76                 B  7           1990</t>
  </si>
  <si>
    <t>Growth factors in cell and developmental biology : proceedings of the British Society for Cell Biology-Journal of Cell Science Symposium, Manchester, April 1990 / organized and edited by M.D. Waterfield.</t>
  </si>
  <si>
    <t>British Society for Cell Biology--Journal of Cell Science Symposium (1990 : Manchester, England)</t>
  </si>
  <si>
    <t>Cambridge, [Eng.] : Company of Biologists, 1990.</t>
  </si>
  <si>
    <t>Journal of cell science. Supplement ; 13</t>
  </si>
  <si>
    <t>1992-09-03</t>
  </si>
  <si>
    <t>364198348:eng</t>
  </si>
  <si>
    <t>29028727</t>
  </si>
  <si>
    <t>991001836639702656</t>
  </si>
  <si>
    <t>2261280690002656</t>
  </si>
  <si>
    <t>9780948601279</t>
  </si>
  <si>
    <t>32285000704600</t>
  </si>
  <si>
    <t>893872838</t>
  </si>
  <si>
    <t>QP552.H43 B56 1994</t>
  </si>
  <si>
    <t>0                      QP 0552000H  43                 B  56          1994</t>
  </si>
  <si>
    <t>The Biology of heat shock proteins and molecular chaperones / edited by Richard I. Morimoto, Alfred Tissières, Costa Georgopoulos.</t>
  </si>
  <si>
    <t>Plainview , N.Y. : Cold Spring Harbor Laboratory Press, 1994.</t>
  </si>
  <si>
    <t>Cold Spring Harbor monograph series ; 26</t>
  </si>
  <si>
    <t>2010-02-24</t>
  </si>
  <si>
    <t>1996-02-21</t>
  </si>
  <si>
    <t>350553343:eng</t>
  </si>
  <si>
    <t>29564889</t>
  </si>
  <si>
    <t>991002280249702656</t>
  </si>
  <si>
    <t>2257203470002656</t>
  </si>
  <si>
    <t>9780879694272</t>
  </si>
  <si>
    <t>32285002136991</t>
  </si>
  <si>
    <t>893316617</t>
  </si>
  <si>
    <t>QP552.N36 N47 1996</t>
  </si>
  <si>
    <t>0                      QP 0552000N  36                 N  47          1996</t>
  </si>
  <si>
    <t>Nerve growth and guidance / edited by C.D. McCaig.</t>
  </si>
  <si>
    <t>London : Portland Press ; Brookfield, VT, U.S.A. : Ashgate Pub. Co. [distributor, North America], c1996.</t>
  </si>
  <si>
    <t>Frontiers in neurobiology, 1353-6508 ; 2</t>
  </si>
  <si>
    <t>2000-10-29</t>
  </si>
  <si>
    <t>1997-05-08</t>
  </si>
  <si>
    <t>496819369:eng</t>
  </si>
  <si>
    <t>35017275</t>
  </si>
  <si>
    <t>991002678919702656</t>
  </si>
  <si>
    <t>2268277590002656</t>
  </si>
  <si>
    <t>9781855780859</t>
  </si>
  <si>
    <t>32285002606316</t>
  </si>
  <si>
    <t>893899063</t>
  </si>
  <si>
    <t>QP552.N39 N472 1994</t>
  </si>
  <si>
    <t>0                      QP 0552000N  39                 N  472         1994</t>
  </si>
  <si>
    <t>Neuropeptide gene expression / edited by Anthony J. Turner.</t>
  </si>
  <si>
    <t>London ; Chapel Hill, NC : Portland, c1994.</t>
  </si>
  <si>
    <t>Frontiers in neurobiology, 1353-6508 ; 1</t>
  </si>
  <si>
    <t>1996-06-18</t>
  </si>
  <si>
    <t>2068120:eng</t>
  </si>
  <si>
    <t>31075780</t>
  </si>
  <si>
    <t>991002392869702656</t>
  </si>
  <si>
    <t>2269675690002656</t>
  </si>
  <si>
    <t>9781855780446</t>
  </si>
  <si>
    <t>32285002194313</t>
  </si>
  <si>
    <t>893697711</t>
  </si>
  <si>
    <t>QP552.P4 B63 1993</t>
  </si>
  <si>
    <t>0                      QP 0552000P  4                  B  63          1993</t>
  </si>
  <si>
    <t>Principles of peptide synthesis / Miklos Bodanszky.</t>
  </si>
  <si>
    <t>Bodanszky, Miklos.</t>
  </si>
  <si>
    <t>Berlin ; New York : Springer-Verlag, c1993.</t>
  </si>
  <si>
    <t>Springer laboratory</t>
  </si>
  <si>
    <t>2002-04-12</t>
  </si>
  <si>
    <t>1994-01-07</t>
  </si>
  <si>
    <t>335257:eng</t>
  </si>
  <si>
    <t>27769683</t>
  </si>
  <si>
    <t>991002155059702656</t>
  </si>
  <si>
    <t>2265237620002656</t>
  </si>
  <si>
    <t>9780387564319</t>
  </si>
  <si>
    <t>32285001830123</t>
  </si>
  <si>
    <t>893773272</t>
  </si>
  <si>
    <t>QP562.G5 G56</t>
  </si>
  <si>
    <t>0                      QP 0562000G  5                  G  56</t>
  </si>
  <si>
    <t>Glutamic acid : advances in biochemistry and physiology / edited by L. J. Filer, Jr., ... [et al.].</t>
  </si>
  <si>
    <t>Monographs of the Mario Negri Institute for Pharmacological Research, Milan</t>
  </si>
  <si>
    <t>889371031:eng</t>
  </si>
  <si>
    <t>4529123</t>
  </si>
  <si>
    <t>991004674469702656</t>
  </si>
  <si>
    <t>2264307700002656</t>
  </si>
  <si>
    <t>9780890043561</t>
  </si>
  <si>
    <t>32285000897198</t>
  </si>
  <si>
    <t>893353492</t>
  </si>
  <si>
    <t>QP571 .H654 1982</t>
  </si>
  <si>
    <t>0                      QP 0571000H  654         1982</t>
  </si>
  <si>
    <t>Hormone action / edited by Robert F. Goldberger and Keith R. Yamamoto.</t>
  </si>
  <si>
    <t>New York : Plenum Press, c1982-1984.</t>
  </si>
  <si>
    <t>Biological regulation and development ; v. 3A, 3B</t>
  </si>
  <si>
    <t>3945233536:eng</t>
  </si>
  <si>
    <t>8493753</t>
  </si>
  <si>
    <t>991005251339702656</t>
  </si>
  <si>
    <t>2261480160002656</t>
  </si>
  <si>
    <t>9780306409257</t>
  </si>
  <si>
    <t>32285001563070</t>
  </si>
  <si>
    <t>893896138</t>
  </si>
  <si>
    <t>32285001563062</t>
  </si>
  <si>
    <t>893870759</t>
  </si>
  <si>
    <t>QP571 .N66 1987</t>
  </si>
  <si>
    <t>0                      QP 0571000N  66          1987</t>
  </si>
  <si>
    <t>Hormones / Anthony W. Norman, Gerald Litwack.</t>
  </si>
  <si>
    <t>Norman, A. W. (Anthony W.), 1938-</t>
  </si>
  <si>
    <t>Orlando : Academic Press, 1987.</t>
  </si>
  <si>
    <t>1993-09-05</t>
  </si>
  <si>
    <t>592372:eng</t>
  </si>
  <si>
    <t>12551163</t>
  </si>
  <si>
    <t>991005266619702656</t>
  </si>
  <si>
    <t>2258690660002656</t>
  </si>
  <si>
    <t>9780125214407</t>
  </si>
  <si>
    <t>32285001563120</t>
  </si>
  <si>
    <t>893332690</t>
  </si>
  <si>
    <t>QP571.7 .N38 1988</t>
  </si>
  <si>
    <t>0                      QP 0571700N  38          1988</t>
  </si>
  <si>
    <t>Activation of hormone and growth factor receptors : molecular mechanisms and consequences / edited by Michael N. Alexis and Constantin E. Sekeris.</t>
  </si>
  <si>
    <t>NATO Advanced Research Workshop on Molecular Mechanisms and Consequences of Activation of Hormone and Growth Factor Receptors (1988 : Nauplion, Greece)</t>
  </si>
  <si>
    <t>Dordrecht ; Boston : Kluwer Academic Publishers, 1990.</t>
  </si>
  <si>
    <t>NATO ASI series. Series C, Mathematical and physical sciences ; vol. 295</t>
  </si>
  <si>
    <t>2000-04-02</t>
  </si>
  <si>
    <t>1990-06-06</t>
  </si>
  <si>
    <t>480964764:eng</t>
  </si>
  <si>
    <t>20854050</t>
  </si>
  <si>
    <t>991001628109702656</t>
  </si>
  <si>
    <t>2272358230002656</t>
  </si>
  <si>
    <t>9780792305736</t>
  </si>
  <si>
    <t>32285000175801</t>
  </si>
  <si>
    <t>893797685</t>
  </si>
  <si>
    <t>QP572.A5 R6413 1991</t>
  </si>
  <si>
    <t>0                      QP 0572000A  5                  R  6413        1991</t>
  </si>
  <si>
    <t>Metabolism of anabolic androgenic steroids / author, Victor A. Rogozkin.</t>
  </si>
  <si>
    <t>Rogozkin, V. A.</t>
  </si>
  <si>
    <t>Boca Raton : CRC Press, c1991.</t>
  </si>
  <si>
    <t>2000-04-05</t>
  </si>
  <si>
    <t>1991-08-01</t>
  </si>
  <si>
    <t>23034756:eng</t>
  </si>
  <si>
    <t>23694132</t>
  </si>
  <si>
    <t>991001879019702656</t>
  </si>
  <si>
    <t>2260875610002656</t>
  </si>
  <si>
    <t>9780849364150</t>
  </si>
  <si>
    <t>32285000663426</t>
  </si>
  <si>
    <t>893885613</t>
  </si>
  <si>
    <t>QP572.M44 M44 1993</t>
  </si>
  <si>
    <t>0                      QP 0572000M  44                 M  44          1993</t>
  </si>
  <si>
    <t>Melatonin : biosynthesis, physiological effects, and clinical applications / edited by Hing-Sing Yu and Russel J. Reiter.</t>
  </si>
  <si>
    <t>Boca Raton : CRC Press, 1993.</t>
  </si>
  <si>
    <t>2006-09-28</t>
  </si>
  <si>
    <t>1993-02-02</t>
  </si>
  <si>
    <t>3857299616:eng</t>
  </si>
  <si>
    <t>26162278</t>
  </si>
  <si>
    <t>991002050989702656</t>
  </si>
  <si>
    <t>2271726740002656</t>
  </si>
  <si>
    <t>9780849369001</t>
  </si>
  <si>
    <t>32285001449338</t>
  </si>
  <si>
    <t>893328627</t>
  </si>
  <si>
    <t>QP572.S4 N48 1995</t>
  </si>
  <si>
    <t>0                      QP 0572000S  4                  N  48          1995</t>
  </si>
  <si>
    <t>Neurobiological effects of sex steroid hormones / edited by Paul E. Micevych, Ronald P. Hammer, Jr.</t>
  </si>
  <si>
    <t>1997-09-08</t>
  </si>
  <si>
    <t>917503254:eng</t>
  </si>
  <si>
    <t>30919680</t>
  </si>
  <si>
    <t>991002380459702656</t>
  </si>
  <si>
    <t>2264610720002656</t>
  </si>
  <si>
    <t>9780521454308</t>
  </si>
  <si>
    <t>32285003004156</t>
  </si>
  <si>
    <t>893341364</t>
  </si>
  <si>
    <t>QP572.S4 N66 1995</t>
  </si>
  <si>
    <t>0                      QP 0572000S  4                  N  66          1995</t>
  </si>
  <si>
    <t>Non-reproductive actions of sex steroids.</t>
  </si>
  <si>
    <t>Chichester ; New York : J. Wiley, 1995.</t>
  </si>
  <si>
    <t>Ciba Foundation symposium ; 191</t>
  </si>
  <si>
    <t>1996-08-30</t>
  </si>
  <si>
    <t>1996-05-28</t>
  </si>
  <si>
    <t>751909609:eng</t>
  </si>
  <si>
    <t>32052918</t>
  </si>
  <si>
    <t>991002460909702656</t>
  </si>
  <si>
    <t>2267191330002656</t>
  </si>
  <si>
    <t>9780471955139</t>
  </si>
  <si>
    <t>32285002177771</t>
  </si>
  <si>
    <t>893591374</t>
  </si>
  <si>
    <t>QP572.S4 O83 1994</t>
  </si>
  <si>
    <t>0                      QP 0572000S  4                  O  83          1994</t>
  </si>
  <si>
    <t>Beyond the natural body : an archeology of sex hormones / Nelly Oudshoorn.</t>
  </si>
  <si>
    <t>Oudshoorn, Nelly, 1950-</t>
  </si>
  <si>
    <t>New York ; London : Routledge, 1994.</t>
  </si>
  <si>
    <t>2003-05-13</t>
  </si>
  <si>
    <t>1994-12-28</t>
  </si>
  <si>
    <t>808522773:eng</t>
  </si>
  <si>
    <t>30025936</t>
  </si>
  <si>
    <t>991002311649702656</t>
  </si>
  <si>
    <t>2264239990002656</t>
  </si>
  <si>
    <t>9780415091909</t>
  </si>
  <si>
    <t>32285001979722</t>
  </si>
  <si>
    <t>893798432</t>
  </si>
  <si>
    <t>QP572.S7 C66 1978</t>
  </si>
  <si>
    <t>0                      QP 0572000S  7                  C  66          1978</t>
  </si>
  <si>
    <t>Gene regulation by steroid hormones / edited by A. K. Roy and J. H. Clark.</t>
  </si>
  <si>
    <t>Conference on Molecular Mechanism of Steroid Hormone Action (1978 : Oakland University)</t>
  </si>
  <si>
    <t>1997-10-08</t>
  </si>
  <si>
    <t>10678339388:eng</t>
  </si>
  <si>
    <t>5751085</t>
  </si>
  <si>
    <t>991004870049702656</t>
  </si>
  <si>
    <t>2270208720002656</t>
  </si>
  <si>
    <t>32285001563146</t>
  </si>
  <si>
    <t>893801441</t>
  </si>
  <si>
    <t>QP572.S7 I56 1985</t>
  </si>
  <si>
    <t>0                      QP 0572000S  7                  I  56          1985</t>
  </si>
  <si>
    <t>Interaction of steroid hormone receptors with DNA / edited by Mels Sluyser.</t>
  </si>
  <si>
    <t>Chichester, England : Ellis Horwood ; Weinheim, Federal Republic of Germany : VCH Verlagsgesellschaft ; Deerfield Beach, FL, USA : Distribution VCH Publishers, 1985.</t>
  </si>
  <si>
    <t>Ellis Horwood health science series</t>
  </si>
  <si>
    <t>54726893:eng</t>
  </si>
  <si>
    <t>12314742</t>
  </si>
  <si>
    <t>991000671119702656</t>
  </si>
  <si>
    <t>2271620480002656</t>
  </si>
  <si>
    <t>9780895733665</t>
  </si>
  <si>
    <t>32285001563153</t>
  </si>
  <si>
    <t>893897109</t>
  </si>
  <si>
    <t>QP572.S7 M65 1985</t>
  </si>
  <si>
    <t>0                      QP 0572000S  7                  M  65          1985</t>
  </si>
  <si>
    <t>Molecular mechanism of steroid hormone action : recent advances / editor, V.K. Moudgil.</t>
  </si>
  <si>
    <t>Berlin ; New York : Walter de Gruyter, 1985.</t>
  </si>
  <si>
    <t>889821352:eng</t>
  </si>
  <si>
    <t>11917470</t>
  </si>
  <si>
    <t>991000612729702656</t>
  </si>
  <si>
    <t>2267615270002656</t>
  </si>
  <si>
    <t>9780899250328</t>
  </si>
  <si>
    <t>32285001563161</t>
  </si>
  <si>
    <t>893521843</t>
  </si>
  <si>
    <t>QP572.S7 S745 1994</t>
  </si>
  <si>
    <t>0                      QP 0572000S  7                  S  745         1994</t>
  </si>
  <si>
    <t>Steroid hormone receptors : basic and clinical aspects / V.K. Moudgil, editor.</t>
  </si>
  <si>
    <t>Boston : Birkhäuser, c1994.</t>
  </si>
  <si>
    <t>Hormones in health and disease</t>
  </si>
  <si>
    <t>2005-03-16</t>
  </si>
  <si>
    <t>890108002:eng</t>
  </si>
  <si>
    <t>29185799</t>
  </si>
  <si>
    <t>991002253629702656</t>
  </si>
  <si>
    <t>2260863770002656</t>
  </si>
  <si>
    <t>9780817636944</t>
  </si>
  <si>
    <t>32285001896082</t>
  </si>
  <si>
    <t>893710056</t>
  </si>
  <si>
    <t>QP572.S7 S746 1987</t>
  </si>
  <si>
    <t>0                      QP 0572000S  7                  S  746         1987</t>
  </si>
  <si>
    <t>Steroid hormone receptors : their intracellular localisation / edited by C.R. Clark.</t>
  </si>
  <si>
    <t>Weinheim, Federal Republic of Germany : VCH ; Chichester, England : E. Horwood ; Deerfield Beach, FL, USA : Distribution, VCH Publishers, 1987.</t>
  </si>
  <si>
    <t>Ellis Horwood series in biomedicine, 0930-3367</t>
  </si>
  <si>
    <t>1992-04-13</t>
  </si>
  <si>
    <t>836671373:eng</t>
  </si>
  <si>
    <t>14213725</t>
  </si>
  <si>
    <t>991000922459702656</t>
  </si>
  <si>
    <t>2269399100002656</t>
  </si>
  <si>
    <t>9780895734983</t>
  </si>
  <si>
    <t>32285001059574</t>
  </si>
  <si>
    <t>893626505</t>
  </si>
  <si>
    <t>QP601 .B19</t>
  </si>
  <si>
    <t>0                      QP 0601000B  19</t>
  </si>
  <si>
    <t>Design of active-site-directed irreversible enzyme inhibitors; the organic chemistry of the enzymic active-site [by] B.R. Baker.</t>
  </si>
  <si>
    <t>Baker, Bernard R. (Bernard Randall), 1915-1971.</t>
  </si>
  <si>
    <t>New York, Wiley [1967]</t>
  </si>
  <si>
    <t>2000-03-22</t>
  </si>
  <si>
    <t>1997-08-07</t>
  </si>
  <si>
    <t>1350815:eng</t>
  </si>
  <si>
    <t>191250</t>
  </si>
  <si>
    <t>991001193519702656</t>
  </si>
  <si>
    <t>2258764740002656</t>
  </si>
  <si>
    <t>32285003080925</t>
  </si>
  <si>
    <t>893340231</t>
  </si>
  <si>
    <t>QP601 .B2435</t>
  </si>
  <si>
    <t>0                      QP 0601000B  2435</t>
  </si>
  <si>
    <t>Enzyme handbook / [by] Thomas E. Barman.</t>
  </si>
  <si>
    <t>Barman, Thomas E.</t>
  </si>
  <si>
    <t>Berlin : Heidelberg ; New York : Springer, 1969.</t>
  </si>
  <si>
    <t>1995-10-01</t>
  </si>
  <si>
    <t>1994-06-10</t>
  </si>
  <si>
    <t>1135975:eng</t>
  </si>
  <si>
    <t>13160</t>
  </si>
  <si>
    <t>991000005489702656</t>
  </si>
  <si>
    <t>2266328430002656</t>
  </si>
  <si>
    <t>32285001928695</t>
  </si>
  <si>
    <t>893437915</t>
  </si>
  <si>
    <t>QP601 .B2435 V.2</t>
  </si>
  <si>
    <t>0                      QP 0601000B  2435                                                    V.2</t>
  </si>
  <si>
    <t>V.2*</t>
  </si>
  <si>
    <t>32285001928703</t>
  </si>
  <si>
    <t>893406815</t>
  </si>
  <si>
    <t>QP601 .B374 1984</t>
  </si>
  <si>
    <t>0                      QP 0601000B  374         1984</t>
  </si>
  <si>
    <t>The bioorganic chemistry of enzymatic catalysis / Myron L. Bender, Raymond J. Bergeron, Makoto Komiyama.</t>
  </si>
  <si>
    <t>Bender, Myron L., 1924-1988.</t>
  </si>
  <si>
    <t>New York : Wiley, c1984.</t>
  </si>
  <si>
    <t>1994-06-28</t>
  </si>
  <si>
    <t>43858219:eng</t>
  </si>
  <si>
    <t>9971434</t>
  </si>
  <si>
    <t>991001775119702656</t>
  </si>
  <si>
    <t>2257818990002656</t>
  </si>
  <si>
    <t>9780471059912</t>
  </si>
  <si>
    <t>32285001563187</t>
  </si>
  <si>
    <t>893715713</t>
  </si>
  <si>
    <t>QP601 .C48</t>
  </si>
  <si>
    <t>0                      QP 0601000C  48</t>
  </si>
  <si>
    <t>Enzyme kinetics : a learning program for students of the biological and medical sciences / [by] Halvor N. Christensen and Graham A. Palmer.</t>
  </si>
  <si>
    <t>Christensen, Halvor N.</t>
  </si>
  <si>
    <t>Philadelphia : Saunders, [1967]</t>
  </si>
  <si>
    <t>1994-06-29</t>
  </si>
  <si>
    <t>1443332:eng</t>
  </si>
  <si>
    <t>408502</t>
  </si>
  <si>
    <t>991002709189702656</t>
  </si>
  <si>
    <t>2264102320002656</t>
  </si>
  <si>
    <t>32285001935518</t>
  </si>
  <si>
    <t>893323275</t>
  </si>
  <si>
    <t>QP601 .C753 2000</t>
  </si>
  <si>
    <t>0                      QP 0601000C  753         2000</t>
  </si>
  <si>
    <t>Enzymes : a practical introduction to structure, mechanism, and data analysis / Robert A. Copeland.</t>
  </si>
  <si>
    <t>Copeland, Robert Allen.</t>
  </si>
  <si>
    <t>New York : J. Wiley, c2000.</t>
  </si>
  <si>
    <t>2004-01-09</t>
  </si>
  <si>
    <t>2001-02-28</t>
  </si>
  <si>
    <t>4926801763:eng</t>
  </si>
  <si>
    <t>42619660</t>
  </si>
  <si>
    <t>991003475509702656</t>
  </si>
  <si>
    <t>2264322760002656</t>
  </si>
  <si>
    <t>9780471359296</t>
  </si>
  <si>
    <t>32285004298286</t>
  </si>
  <si>
    <t>893511979</t>
  </si>
  <si>
    <t>QP601 .D48 1964</t>
  </si>
  <si>
    <t>0                      QP 0601000D  48          1964</t>
  </si>
  <si>
    <t>Enzymes / by Malcolm Dixon and Edwin C. Webb.</t>
  </si>
  <si>
    <t>Dixon, Malcolm, 1899-1985.</t>
  </si>
  <si>
    <t>New York : Academic Press, 1964.</t>
  </si>
  <si>
    <t>2002-06-05</t>
  </si>
  <si>
    <t>1994-10-19</t>
  </si>
  <si>
    <t>285944:eng</t>
  </si>
  <si>
    <t>559791</t>
  </si>
  <si>
    <t>991002989639702656</t>
  </si>
  <si>
    <t>2262206850002656</t>
  </si>
  <si>
    <t>32285001962470</t>
  </si>
  <si>
    <t>893348207</t>
  </si>
  <si>
    <t>QP601 .D78</t>
  </si>
  <si>
    <t>0                      QP 0601000D  78</t>
  </si>
  <si>
    <t>Bioorganic chemistry : a chemical approach to enzyme action / Hermann Dugas and Christopher Penney.</t>
  </si>
  <si>
    <t>Dugas, Hermann.</t>
  </si>
  <si>
    <t>New York : Springer-Verlag, c1981.</t>
  </si>
  <si>
    <t>Springer advanced texts in chemistry</t>
  </si>
  <si>
    <t>1996-01-30</t>
  </si>
  <si>
    <t>4776446455:eng</t>
  </si>
  <si>
    <t>6304744</t>
  </si>
  <si>
    <t>991004960609702656</t>
  </si>
  <si>
    <t>2259216750002656</t>
  </si>
  <si>
    <t>32285001563195</t>
  </si>
  <si>
    <t>893520231</t>
  </si>
  <si>
    <t>QP601 .E5157 1990</t>
  </si>
  <si>
    <t>0                      QP 0601000E  5157        1990</t>
  </si>
  <si>
    <t>Enzyme chemistry : impact and applications / edited by Colin J. Suckling.</t>
  </si>
  <si>
    <t>London ; New York : Chapman and Hall, c1990.</t>
  </si>
  <si>
    <t>2003-04-02</t>
  </si>
  <si>
    <t>352660982:eng</t>
  </si>
  <si>
    <t>20318756</t>
  </si>
  <si>
    <t>991001563149702656</t>
  </si>
  <si>
    <t>2257761950002656</t>
  </si>
  <si>
    <t>9780412349706</t>
  </si>
  <si>
    <t>32285002077328</t>
  </si>
  <si>
    <t>893596547</t>
  </si>
  <si>
    <t>QP601 .E522</t>
  </si>
  <si>
    <t>0                      QP 0601000E  522</t>
  </si>
  <si>
    <t>The Enzymes / edited by Paul D. Boyer, Henry Lardy [and] Karl Myrbäck.</t>
  </si>
  <si>
    <t>New York : Academic Press, 1959-63.</t>
  </si>
  <si>
    <t>2d ed., completely rev.</t>
  </si>
  <si>
    <t>10568118565:eng</t>
  </si>
  <si>
    <t>560195</t>
  </si>
  <si>
    <t>991002990189702656</t>
  </si>
  <si>
    <t>2256613680002656</t>
  </si>
  <si>
    <t>32285001928760</t>
  </si>
  <si>
    <t>893409793</t>
  </si>
  <si>
    <t>V.5</t>
  </si>
  <si>
    <t>32285001928752</t>
  </si>
  <si>
    <t>893445488</t>
  </si>
  <si>
    <t>32285001928745</t>
  </si>
  <si>
    <t>893415892</t>
  </si>
  <si>
    <t>32285001928737</t>
  </si>
  <si>
    <t>893409794</t>
  </si>
  <si>
    <t>32285001928711</t>
  </si>
  <si>
    <t>893415891</t>
  </si>
  <si>
    <t>32285001928729</t>
  </si>
  <si>
    <t>893415893</t>
  </si>
  <si>
    <t>V.7</t>
  </si>
  <si>
    <t>32285001928778</t>
  </si>
  <si>
    <t>893415890</t>
  </si>
  <si>
    <t>QP601 .F35</t>
  </si>
  <si>
    <t>0                      QP 0601000F  35</t>
  </si>
  <si>
    <t>Regulation of enzyme activity and allosteric interactions / Symposium organizer: J. P. Changeux. Edited by E. Kvamme and A. Pihl.</t>
  </si>
  <si>
    <t>Federation of European Biochemical Societies.</t>
  </si>
  <si>
    <t>Oslo : Universitetsforlaget ; London ; New York : Academic Press, 1968.</t>
  </si>
  <si>
    <t xml:space="preserve">no </t>
  </si>
  <si>
    <t>Its Proceedings of the 4th Meeting of the Federation of European Biochemical Societies, Oslo, 3-7 July 1967</t>
  </si>
  <si>
    <t>1993-11-23</t>
  </si>
  <si>
    <t>1590428:eng</t>
  </si>
  <si>
    <t>449996</t>
  </si>
  <si>
    <t>991002807209702656</t>
  </si>
  <si>
    <t>2265376490002656</t>
  </si>
  <si>
    <t>32285001688521</t>
  </si>
  <si>
    <t>893792941</t>
  </si>
  <si>
    <t>QP601 .F36 1972</t>
  </si>
  <si>
    <t>0                      QP 0601000F  36          1972</t>
  </si>
  <si>
    <t>Enzymes : structure and function / organized by J. Drenth, R. A. Oosterbaan [and] C. Veeger.</t>
  </si>
  <si>
    <t>[Amsterdam] : North-Holland ; [New York] : American Elsevier, 1972.</t>
  </si>
  <si>
    <t>FEBS meeting, v. 29</t>
  </si>
  <si>
    <t>1995-11-05</t>
  </si>
  <si>
    <t>1687241:eng</t>
  </si>
  <si>
    <t>668196</t>
  </si>
  <si>
    <t>991003122909702656</t>
  </si>
  <si>
    <t>2254789240002656</t>
  </si>
  <si>
    <t>9780444104243</t>
  </si>
  <si>
    <t>32285001688513</t>
  </si>
  <si>
    <t>893348358</t>
  </si>
  <si>
    <t>QP601 .F42 1985</t>
  </si>
  <si>
    <t>0                      QP 0601000F  42          1985</t>
  </si>
  <si>
    <t>Enzyme structure and mechanism / Alan Fersht.</t>
  </si>
  <si>
    <t>Fersht, Alan, 1943-</t>
  </si>
  <si>
    <t>1991-12-23</t>
  </si>
  <si>
    <t>2876355:eng</t>
  </si>
  <si>
    <t>10505784</t>
  </si>
  <si>
    <t>991000382589702656</t>
  </si>
  <si>
    <t>2256012290002656</t>
  </si>
  <si>
    <t>9780716716150</t>
  </si>
  <si>
    <t>32285000874973</t>
  </si>
  <si>
    <t>893502429</t>
  </si>
  <si>
    <t>QP601 .H49 1979</t>
  </si>
  <si>
    <t>0                      QP 0601000H  49          1979</t>
  </si>
  <si>
    <t>Kinetics of fast enzyme reactions : theory and practice / Keitaro Hiromi.</t>
  </si>
  <si>
    <t>Hiromi, Keitarō, 1926-</t>
  </si>
  <si>
    <t>Tokyo : Kodansha Ltd. ; New York : Wiley, c1979.</t>
  </si>
  <si>
    <t>1995-03-23</t>
  </si>
  <si>
    <t>17287358:eng</t>
  </si>
  <si>
    <t>5310683</t>
  </si>
  <si>
    <t>991004816649702656</t>
  </si>
  <si>
    <t>2264437870002656</t>
  </si>
  <si>
    <t>9780470268667</t>
  </si>
  <si>
    <t>32285001563211</t>
  </si>
  <si>
    <t>893870144</t>
  </si>
  <si>
    <t>QP601 .I55 1964</t>
  </si>
  <si>
    <t>0                      QP 0601000I  55          1964</t>
  </si>
  <si>
    <t>Enzyme nomenclature : recommendations, 1964, of the International Union of Biochemistry on the nomenclature and classification of enzymes, together with their units and the symbols of enzyme kinetics.</t>
  </si>
  <si>
    <t>International Union of Biochemistry. Standing Committee on Enzymes.</t>
  </si>
  <si>
    <t>Amsterdam ; New York : Elsevier Pub. Co., 1965.</t>
  </si>
  <si>
    <t>1995-08-02</t>
  </si>
  <si>
    <t>9349953582:eng</t>
  </si>
  <si>
    <t>233672</t>
  </si>
  <si>
    <t>991001633179702656</t>
  </si>
  <si>
    <t>2259222090002656</t>
  </si>
  <si>
    <t>32285001928653</t>
  </si>
  <si>
    <t>893809116</t>
  </si>
  <si>
    <t>QP601 .L6</t>
  </si>
  <si>
    <t>0                      QP 0601000L  6</t>
  </si>
  <si>
    <t>Enzymes, the agents of life / by David M. Locke.</t>
  </si>
  <si>
    <t>Locke, David M. (David Millard), 1929-</t>
  </si>
  <si>
    <t>New York : Crown Publishers, [1969]</t>
  </si>
  <si>
    <t>1999-03-16</t>
  </si>
  <si>
    <t>1991-10-16</t>
  </si>
  <si>
    <t>1636070:eng</t>
  </si>
  <si>
    <t>561126</t>
  </si>
  <si>
    <t>991002991819702656</t>
  </si>
  <si>
    <t>2255397990002656</t>
  </si>
  <si>
    <t>32285000773720</t>
  </si>
  <si>
    <t>893698549</t>
  </si>
  <si>
    <t>QP601 .M314 1994</t>
  </si>
  <si>
    <t>0                      QP 0601000M  314         1994</t>
  </si>
  <si>
    <t>Handbook of detection of enzymes on electrophoretic gels / Gennady P. Manchenko.</t>
  </si>
  <si>
    <t>Manchenko, Gennady P.</t>
  </si>
  <si>
    <t>Boca Raton, Fla. : CRC Press, c1994.</t>
  </si>
  <si>
    <t>2003-03-07</t>
  </si>
  <si>
    <t>1995-06-19</t>
  </si>
  <si>
    <t>927803:eng</t>
  </si>
  <si>
    <t>30155176</t>
  </si>
  <si>
    <t>991002324569702656</t>
  </si>
  <si>
    <t>2262947420002656</t>
  </si>
  <si>
    <t>9780849389351</t>
  </si>
  <si>
    <t>32285002051828</t>
  </si>
  <si>
    <t>893352265</t>
  </si>
  <si>
    <t>QP601 .S43</t>
  </si>
  <si>
    <t>0                      QP 0601000S  43</t>
  </si>
  <si>
    <t>Chemistry and control of enzyme reactions / K. G. Scrimgeour.</t>
  </si>
  <si>
    <t>Scrimgeour, K. G.</t>
  </si>
  <si>
    <t>London ; New York : Academic Press, 1977.</t>
  </si>
  <si>
    <t>1997-10-03</t>
  </si>
  <si>
    <t>11670224:eng</t>
  </si>
  <si>
    <t>3702780</t>
  </si>
  <si>
    <t>991004496599702656</t>
  </si>
  <si>
    <t>2266696990002656</t>
  </si>
  <si>
    <t>9780126341508</t>
  </si>
  <si>
    <t>32285001563336</t>
  </si>
  <si>
    <t>893235573</t>
  </si>
  <si>
    <t>QP601 .S88 1953</t>
  </si>
  <si>
    <t>0                      QP 0601000S  88          1953</t>
  </si>
  <si>
    <t>Chemistry and methods of enzymes / by James B. Sumner and G. Fred Somers.</t>
  </si>
  <si>
    <t>Sumner, James B. (James Batcheller), 1887-1955.</t>
  </si>
  <si>
    <t>New York : Academic Press, 1953.</t>
  </si>
  <si>
    <t>3d ed., rev. and enl.</t>
  </si>
  <si>
    <t>1995-11-22</t>
  </si>
  <si>
    <t>2037909:eng</t>
  </si>
  <si>
    <t>1126603</t>
  </si>
  <si>
    <t>991003557439702656</t>
  </si>
  <si>
    <t>2270385100002656</t>
  </si>
  <si>
    <t>32285001962462</t>
  </si>
  <si>
    <t>893598699</t>
  </si>
  <si>
    <t>QP601 .W23 1979</t>
  </si>
  <si>
    <t>0                      QP 0601000W  23          1979</t>
  </si>
  <si>
    <t>Enzymatic reaction mechanisms / Christopher Walsh.</t>
  </si>
  <si>
    <t>Walsh, Christopher.</t>
  </si>
  <si>
    <t>San Francisco : W. H. Freeman, c1979.</t>
  </si>
  <si>
    <t>1995-10-21</t>
  </si>
  <si>
    <t>446981:eng</t>
  </si>
  <si>
    <t>4003473</t>
  </si>
  <si>
    <t>991001775159702656</t>
  </si>
  <si>
    <t>2267668270002656</t>
  </si>
  <si>
    <t>9780716700708</t>
  </si>
  <si>
    <t>32285000843226</t>
  </si>
  <si>
    <t>893497355</t>
  </si>
  <si>
    <t>QP601 .W38</t>
  </si>
  <si>
    <t>0                      QP 0601000W  38</t>
  </si>
  <si>
    <t>Enzyme and metabolic inhibitors.</t>
  </si>
  <si>
    <t>Webb, John Leyden.</t>
  </si>
  <si>
    <t>New York : Academic Press, 1963-</t>
  </si>
  <si>
    <t>1994-10-12</t>
  </si>
  <si>
    <t>4820361781:eng</t>
  </si>
  <si>
    <t>561113</t>
  </si>
  <si>
    <t>991001775029702656</t>
  </si>
  <si>
    <t>2255397170002656</t>
  </si>
  <si>
    <t>32285001961274</t>
  </si>
  <si>
    <t>893590627</t>
  </si>
  <si>
    <t>32285001961282</t>
  </si>
  <si>
    <t>893609129</t>
  </si>
  <si>
    <t>32285001961266</t>
  </si>
  <si>
    <t>893590628</t>
  </si>
  <si>
    <t>QP601 .Z37</t>
  </si>
  <si>
    <t>0                      QP 0601000Z  37</t>
  </si>
  <si>
    <t>The study of enzyme mechanisms / [by] Eugene Zeffren [and] Philip L. Hall.</t>
  </si>
  <si>
    <t>Zeffren, Eugene, 1941-</t>
  </si>
  <si>
    <t>New York : Wiley, [1973]</t>
  </si>
  <si>
    <t>1563289:eng</t>
  </si>
  <si>
    <t>538894</t>
  </si>
  <si>
    <t>991002951089702656</t>
  </si>
  <si>
    <t>2262503410002656</t>
  </si>
  <si>
    <t>9780471981503</t>
  </si>
  <si>
    <t>32285001962454</t>
  </si>
  <si>
    <t>893592003</t>
  </si>
  <si>
    <t>QP601.3 .S38 1994</t>
  </si>
  <si>
    <t>0                      QP 0601300S  38          1994</t>
  </si>
  <si>
    <t>Enzyme kinetics : from diastase to multi-enzyme systems / Arthur R. Schulz.</t>
  </si>
  <si>
    <t>Schulz, Arthur R.</t>
  </si>
  <si>
    <t>1995-09-22</t>
  </si>
  <si>
    <t>1997-05-21</t>
  </si>
  <si>
    <t>280923365:eng</t>
  </si>
  <si>
    <t>30701944</t>
  </si>
  <si>
    <t>991001755729702656</t>
  </si>
  <si>
    <t>2261860920002656</t>
  </si>
  <si>
    <t>9780521445009</t>
  </si>
  <si>
    <t>32285002610300</t>
  </si>
  <si>
    <t>893529202</t>
  </si>
  <si>
    <t>QP603.S94 S97 1982, v...</t>
  </si>
  <si>
    <t>0                      QP 0603000S  94                 S  97          1982                  v...</t>
  </si>
  <si>
    <t>Superoxide dismutase / editor, Larry W. Oberley.</t>
  </si>
  <si>
    <t>Boca Raton, Fla. : CRC Press, c1982-</t>
  </si>
  <si>
    <t>1994-12-03</t>
  </si>
  <si>
    <t>8912151049:eng</t>
  </si>
  <si>
    <t>8112676</t>
  </si>
  <si>
    <t>991005204879702656</t>
  </si>
  <si>
    <t>2256431640002656</t>
  </si>
  <si>
    <t>9780849362408</t>
  </si>
  <si>
    <t>32285001563385</t>
  </si>
  <si>
    <t>893320237</t>
  </si>
  <si>
    <t>32285001563377</t>
  </si>
  <si>
    <t>893338710</t>
  </si>
  <si>
    <t>QP606.D46 F78 1986</t>
  </si>
  <si>
    <t>0                      QP 0606000D  46                 F  78          1986</t>
  </si>
  <si>
    <t>Animal cell DNA polymerases / authors, Michael Fry, Lawrence A. Loeb.</t>
  </si>
  <si>
    <t>Fry, Michael, Ph.D.</t>
  </si>
  <si>
    <t>Boca Raton, Fla. : CRC Press, c1986.</t>
  </si>
  <si>
    <t>1998-10-11</t>
  </si>
  <si>
    <t>7807268:eng</t>
  </si>
  <si>
    <t>13395990</t>
  </si>
  <si>
    <t>991000822379702656</t>
  </si>
  <si>
    <t>2262052230002656</t>
  </si>
  <si>
    <t>9780849365072</t>
  </si>
  <si>
    <t>32285001573954</t>
  </si>
  <si>
    <t>893413710</t>
  </si>
  <si>
    <t>QP606.D46 N49 1994</t>
  </si>
  <si>
    <t>0                      QP 0606000D  46                 N  49          1994</t>
  </si>
  <si>
    <t>PCR / C.R. Newton and A. Graham.</t>
  </si>
  <si>
    <t>Newton, C. R. (Clive R.)</t>
  </si>
  <si>
    <t>Oxford : Bios Scientific Publishers in association with the Biochemical Society, 1994.</t>
  </si>
  <si>
    <t>The introduction to biotechniques series</t>
  </si>
  <si>
    <t>1996-07-08</t>
  </si>
  <si>
    <t>4929093741:eng</t>
  </si>
  <si>
    <t>30030710</t>
  </si>
  <si>
    <t>991002313559702656</t>
  </si>
  <si>
    <t>2269295390002656</t>
  </si>
  <si>
    <t>9781872748825</t>
  </si>
  <si>
    <t>32285002207230</t>
  </si>
  <si>
    <t>893352251</t>
  </si>
  <si>
    <t>QP606.D46 P359 1995</t>
  </si>
  <si>
    <t>0                      QP 0606000D  46                 P  359         1995</t>
  </si>
  <si>
    <t>PCR primer : a laboratory manual / edited by Carl W. Dieffenbach, Gabriela S. Dveksler.</t>
  </si>
  <si>
    <t>Plainview, N.Y. : Cold Spring Harbor Laboratory Press, 1995.</t>
  </si>
  <si>
    <t>504379106:eng</t>
  </si>
  <si>
    <t>32778364</t>
  </si>
  <si>
    <t>991002519079702656</t>
  </si>
  <si>
    <t>2260180360002656</t>
  </si>
  <si>
    <t>9780879694470</t>
  </si>
  <si>
    <t>32285002137023</t>
  </si>
  <si>
    <t>893697897</t>
  </si>
  <si>
    <t>QP606.D46 P652 1994</t>
  </si>
  <si>
    <t>0                      QP 0606000D  46                 P  652         1994</t>
  </si>
  <si>
    <t>The Polymerase chain reaction / Kary B. Mullis, François Ferré, Richard A. Gibbs, editors ; foreword by James D. Watson.</t>
  </si>
  <si>
    <t>2007-11-11</t>
  </si>
  <si>
    <t>2009-01-13</t>
  </si>
  <si>
    <t>1994-12-16</t>
  </si>
  <si>
    <t>402791863:eng</t>
  </si>
  <si>
    <t>29929377</t>
  </si>
  <si>
    <t>991001798269702656</t>
  </si>
  <si>
    <t>2267446050002656</t>
  </si>
  <si>
    <t>9780817636074</t>
  </si>
  <si>
    <t>32285001884781</t>
  </si>
  <si>
    <t>893621636</t>
  </si>
  <si>
    <t>QP606.R53 R18</t>
  </si>
  <si>
    <t>0                      QP 0606000R  53                 R  18</t>
  </si>
  <si>
    <t>RNA polymerase / edited by R. Losick, M. Chamberlin.</t>
  </si>
  <si>
    <t>[Cold Spring Harbor, N.Y.] : Cold Spring Harbor Laboratory, 1976.</t>
  </si>
  <si>
    <t>Cold Spring Harbor monograph series</t>
  </si>
  <si>
    <t>1996-11-24</t>
  </si>
  <si>
    <t>5396039:eng</t>
  </si>
  <si>
    <t>2572123</t>
  </si>
  <si>
    <t>991004168299702656</t>
  </si>
  <si>
    <t>2260782250002656</t>
  </si>
  <si>
    <t>9780879691158</t>
  </si>
  <si>
    <t>32285001563419</t>
  </si>
  <si>
    <t>893794553</t>
  </si>
  <si>
    <t>QP609.P7 P76</t>
  </si>
  <si>
    <t>0                      QP 0609000P  7                  P  76</t>
  </si>
  <si>
    <t>Proteases and biological control / edited by E. Reich, D. B. Rifkin, E. Shaw.</t>
  </si>
  <si>
    <t>[Cold Spring Harbor, N.Y.] : Cold Spring Harbor Laboratory, 1975.</t>
  </si>
  <si>
    <t>Cold Spring Harbor conferences on cell proliferation ; v. 2</t>
  </si>
  <si>
    <t>365389281:eng</t>
  </si>
  <si>
    <t>1878387</t>
  </si>
  <si>
    <t>991005264409702656</t>
  </si>
  <si>
    <t>2260276850002656</t>
  </si>
  <si>
    <t>9780879691141</t>
  </si>
  <si>
    <t>32285001563435</t>
  </si>
  <si>
    <t>893713761</t>
  </si>
  <si>
    <t>QP620 .A53 1994</t>
  </si>
  <si>
    <t>0                      QP 0620000A  53          1994</t>
  </si>
  <si>
    <t>Ancient DNA : recovery and analysis of genetic material from paleontological, archaeological, museum, medical, and forensic specimens / Bernd Herrmann, Susanne Hummel, editors.</t>
  </si>
  <si>
    <t>New York : Springer-Verlag, c1994.</t>
  </si>
  <si>
    <t>1996-10-30</t>
  </si>
  <si>
    <t>807011402:eng</t>
  </si>
  <si>
    <t>26634636</t>
  </si>
  <si>
    <t>991002077729702656</t>
  </si>
  <si>
    <t>2264226780002656</t>
  </si>
  <si>
    <t>9780387979298</t>
  </si>
  <si>
    <t>32285001877348</t>
  </si>
  <si>
    <t>893798150</t>
  </si>
  <si>
    <t>QP620 .B56 1986</t>
  </si>
  <si>
    <t>0                      QP 0620000B  56          1986</t>
  </si>
  <si>
    <t>The biochemistry of the nucleic acids / Roger L.P. Adams, John T. Knowler, David P. Leader.</t>
  </si>
  <si>
    <t>Adams, R. L. P. (Roger Lionel Poulter)</t>
  </si>
  <si>
    <t>London ; New York : Chapman and Hall, 1986.</t>
  </si>
  <si>
    <t>10th ed.</t>
  </si>
  <si>
    <t>2009-09-25</t>
  </si>
  <si>
    <t>1992-11-07</t>
  </si>
  <si>
    <t>5090478080:eng</t>
  </si>
  <si>
    <t>13560893</t>
  </si>
  <si>
    <t>991000846499702656</t>
  </si>
  <si>
    <t>2263512910002656</t>
  </si>
  <si>
    <t>9780412272806</t>
  </si>
  <si>
    <t>32285001383156</t>
  </si>
  <si>
    <t>893315293</t>
  </si>
  <si>
    <t>QP620 .B58 1996</t>
  </si>
  <si>
    <t>0                      QP 0620000B  58          1996</t>
  </si>
  <si>
    <t>Bioorganic chemistry : nucleic acids / edited by Sidney M. Hecht.</t>
  </si>
  <si>
    <t>New York : Oxford University Press, 1996.</t>
  </si>
  <si>
    <t>1996-04-11</t>
  </si>
  <si>
    <t>37317459:eng</t>
  </si>
  <si>
    <t>32745668</t>
  </si>
  <si>
    <t>991002517739702656</t>
  </si>
  <si>
    <t>2256344380002656</t>
  </si>
  <si>
    <t>9780195084672</t>
  </si>
  <si>
    <t>32285002151545</t>
  </si>
  <si>
    <t>893616218</t>
  </si>
  <si>
    <t>QP620 .C67 1989a</t>
  </si>
  <si>
    <t>0                      QP 0620000C  67          1989a</t>
  </si>
  <si>
    <t>Structure &amp; methods : proceedings of the Sixth Conversation in the Discipline Biomolecular Stereodynamics held at the State University of New York at Albany, June 6-10, 1989 / edited by R.H. Sarma &amp; M.H. Sarma.</t>
  </si>
  <si>
    <t>Conversation in Biomolecular Stereodynamics (6th : 1989 : State University of New York at Albany)</t>
  </si>
  <si>
    <t>Schenectady, NY : Adenine Press, c1990.</t>
  </si>
  <si>
    <t>1995-01-05</t>
  </si>
  <si>
    <t>3769217912:eng</t>
  </si>
  <si>
    <t>21376156</t>
  </si>
  <si>
    <t>991001683629702656</t>
  </si>
  <si>
    <t>2266369550002656</t>
  </si>
  <si>
    <t>9780940030312</t>
  </si>
  <si>
    <t>32285000594738</t>
  </si>
  <si>
    <t>893602804</t>
  </si>
  <si>
    <t>QP620 .D37 1994</t>
  </si>
  <si>
    <t>0                      QP 0620000D  37          1994</t>
  </si>
  <si>
    <t>Nucleic acid blotting : the basics / David C. Darling and Paul M. Brickell.</t>
  </si>
  <si>
    <t>Darling, David C.</t>
  </si>
  <si>
    <t>2001-11-13</t>
  </si>
  <si>
    <t>1996-11-27</t>
  </si>
  <si>
    <t>808563638:eng</t>
  </si>
  <si>
    <t>30546271</t>
  </si>
  <si>
    <t>991002346539702656</t>
  </si>
  <si>
    <t>2262069360002656</t>
  </si>
  <si>
    <t>9780199634460</t>
  </si>
  <si>
    <t>32285002386596</t>
  </si>
  <si>
    <t>893804509</t>
  </si>
  <si>
    <t>QP620 .G45 1990</t>
  </si>
  <si>
    <t>0                      QP 0620000G  45          1990</t>
  </si>
  <si>
    <t>Gel electrophoresis of nucleic acids : a practical approach / edited by D. Rickwood and B.D. Hames.</t>
  </si>
  <si>
    <t>Oxford ; New York : IRL Press at Oxford University Press, c1990.</t>
  </si>
  <si>
    <t>1992-01-24</t>
  </si>
  <si>
    <t>1991-05-31</t>
  </si>
  <si>
    <t>3768616255:eng</t>
  </si>
  <si>
    <t>21295280</t>
  </si>
  <si>
    <t>991001671859702656</t>
  </si>
  <si>
    <t>2267840980002656</t>
  </si>
  <si>
    <t>9780199630820</t>
  </si>
  <si>
    <t>32285000591015</t>
  </si>
  <si>
    <t>893596620</t>
  </si>
  <si>
    <t>QP620 .M37 1996</t>
  </si>
  <si>
    <t>0                      QP 0620000M  37          1996</t>
  </si>
  <si>
    <t>Gel electrophoresis : nucleic acids / Robin Martin.</t>
  </si>
  <si>
    <t>Martin, Robin.</t>
  </si>
  <si>
    <t>Oxford : BIOS Scientific, 1996.</t>
  </si>
  <si>
    <t>1998-11-05</t>
  </si>
  <si>
    <t>1996-08-19</t>
  </si>
  <si>
    <t>144047600:eng</t>
  </si>
  <si>
    <t>34675961</t>
  </si>
  <si>
    <t>991002651619702656</t>
  </si>
  <si>
    <t>2267754750002656</t>
  </si>
  <si>
    <t>9781872748283</t>
  </si>
  <si>
    <t>32285002290616</t>
  </si>
  <si>
    <t>893434116</t>
  </si>
  <si>
    <t>QP620 .N66 1995</t>
  </si>
  <si>
    <t>0                      QP 0620000N  66          1995</t>
  </si>
  <si>
    <t>Non-isotopic methods in molecular biology : a practical approach / edited by E.R. Levy and C.S. Herrington.</t>
  </si>
  <si>
    <t>Oxford ; New York : IRL Press at Oxford University Press, c1995.</t>
  </si>
  <si>
    <t>The practical approach series ; 153</t>
  </si>
  <si>
    <t>1999-01-17</t>
  </si>
  <si>
    <t>807979600:eng</t>
  </si>
  <si>
    <t>31409531</t>
  </si>
  <si>
    <t>991002412759702656</t>
  </si>
  <si>
    <t>2270389430002656</t>
  </si>
  <si>
    <t>9780199634552</t>
  </si>
  <si>
    <t>32285002393170</t>
  </si>
  <si>
    <t>893873491</t>
  </si>
  <si>
    <t>QP620.W38 M45 2003</t>
  </si>
  <si>
    <t>0                      QP 0620000W  38                 M  45          2003</t>
  </si>
  <si>
    <t>Watson and DNA : making a scientific revolution / Victor K. McElheny.</t>
  </si>
  <si>
    <t>McElheny, Victor K.</t>
  </si>
  <si>
    <t>Cambridge, MA. : Perseus Publishing ; c2003.</t>
  </si>
  <si>
    <t>2003-08-22</t>
  </si>
  <si>
    <t>2003-02-19</t>
  </si>
  <si>
    <t>796430397:eng</t>
  </si>
  <si>
    <t>51440191</t>
  </si>
  <si>
    <t>991001719639702656</t>
  </si>
  <si>
    <t>2255659290002656</t>
  </si>
  <si>
    <t>9780738203416</t>
  </si>
  <si>
    <t>32285004699277</t>
  </si>
  <si>
    <t>893696977</t>
  </si>
  <si>
    <t>QP623 .J66 1994</t>
  </si>
  <si>
    <t>0                      QP 0623000J  66          1994</t>
  </si>
  <si>
    <t>RNA isolation and analysis / P. Jones, J. Qiu, D. Rickwood.</t>
  </si>
  <si>
    <t>Jones, P. (Paul)</t>
  </si>
  <si>
    <t>Oxford [England] : Bios Scientific Publishers ; Herndon, VA : Books International Inc. [distributor], 1994.</t>
  </si>
  <si>
    <t>1996-06-20</t>
  </si>
  <si>
    <t>33518670:eng</t>
  </si>
  <si>
    <t>31528519</t>
  </si>
  <si>
    <t>991002421499702656</t>
  </si>
  <si>
    <t>2269150170002656</t>
  </si>
  <si>
    <t>9781872748375</t>
  </si>
  <si>
    <t>32285002170883</t>
  </si>
  <si>
    <t>893329058</t>
  </si>
  <si>
    <t>QP623 .P76 1984</t>
  </si>
  <si>
    <t>0                      QP 0623000P  76          1984</t>
  </si>
  <si>
    <t>Processing of RNA / editor, David Apirion.</t>
  </si>
  <si>
    <t>Boca Raton, Fla. : CRC Press, c1984.</t>
  </si>
  <si>
    <t>2006-09-06</t>
  </si>
  <si>
    <t>43586258:eng</t>
  </si>
  <si>
    <t>9084264</t>
  </si>
  <si>
    <t>991000127199702656</t>
  </si>
  <si>
    <t>2255190440002656</t>
  </si>
  <si>
    <t>32285001563476</t>
  </si>
  <si>
    <t>893601484</t>
  </si>
  <si>
    <t>QP623 .R5725 2008</t>
  </si>
  <si>
    <t>0                      QP 0623000R  5725        2008</t>
  </si>
  <si>
    <t>RNA and the regulation of gene expression : a hidden layer of complexity / edited by Kevin V. Morris.</t>
  </si>
  <si>
    <t>Norfolk : Caister Academic Press, c2008.</t>
  </si>
  <si>
    <t>2008-10-13</t>
  </si>
  <si>
    <t>113661593:eng</t>
  </si>
  <si>
    <t>170922279</t>
  </si>
  <si>
    <t>991005262789702656</t>
  </si>
  <si>
    <t>2260545900002656</t>
  </si>
  <si>
    <t>9781904455257</t>
  </si>
  <si>
    <t>32285005463368</t>
  </si>
  <si>
    <t>893594742</t>
  </si>
  <si>
    <t>QP623 .R6 1993</t>
  </si>
  <si>
    <t>0                      QP 0623000R  6           1993</t>
  </si>
  <si>
    <t>The RNA world : the nature of modern RNA suggests a prebiotic RNA world / edited by Raymond F. Gesteland, John F. Atkins.</t>
  </si>
  <si>
    <t>Cold Spring Harbor, NY : Cold Spring Harbor Laboratory Press, 1993.</t>
  </si>
  <si>
    <t>Cold Spring Harbor monograph series ; 24</t>
  </si>
  <si>
    <t>2006-12-01</t>
  </si>
  <si>
    <t>806987614:eng</t>
  </si>
  <si>
    <t>27430582</t>
  </si>
  <si>
    <t>991001798359702656</t>
  </si>
  <si>
    <t>2266112070002656</t>
  </si>
  <si>
    <t>9780879693800</t>
  </si>
  <si>
    <t>32285002002649</t>
  </si>
  <si>
    <t>893322265</t>
  </si>
  <si>
    <t>QP623.5.M47 C66 1993</t>
  </si>
  <si>
    <t>0                      QP 0623500M  47                 C  66          1993</t>
  </si>
  <si>
    <t>Control of messenger RNA stability / edited by Joel G. Belasco, George Brawerman.</t>
  </si>
  <si>
    <t>1994-04-13</t>
  </si>
  <si>
    <t>365447261:eng</t>
  </si>
  <si>
    <t>27145577</t>
  </si>
  <si>
    <t>991001804379702656</t>
  </si>
  <si>
    <t>2255414250002656</t>
  </si>
  <si>
    <t>9780120847822</t>
  </si>
  <si>
    <t>32285001859924</t>
  </si>
  <si>
    <t>893503718</t>
  </si>
  <si>
    <t>QP623.5.M47 L36 1995</t>
  </si>
  <si>
    <t>0                      QP 0623500M  47                 L  36          1995</t>
  </si>
  <si>
    <t>Pre-mRNA processing / Angus I. Lamond.</t>
  </si>
  <si>
    <t>Lamond, Angus I.</t>
  </si>
  <si>
    <t>Austin : R.G. Landes Co., 1995.</t>
  </si>
  <si>
    <t>1998-05-07</t>
  </si>
  <si>
    <t>34050587:eng</t>
  </si>
  <si>
    <t>31971331</t>
  </si>
  <si>
    <t>991002452319702656</t>
  </si>
  <si>
    <t>2267685650002656</t>
  </si>
  <si>
    <t>9781570592263</t>
  </si>
  <si>
    <t>32285002050770</t>
  </si>
  <si>
    <t>893873533</t>
  </si>
  <si>
    <t>QP623.8.P75 R63 2008</t>
  </si>
  <si>
    <t>0                      QP 0623800P  75                 R  63          2008</t>
  </si>
  <si>
    <t>RNA-protein interaction protocols.</t>
  </si>
  <si>
    <t>Totowa, N.J. : Humana ; London : Springer [distributor], 2008.</t>
  </si>
  <si>
    <t>2nd ed. / edited by Ren-Jang Lin.</t>
  </si>
  <si>
    <t>Methods in molecular biology ; v. 488</t>
  </si>
  <si>
    <t>112902559:eng</t>
  </si>
  <si>
    <t>166378576</t>
  </si>
  <si>
    <t>991005338759702656</t>
  </si>
  <si>
    <t>2258574930002656</t>
  </si>
  <si>
    <t>9781588294197</t>
  </si>
  <si>
    <t>32285005548564</t>
  </si>
  <si>
    <t>893701400</t>
  </si>
  <si>
    <t>QP624 .A327 1991</t>
  </si>
  <si>
    <t>0                      QP 0624000A  327         1991</t>
  </si>
  <si>
    <t>DNA replication / Roger L.P. Adams.</t>
  </si>
  <si>
    <t>1991-09-17</t>
  </si>
  <si>
    <t>24192184:eng</t>
  </si>
  <si>
    <t>22765033</t>
  </si>
  <si>
    <t>991001812359702656</t>
  </si>
  <si>
    <t>2260302610002656</t>
  </si>
  <si>
    <t>9780199632169</t>
  </si>
  <si>
    <t>32285000703768</t>
  </si>
  <si>
    <t>893340723</t>
  </si>
  <si>
    <t>QP624 .C36 1999</t>
  </si>
  <si>
    <t>0                      QP 0624000C  36          1999</t>
  </si>
  <si>
    <t>Genomics : the science and technology behind the Human Genome Project / Charles R. Cantor, Cassandra L. Smith.</t>
  </si>
  <si>
    <t>Cantor, Charles R., 1942-</t>
  </si>
  <si>
    <t>New York : Wiley, c1999.</t>
  </si>
  <si>
    <t>2010-12-31</t>
  </si>
  <si>
    <t>2000-07-26</t>
  </si>
  <si>
    <t>800546696:eng</t>
  </si>
  <si>
    <t>39700016</t>
  </si>
  <si>
    <t>991003219579702656</t>
  </si>
  <si>
    <t>2256384920002656</t>
  </si>
  <si>
    <t>9780471599081</t>
  </si>
  <si>
    <t>32285003742367</t>
  </si>
  <si>
    <t>893705026</t>
  </si>
  <si>
    <t>QP624 .D15 1984</t>
  </si>
  <si>
    <t>0                      QP 0624000D  15          1984</t>
  </si>
  <si>
    <t>DNA methylation, biochemistry, and biological significance / edited by Aharon Razin, Howard Cedar, and Arthur D. Riggs ; with contributions by K.F. Conklin ... [et al.].</t>
  </si>
  <si>
    <t>New York : Springer-Verlag, c1984.</t>
  </si>
  <si>
    <t>Springer series in molecular biology</t>
  </si>
  <si>
    <t>2008-10-21</t>
  </si>
  <si>
    <t>3508969:eng</t>
  </si>
  <si>
    <t>10726728</t>
  </si>
  <si>
    <t>991000418239702656</t>
  </si>
  <si>
    <t>2264253140002656</t>
  </si>
  <si>
    <t>9780387960388</t>
  </si>
  <si>
    <t>32285001026730</t>
  </si>
  <si>
    <t>893419434</t>
  </si>
  <si>
    <t>QP624 .D175 1990</t>
  </si>
  <si>
    <t>0                      QP 0624000D  175         1990</t>
  </si>
  <si>
    <t>DNA topology and its biological effects / edited by Nicholas R. Cozzarelli, James C. Wang.</t>
  </si>
  <si>
    <t>[Cold Spring Harbor, NY] : Cold Spring Harbor Laboratory Press, 1990.</t>
  </si>
  <si>
    <t>Cold Spring Harbor monograph series ; 19</t>
  </si>
  <si>
    <t>2008-10-26</t>
  </si>
  <si>
    <t>365160410:eng</t>
  </si>
  <si>
    <t>21161296</t>
  </si>
  <si>
    <t>991001660089702656</t>
  </si>
  <si>
    <t>2261991690002656</t>
  </si>
  <si>
    <t>9780879693480</t>
  </si>
  <si>
    <t>32285000594597</t>
  </si>
  <si>
    <t>893250371</t>
  </si>
  <si>
    <t>QP624 .D19 1986</t>
  </si>
  <si>
    <t>0                      QP 0624000D  19          1986</t>
  </si>
  <si>
    <t>DNA systematics / editor, S.K. Dutta.</t>
  </si>
  <si>
    <t>Boca Raton, Fla. : CRC Press, c1986-1990.</t>
  </si>
  <si>
    <t>54746377:eng</t>
  </si>
  <si>
    <t>12557789</t>
  </si>
  <si>
    <t>991000706999702656</t>
  </si>
  <si>
    <t>2255350530002656</t>
  </si>
  <si>
    <t>9780849358227</t>
  </si>
  <si>
    <t>32285001563518</t>
  </si>
  <si>
    <t>893425961</t>
  </si>
  <si>
    <t>QP624 .D634 1993</t>
  </si>
  <si>
    <t>0                      QP 0624000D  634         1993</t>
  </si>
  <si>
    <t>DNA sequencing protocols / edited by Hugh G. Griffin and Annette M. Griffin.</t>
  </si>
  <si>
    <t>Totowa, N.J. : Humana Press, c1993.</t>
  </si>
  <si>
    <t>Methods in molecular biology ; 23</t>
  </si>
  <si>
    <t>1994-05-26</t>
  </si>
  <si>
    <t>693248367:eng</t>
  </si>
  <si>
    <t>28224280</t>
  </si>
  <si>
    <t>991002196209702656</t>
  </si>
  <si>
    <t>2260779240002656</t>
  </si>
  <si>
    <t>9780896032484</t>
  </si>
  <si>
    <t>32285001899607</t>
  </si>
  <si>
    <t>893504113</t>
  </si>
  <si>
    <t>QP624 .F6913 1993</t>
  </si>
  <si>
    <t>0                      QP 0624000F  6913        1993</t>
  </si>
  <si>
    <t>Unraveling DNA / Maxim D. Frank-Kamenetskii ; translated by Lev Liapin.</t>
  </si>
  <si>
    <t>Frank-Kamenet͡skiĭ, M. D.</t>
  </si>
  <si>
    <t>New York : VCH Publishers, c1993.</t>
  </si>
  <si>
    <t>1996-09-08</t>
  </si>
  <si>
    <t>1994-02-03</t>
  </si>
  <si>
    <t>9592840947:eng</t>
  </si>
  <si>
    <t>28026607</t>
  </si>
  <si>
    <t>991002177469702656</t>
  </si>
  <si>
    <t>2262933810002656</t>
  </si>
  <si>
    <t>9781560816171</t>
  </si>
  <si>
    <t>32285001834927</t>
  </si>
  <si>
    <t>893609549</t>
  </si>
  <si>
    <t>QP624 .K668 1992</t>
  </si>
  <si>
    <t>0                      QP 0624000K  668         1992</t>
  </si>
  <si>
    <t>DNA replication.</t>
  </si>
  <si>
    <t>New York : W.H. Freeman, 1992.</t>
  </si>
  <si>
    <t>2nd ed. / by Arthur Kornberg and Tania A. Baker.</t>
  </si>
  <si>
    <t>115608898:eng</t>
  </si>
  <si>
    <t>22891832</t>
  </si>
  <si>
    <t>991001821629702656</t>
  </si>
  <si>
    <t>2270052910002656</t>
  </si>
  <si>
    <t>9780716720034</t>
  </si>
  <si>
    <t>32285000865344</t>
  </si>
  <si>
    <t>893340730</t>
  </si>
  <si>
    <t>QP624 .K67</t>
  </si>
  <si>
    <t>0                      QP 0624000K  67</t>
  </si>
  <si>
    <t>DNA synthesis.</t>
  </si>
  <si>
    <t>San Francisco : W. H. Freeman, [1974]</t>
  </si>
  <si>
    <t>1990-05-30</t>
  </si>
  <si>
    <t>1728790:eng</t>
  </si>
  <si>
    <t>828346</t>
  </si>
  <si>
    <t>991005257769702656</t>
  </si>
  <si>
    <t>2269297070002656</t>
  </si>
  <si>
    <t>9780716705864</t>
  </si>
  <si>
    <t>32285000159870</t>
  </si>
  <si>
    <t>893446683</t>
  </si>
  <si>
    <t>QP624 .L34 1998</t>
  </si>
  <si>
    <t>0                      QP 0624000L  34          1998</t>
  </si>
  <si>
    <t>DNA pioneers and their legacy / Ulf Lagerkvist.</t>
  </si>
  <si>
    <t>Lagerkvist, Ulf.</t>
  </si>
  <si>
    <t>New Haven, CT : Yale University Press, c1998.</t>
  </si>
  <si>
    <t>1998-09-16</t>
  </si>
  <si>
    <t>606073:eng</t>
  </si>
  <si>
    <t>37588483</t>
  </si>
  <si>
    <t>991002852579702656</t>
  </si>
  <si>
    <t>2254891010002656</t>
  </si>
  <si>
    <t>9780300071849</t>
  </si>
  <si>
    <t>32285003468963</t>
  </si>
  <si>
    <t>893774110</t>
  </si>
  <si>
    <t>QP624 .M49 1991</t>
  </si>
  <si>
    <t>0                      QP 0624000M  49          1991</t>
  </si>
  <si>
    <t>Methods in nucleic acids research / editors, Jim D. Karam, Lee Chao, Gregory W. Warr.</t>
  </si>
  <si>
    <t>1995-07-07</t>
  </si>
  <si>
    <t>1991-05-30</t>
  </si>
  <si>
    <t>365501122:eng</t>
  </si>
  <si>
    <t>22119790</t>
  </si>
  <si>
    <t>991001748049702656</t>
  </si>
  <si>
    <t>2261003420002656</t>
  </si>
  <si>
    <t>9780849353116</t>
  </si>
  <si>
    <t>32285000590330</t>
  </si>
  <si>
    <t>893715678</t>
  </si>
  <si>
    <t>QP624 .N45 1994</t>
  </si>
  <si>
    <t>0                      QP 0624000N  45          1994</t>
  </si>
  <si>
    <t>DNA structure and recognition / Stephen Neidle.</t>
  </si>
  <si>
    <t>Neidle, Stephen.</t>
  </si>
  <si>
    <t>Oxford, Eng. ; New York : IRL Press at Oxford University Press, c1994.</t>
  </si>
  <si>
    <t>1994-11-17</t>
  </si>
  <si>
    <t>31605587:eng</t>
  </si>
  <si>
    <t>29185290</t>
  </si>
  <si>
    <t>991002253349702656</t>
  </si>
  <si>
    <t>2260728220002656</t>
  </si>
  <si>
    <t>9780199634194</t>
  </si>
  <si>
    <t>32285001958791</t>
  </si>
  <si>
    <t>893873288</t>
  </si>
  <si>
    <t>QP624 .P67</t>
  </si>
  <si>
    <t>0                      QP 0624000P  67</t>
  </si>
  <si>
    <t>A century of DNA : a history of the discovery of the structure and function of the genetic substance / Franklin H. Portugal and Jack S. Cohen.</t>
  </si>
  <si>
    <t>Portugal, Franklin H.</t>
  </si>
  <si>
    <t>Cambridge, Mass. : MIT Press, c1977.</t>
  </si>
  <si>
    <t>1997-04-01</t>
  </si>
  <si>
    <t>1991-12-09</t>
  </si>
  <si>
    <t>6589394:eng</t>
  </si>
  <si>
    <t>2964854</t>
  </si>
  <si>
    <t>991004296279702656</t>
  </si>
  <si>
    <t>2272478350002656</t>
  </si>
  <si>
    <t>9780262160674</t>
  </si>
  <si>
    <t>32285000885953</t>
  </si>
  <si>
    <t>893869551</t>
  </si>
  <si>
    <t>QP624 .P76 1984</t>
  </si>
  <si>
    <t>0                      QP 0624000P  76          1984</t>
  </si>
  <si>
    <t>Proteins involved in DNA replication / edited by Ulrich Hübscher and Silvio Spadari.</t>
  </si>
  <si>
    <t>Advances in experimental medicine and biology ; v. 179</t>
  </si>
  <si>
    <t>1996-09-24</t>
  </si>
  <si>
    <t>355671439:eng</t>
  </si>
  <si>
    <t>10951314</t>
  </si>
  <si>
    <t>991000465469702656</t>
  </si>
  <si>
    <t>2258477370002656</t>
  </si>
  <si>
    <t>9780306418044</t>
  </si>
  <si>
    <t>32285001563559</t>
  </si>
  <si>
    <t>893796665</t>
  </si>
  <si>
    <t>QP624 .S27 1988</t>
  </si>
  <si>
    <t>0                      QP 0624000S  27          1988</t>
  </si>
  <si>
    <t>DNA double helix &amp; the chemistry of cancer / R.H. Sarma &amp; M.H. Sarma.</t>
  </si>
  <si>
    <t>Sarma, Ramaswamy H., 1939-</t>
  </si>
  <si>
    <t>Schenectady, N.Y. : Adenine Press, c1988.</t>
  </si>
  <si>
    <t>17741367:eng</t>
  </si>
  <si>
    <t>18379353</t>
  </si>
  <si>
    <t>991001338929702656</t>
  </si>
  <si>
    <t>2269690610002656</t>
  </si>
  <si>
    <t>9780940030268</t>
  </si>
  <si>
    <t>32285000220912</t>
  </si>
  <si>
    <t>893340356</t>
  </si>
  <si>
    <t>QP624 .S56 1994</t>
  </si>
  <si>
    <t>0                      QP 0624000S  56          1994</t>
  </si>
  <si>
    <t>DNA structure and function / Richard R. Sinden.</t>
  </si>
  <si>
    <t>Sinden, Richard R.</t>
  </si>
  <si>
    <t>2008-12-02</t>
  </si>
  <si>
    <t>31871295:eng</t>
  </si>
  <si>
    <t>30109829</t>
  </si>
  <si>
    <t>991003209279702656</t>
  </si>
  <si>
    <t>2263661990002656</t>
  </si>
  <si>
    <t>9780126457506</t>
  </si>
  <si>
    <t>32285003712592</t>
  </si>
  <si>
    <t>893627494</t>
  </si>
  <si>
    <t>QP624 .S69 1996</t>
  </si>
  <si>
    <t>0                      QP 0624000S  69          1996</t>
  </si>
  <si>
    <t>Triple-helical nucleic acids / Valery N. Soyfer, Vladimir N. Potaman.</t>
  </si>
  <si>
    <t>Soĭfer, Valeriĭ.</t>
  </si>
  <si>
    <t>New York : Spinger, c1996.</t>
  </si>
  <si>
    <t>2003-09-02</t>
  </si>
  <si>
    <t>34233437:eng</t>
  </si>
  <si>
    <t>32273525</t>
  </si>
  <si>
    <t>991002478689702656</t>
  </si>
  <si>
    <t>2258418290002656</t>
  </si>
  <si>
    <t>9780387944951</t>
  </si>
  <si>
    <t>32285002388360</t>
  </si>
  <si>
    <t>893873574</t>
  </si>
  <si>
    <t>QP624 .T39 1984</t>
  </si>
  <si>
    <t>0                      QP 0624000T  39          1984</t>
  </si>
  <si>
    <t>DNA methylation and cellular differentiation / J. Herbert Taylor.</t>
  </si>
  <si>
    <t>Taylor, J. Herbert (James Herbert), 1916-</t>
  </si>
  <si>
    <t>Wien ; New York : Springer-Verlag, 1984.</t>
  </si>
  <si>
    <t>Cell biology monographs, 0172-4665 ; v. 11</t>
  </si>
  <si>
    <t>2851429:eng</t>
  </si>
  <si>
    <t>10146024</t>
  </si>
  <si>
    <t>991000319859702656</t>
  </si>
  <si>
    <t>2255731250002656</t>
  </si>
  <si>
    <t>9780387817613</t>
  </si>
  <si>
    <t>32285001026722</t>
  </si>
  <si>
    <t>893796555</t>
  </si>
  <si>
    <t>QP624.5.C57 V6513 1992</t>
  </si>
  <si>
    <t>0                      QP 0624500C  57                 V  6513        1992</t>
  </si>
  <si>
    <t>Topology and physics of circular DNA / Alexander Vologodskii ; translated into English by D. Agratchev.</t>
  </si>
  <si>
    <t>Vologodskiĭ, A. V. (Aleksandr Vadimovich)</t>
  </si>
  <si>
    <t>Boca Raton : CRC Press, c1992.</t>
  </si>
  <si>
    <t>1995-01-03</t>
  </si>
  <si>
    <t>1993-01-13</t>
  </si>
  <si>
    <t>22459339:eng</t>
  </si>
  <si>
    <t>25508164</t>
  </si>
  <si>
    <t>991002005149702656</t>
  </si>
  <si>
    <t>2272560830002656</t>
  </si>
  <si>
    <t>9780849342288</t>
  </si>
  <si>
    <t>32285001445187</t>
  </si>
  <si>
    <t>893433382</t>
  </si>
  <si>
    <t>QP624.5.D73 G4 1989</t>
  </si>
  <si>
    <t>0                      QP 0624500D  73                 G  4           1989</t>
  </si>
  <si>
    <t>Gene probes / edited by P. Michael Conn.</t>
  </si>
  <si>
    <t>San Diego, [Calif.] : Academic Press, c1989.</t>
  </si>
  <si>
    <t>Methods in neurosciences ; v. 1</t>
  </si>
  <si>
    <t>1990-06-12</t>
  </si>
  <si>
    <t>2908637561:eng</t>
  </si>
  <si>
    <t>20681637</t>
  </si>
  <si>
    <t>991001603579702656</t>
  </si>
  <si>
    <t>2256508950002656</t>
  </si>
  <si>
    <t>9780121852528</t>
  </si>
  <si>
    <t>32285000175728</t>
  </si>
  <si>
    <t>893803701</t>
  </si>
  <si>
    <t>QP624.5.D73 G46 1995</t>
  </si>
  <si>
    <t>0                      QP 0624500D  73                 G  46          1995</t>
  </si>
  <si>
    <t>Gene probes : a practical approach / edited by B.D. Hames and S.J. Higgins.</t>
  </si>
  <si>
    <t>The practical approach series; 161-162.</t>
  </si>
  <si>
    <t>1997-07-17</t>
  </si>
  <si>
    <t>1996-12-11</t>
  </si>
  <si>
    <t>4820391992:eng</t>
  </si>
  <si>
    <t>32465284</t>
  </si>
  <si>
    <t>991002494569702656</t>
  </si>
  <si>
    <t>2268686770002656</t>
  </si>
  <si>
    <t>9780199634002</t>
  </si>
  <si>
    <t>32285002392206</t>
  </si>
  <si>
    <t>893535038</t>
  </si>
  <si>
    <t>32285002392198</t>
  </si>
  <si>
    <t>893535039</t>
  </si>
  <si>
    <t>QP624.5.D73 N66 1992</t>
  </si>
  <si>
    <t>0                      QP 0624500D  73                 N  66          1992</t>
  </si>
  <si>
    <t>Nonisotopic DNA probe techniques / edited by Larry J. Kricka.</t>
  </si>
  <si>
    <t>San Diego : Academic Press, 1992.</t>
  </si>
  <si>
    <t>1992-06-01</t>
  </si>
  <si>
    <t>26875693:eng</t>
  </si>
  <si>
    <t>24870685</t>
  </si>
  <si>
    <t>991001962339702656</t>
  </si>
  <si>
    <t>2262909740002656</t>
  </si>
  <si>
    <t>9780124262959</t>
  </si>
  <si>
    <t>32285001125896</t>
  </si>
  <si>
    <t>893226274</t>
  </si>
  <si>
    <t>QP624.75.P74 D576 1995</t>
  </si>
  <si>
    <t>0                      QP 0624750P  74                 D  576         1995</t>
  </si>
  <si>
    <t>DNA-protein : structural interactions / edited by David M.J. Lilley.</t>
  </si>
  <si>
    <t>Frontiers in molecular biology ; 7</t>
  </si>
  <si>
    <t>2008-10-08</t>
  </si>
  <si>
    <t>1997-04-29</t>
  </si>
  <si>
    <t>806897109:eng</t>
  </si>
  <si>
    <t>31516161</t>
  </si>
  <si>
    <t>991001781619702656</t>
  </si>
  <si>
    <t>2270902670002656</t>
  </si>
  <si>
    <t>9780199634538</t>
  </si>
  <si>
    <t>32285002392248</t>
  </si>
  <si>
    <t>893872799</t>
  </si>
  <si>
    <t>QP624.75.P74 S84 1993</t>
  </si>
  <si>
    <t>0                      QP 0624750P  74                 S  84          1993</t>
  </si>
  <si>
    <t>Structural studies of protein-nucleic acid interaction : the sources of sequence-specific binding / Thomas A. Steitz.</t>
  </si>
  <si>
    <t>Steitz, Thomas A.</t>
  </si>
  <si>
    <t>New York, NY, USA : Cambridge University Press, 1993.</t>
  </si>
  <si>
    <t>1995-08-22</t>
  </si>
  <si>
    <t>836899251:eng</t>
  </si>
  <si>
    <t>27186968</t>
  </si>
  <si>
    <t>991002122719702656</t>
  </si>
  <si>
    <t>2270352230002656</t>
  </si>
  <si>
    <t>9780521414890</t>
  </si>
  <si>
    <t>32285002078623</t>
  </si>
  <si>
    <t>893873126</t>
  </si>
  <si>
    <t>QP625.N87 C47 1983, v...</t>
  </si>
  <si>
    <t>0                      QP 0625000N  87                 C  47          1983                  v...</t>
  </si>
  <si>
    <t>Chromosomal nonhistone proteins / editor, Lubomir S. Hnilica.</t>
  </si>
  <si>
    <t>Boca Raton, Fla. : CRC Press, c1983-</t>
  </si>
  <si>
    <t>CRC series in the biochemistry and molecular biology of the cell nucleus</t>
  </si>
  <si>
    <t>2008-09-26</t>
  </si>
  <si>
    <t>3375017760:eng</t>
  </si>
  <si>
    <t>8785271</t>
  </si>
  <si>
    <t>991000071619702656</t>
  </si>
  <si>
    <t>2266800370002656</t>
  </si>
  <si>
    <t>9780849355110</t>
  </si>
  <si>
    <t>32285001563567</t>
  </si>
  <si>
    <t>893783934</t>
  </si>
  <si>
    <t>QP625.N89 A45 1997</t>
  </si>
  <si>
    <t>0                      QP 0625000N  89                 A  45          1997</t>
  </si>
  <si>
    <t>DNA sequencing : from experimental methods to bioinformatics / Luke Alphey.</t>
  </si>
  <si>
    <t>Alphey, Luke.</t>
  </si>
  <si>
    <t>Oxford, UK : BIOS Scientific Publishers ; New York : Springer, 1997.</t>
  </si>
  <si>
    <t>2003-04-28</t>
  </si>
  <si>
    <t>1073472569:eng</t>
  </si>
  <si>
    <t>36961082</t>
  </si>
  <si>
    <t>991002813899702656</t>
  </si>
  <si>
    <t>2259124920002656</t>
  </si>
  <si>
    <t>9780387915098</t>
  </si>
  <si>
    <t>32285003546222</t>
  </si>
  <si>
    <t>893704557</t>
  </si>
  <si>
    <t>QP625.N89 N835 1989</t>
  </si>
  <si>
    <t>0                      QP 0625000N  89                 N  835         1989</t>
  </si>
  <si>
    <t>Nucleic acids sequencing : a practical approach / edited by C.J. Howe, E.S. Ward.</t>
  </si>
  <si>
    <t>Oxford ; New York : IRL Press, 1989.</t>
  </si>
  <si>
    <t>808089432:eng</t>
  </si>
  <si>
    <t>19814516</t>
  </si>
  <si>
    <t>991001502979702656</t>
  </si>
  <si>
    <t>2268022680002656</t>
  </si>
  <si>
    <t>9780199630578</t>
  </si>
  <si>
    <t>32285000175405</t>
  </si>
  <si>
    <t>893709326</t>
  </si>
  <si>
    <t>QP701 .S66 1952</t>
  </si>
  <si>
    <t>0                      QP 0701000S  66          1952</t>
  </si>
  <si>
    <t>Carbohydrate metabolism : correlation of physiological, biochemical and clinical aspects / by Samuel Soskin and Rachmiel Levine.</t>
  </si>
  <si>
    <t>Soskin, Samuel, 1904-</t>
  </si>
  <si>
    <t>Chicago : Univ. of Chicago Press, [1952]</t>
  </si>
  <si>
    <t>2007-01-26</t>
  </si>
  <si>
    <t>3902634204:eng</t>
  </si>
  <si>
    <t>14654504</t>
  </si>
  <si>
    <t>991000950669702656</t>
  </si>
  <si>
    <t>2271652740002656</t>
  </si>
  <si>
    <t>32285001936854</t>
  </si>
  <si>
    <t>893249835</t>
  </si>
  <si>
    <t>QP751 .H24 1985</t>
  </si>
  <si>
    <t>0                      QP 0751000H  24          1985</t>
  </si>
  <si>
    <t>The adaptive role of lipids in biological systems / Neil F. Hadley.</t>
  </si>
  <si>
    <t>Hadley, Neil F.</t>
  </si>
  <si>
    <t>1994-10-02</t>
  </si>
  <si>
    <t>3864218:eng</t>
  </si>
  <si>
    <t>11068978</t>
  </si>
  <si>
    <t>991000485329702656</t>
  </si>
  <si>
    <t>2261520650002656</t>
  </si>
  <si>
    <t>9780471090496</t>
  </si>
  <si>
    <t>32285001563583</t>
  </si>
  <si>
    <t>893614207</t>
  </si>
  <si>
    <t>QP752.M45 T46 1992</t>
  </si>
  <si>
    <t>0                      QP 0752000M  45                 T  46          1992</t>
  </si>
  <si>
    <t>The regulation of membrane lipid metabolism / Guy A. Thompson, Jr.</t>
  </si>
  <si>
    <t>Thompson, Guy A., 1931-</t>
  </si>
  <si>
    <t>1996-09-21</t>
  </si>
  <si>
    <t>43990687:eng</t>
  </si>
  <si>
    <t>25048147</t>
  </si>
  <si>
    <t>991001793729702656</t>
  </si>
  <si>
    <t>2263516210002656</t>
  </si>
  <si>
    <t>9780849345616</t>
  </si>
  <si>
    <t>32285001445211</t>
  </si>
  <si>
    <t>893529239</t>
  </si>
  <si>
    <t>QP752.P84 P85 1984</t>
  </si>
  <si>
    <t>0                      QP 0752000P  84                 P  85          1984</t>
  </si>
  <si>
    <t>Pulmonary surfactant / edited by Bengt Robertson, Lambert M.G. van Golde, and Joseph J. Batenburg.</t>
  </si>
  <si>
    <t>Amsterdam ; New York : Elsevier ; New York, NY, USA : Sole distributors for the USA and Canada, Elsevier Science Pub. Co., 1984.</t>
  </si>
  <si>
    <t>1994-03-18</t>
  </si>
  <si>
    <t>355971513:eng</t>
  </si>
  <si>
    <t>10825565</t>
  </si>
  <si>
    <t>991000442469702656</t>
  </si>
  <si>
    <t>2264491240002656</t>
  </si>
  <si>
    <t>9780444805539</t>
  </si>
  <si>
    <t>32285001563591</t>
  </si>
  <si>
    <t>893249349</t>
  </si>
  <si>
    <t>QP771 .M56 1991</t>
  </si>
  <si>
    <t>0                      QP 0771000M  56          1991</t>
  </si>
  <si>
    <t>Earl Mindell's vitamin bible.</t>
  </si>
  <si>
    <t>Mindell, Earl.</t>
  </si>
  <si>
    <t>New York, N.Y. : Warner, c1991.</t>
  </si>
  <si>
    <t>Completely rev., expanded, updated.</t>
  </si>
  <si>
    <t>2007-03-13</t>
  </si>
  <si>
    <t>1995-01-17</t>
  </si>
  <si>
    <t>2070481669:eng</t>
  </si>
  <si>
    <t>24681299</t>
  </si>
  <si>
    <t>991001952419702656</t>
  </si>
  <si>
    <t>2271487220002656</t>
  </si>
  <si>
    <t>9780446361842</t>
  </si>
  <si>
    <t>32285001992964</t>
  </si>
  <si>
    <t>893261999</t>
  </si>
  <si>
    <t>QP801.A27 R6</t>
  </si>
  <si>
    <t>0                      QP 0801000A  27                 R  6</t>
  </si>
  <si>
    <t>Cyclic AMP [by] G. Alan Robison, Reginald W. Butcher [and] Earl W. Sutherland. With contributions by Th. Posternak and Joel G. Hardman.</t>
  </si>
  <si>
    <t>Robison, G. Alan, 1934-</t>
  </si>
  <si>
    <t>New York, Academic Press, 1971.</t>
  </si>
  <si>
    <t>2008-04-16</t>
  </si>
  <si>
    <t>1262474:eng</t>
  </si>
  <si>
    <t>204434</t>
  </si>
  <si>
    <t>991001774329702656</t>
  </si>
  <si>
    <t>2255546720002656</t>
  </si>
  <si>
    <t>9780125904506</t>
  </si>
  <si>
    <t>32285003081139</t>
  </si>
  <si>
    <t>893684632</t>
  </si>
  <si>
    <t>QP801.A3 A42</t>
  </si>
  <si>
    <t>0                      QP 0801000A  3                  A  42</t>
  </si>
  <si>
    <t>Alcohol and opiates : neurochemical and behavioral mechanisms / edited by Kenneth Blum, associate editors, Diana L. Bard and Murray G. Hamilton.</t>
  </si>
  <si>
    <t>1991-12-20</t>
  </si>
  <si>
    <t>836674128:eng</t>
  </si>
  <si>
    <t>2797787</t>
  </si>
  <si>
    <t>991004244119702656</t>
  </si>
  <si>
    <t>2265665390002656</t>
  </si>
  <si>
    <t>9780121084509</t>
  </si>
  <si>
    <t>32285000908664</t>
  </si>
  <si>
    <t>893343614</t>
  </si>
  <si>
    <t>QP801.A3 D48 1992</t>
  </si>
  <si>
    <t>0                      QP 0801000A  3                  D  48          1992</t>
  </si>
  <si>
    <t>Development of the central nervous system : effects of alcohol and opiates / Michael W. Miller, editor.</t>
  </si>
  <si>
    <t>New York : Wiley-Liss, c1992.</t>
  </si>
  <si>
    <t>2002-01-15</t>
  </si>
  <si>
    <t>836880406:eng</t>
  </si>
  <si>
    <t>23975845</t>
  </si>
  <si>
    <t>991003706939702656</t>
  </si>
  <si>
    <t>2270750280002656</t>
  </si>
  <si>
    <t>9780471561255</t>
  </si>
  <si>
    <t>32285004449061</t>
  </si>
  <si>
    <t>893810126</t>
  </si>
  <si>
    <t>QP801.C33 M33 1984</t>
  </si>
  <si>
    <t>0                      QP 0801000C  33                 M  33          1984</t>
  </si>
  <si>
    <t>Catecholamines and behaviour / Stephen T. Mason.</t>
  </si>
  <si>
    <t>Mason, Stephen T.</t>
  </si>
  <si>
    <t>Cambridge ; New York : Cambridge University Press, 1984.</t>
  </si>
  <si>
    <t>1995-05-06</t>
  </si>
  <si>
    <t>43680987:eng</t>
  </si>
  <si>
    <t>9643213</t>
  </si>
  <si>
    <t>991000231009702656</t>
  </si>
  <si>
    <t>2270478290002656</t>
  </si>
  <si>
    <t>9780521270823</t>
  </si>
  <si>
    <t>32285001563609</t>
  </si>
  <si>
    <t>893327151</t>
  </si>
  <si>
    <t>QP801.C5 K7</t>
  </si>
  <si>
    <t>0                      QP 0801000C  5                  K  7</t>
  </si>
  <si>
    <t>Cholesterol.</t>
  </si>
  <si>
    <t>Kritchevsky, David, 1920-2006.</t>
  </si>
  <si>
    <t>New York : Wiley, [1958]</t>
  </si>
  <si>
    <t>1997-10-05</t>
  </si>
  <si>
    <t>1990-12-13</t>
  </si>
  <si>
    <t>62601081:eng</t>
  </si>
  <si>
    <t>2157361</t>
  </si>
  <si>
    <t>991001774679702656</t>
  </si>
  <si>
    <t>2255826960002656</t>
  </si>
  <si>
    <t>32285000425107</t>
  </si>
  <si>
    <t>893602885</t>
  </si>
  <si>
    <t>QP801.C68 F48 1993</t>
  </si>
  <si>
    <t>0                      QP 0801000C  68                 F  48          1993</t>
  </si>
  <si>
    <t>Cocaine : an in-depth look at the facts, science, history, and future of the world's most addictive drug / John C. Flynn.</t>
  </si>
  <si>
    <t>Flynn, John C.</t>
  </si>
  <si>
    <t>New York, N.Y. : Carol Pub. Group, c1993.</t>
  </si>
  <si>
    <t>2006-04-11</t>
  </si>
  <si>
    <t>2004-05-04</t>
  </si>
  <si>
    <t>890485302:eng</t>
  </si>
  <si>
    <t>29504704</t>
  </si>
  <si>
    <t>991003933199702656</t>
  </si>
  <si>
    <t>2269313970002656</t>
  </si>
  <si>
    <t>9780806514321</t>
  </si>
  <si>
    <t>32285004903414</t>
  </si>
  <si>
    <t>893234844</t>
  </si>
  <si>
    <t>QP801.C68 N48 1995</t>
  </si>
  <si>
    <t>0                      QP 0801000C  68                 N  48          1995</t>
  </si>
  <si>
    <t>The neurobiology of cocaine : cellular and molecular mechanisms / edited by Ronald P. Hammer, Jr.</t>
  </si>
  <si>
    <t>807869391:eng</t>
  </si>
  <si>
    <t>32052912</t>
  </si>
  <si>
    <t>991002460879702656</t>
  </si>
  <si>
    <t>2267198740002656</t>
  </si>
  <si>
    <t>9780849383113</t>
  </si>
  <si>
    <t>32285002393048</t>
  </si>
  <si>
    <t>893786172</t>
  </si>
  <si>
    <t>QP801.C8 W54 1999</t>
  </si>
  <si>
    <t>0                      QP 0801000C  8                  W  54          1999</t>
  </si>
  <si>
    <t>Creatine : the power supplement / Melvin H. Williams, Richard B. Kreider, J. David Branch.</t>
  </si>
  <si>
    <t>Champaign, IL : Human Kinetics, c1999.</t>
  </si>
  <si>
    <t>2008-10-22</t>
  </si>
  <si>
    <t>2000-02-29</t>
  </si>
  <si>
    <t>1037825:eng</t>
  </si>
  <si>
    <t>40940054</t>
  </si>
  <si>
    <t>991003013329702656</t>
  </si>
  <si>
    <t>2264358400002656</t>
  </si>
  <si>
    <t>9780736001625</t>
  </si>
  <si>
    <t>32285003665261</t>
  </si>
  <si>
    <t>893518060</t>
  </si>
  <si>
    <t>QP801.H7 B46</t>
  </si>
  <si>
    <t>0                      QP 0801000H  7                  B  46</t>
  </si>
  <si>
    <t>Biochemical actions of hormones / edited by Gerald Litwack. Contributors: Julius Axelrod [and others]</t>
  </si>
  <si>
    <t>New York, Academic Press, 1970-c1987.</t>
  </si>
  <si>
    <t>2002-09-19</t>
  </si>
  <si>
    <t>1124277457:eng</t>
  </si>
  <si>
    <t>2258348</t>
  </si>
  <si>
    <t>991001791689702656</t>
  </si>
  <si>
    <t>2264658170002656</t>
  </si>
  <si>
    <t>9780124528017</t>
  </si>
  <si>
    <t>32285001563617</t>
  </si>
  <si>
    <t>893328382</t>
  </si>
  <si>
    <t>V. 14</t>
  </si>
  <si>
    <t>32285001563641</t>
  </si>
  <si>
    <t>893340701</t>
  </si>
  <si>
    <t>32285001563633</t>
  </si>
  <si>
    <t>893328381</t>
  </si>
  <si>
    <t>V. 11</t>
  </si>
  <si>
    <t>32285001563625</t>
  </si>
  <si>
    <t>893322258</t>
  </si>
  <si>
    <t>QP801.H7 L46</t>
  </si>
  <si>
    <t>0                      QP 0801000H  7                  L  46</t>
  </si>
  <si>
    <t>Hormones and behavior / edited by Seymour Levine.</t>
  </si>
  <si>
    <t>Levine, Seymour.</t>
  </si>
  <si>
    <t>New York : Academic Press, 1972.</t>
  </si>
  <si>
    <t>1997-10-06</t>
  </si>
  <si>
    <t>145239661:eng</t>
  </si>
  <si>
    <t>579120</t>
  </si>
  <si>
    <t>991003012879702656</t>
  </si>
  <si>
    <t>2255738100002656</t>
  </si>
  <si>
    <t>9780124454507</t>
  </si>
  <si>
    <t>32285000878677</t>
  </si>
  <si>
    <t>893893288</t>
  </si>
  <si>
    <t>QP801.H7 S43</t>
  </si>
  <si>
    <t>0                      QP 0801000H  7                  S  43</t>
  </si>
  <si>
    <t>Hormones and resistance.</t>
  </si>
  <si>
    <t>Selye, Hans, 1907-1982.</t>
  </si>
  <si>
    <t>Berlin, New York, Springer-Verlag, 1971.</t>
  </si>
  <si>
    <t>1422764:eng</t>
  </si>
  <si>
    <t>279192</t>
  </si>
  <si>
    <t>991002182719702656</t>
  </si>
  <si>
    <t>2261670420002656</t>
  </si>
  <si>
    <t>9783540054115</t>
  </si>
  <si>
    <t>32285003081261</t>
  </si>
  <si>
    <t>893421023</t>
  </si>
  <si>
    <t>32285003081279</t>
  </si>
  <si>
    <t>893421022</t>
  </si>
  <si>
    <t>QP801.P638 P626 1998</t>
  </si>
  <si>
    <t>0                      QP 0801000P  638                P  626         1998</t>
  </si>
  <si>
    <t>Polyamine protocols / edited by David M.L. Morgan.</t>
  </si>
  <si>
    <t>Totowa, N.J. : Humana Press, c1998.</t>
  </si>
  <si>
    <t>Methods in molecular biology ; 79</t>
  </si>
  <si>
    <t>2002-08-26</t>
  </si>
  <si>
    <t>1999-10-14</t>
  </si>
  <si>
    <t>650900:eng</t>
  </si>
  <si>
    <t>37553743</t>
  </si>
  <si>
    <t>991002849999702656</t>
  </si>
  <si>
    <t>2258836890002656</t>
  </si>
  <si>
    <t>9780896034488</t>
  </si>
  <si>
    <t>32285003610846</t>
  </si>
  <si>
    <t>893415727</t>
  </si>
  <si>
    <t>QP801.S6 W4</t>
  </si>
  <si>
    <t>0                      QP 0801000S  6                  W  4</t>
  </si>
  <si>
    <t>Steroid-protein interactions / [by] U. Westphal.</t>
  </si>
  <si>
    <t>Westphal, U. (Ulrich), 1910-</t>
  </si>
  <si>
    <t>Berlin ; New York : Springer-Verlag, 1971.</t>
  </si>
  <si>
    <t>Monographs on endocrinology ; v. 4</t>
  </si>
  <si>
    <t>1990-03-28</t>
  </si>
  <si>
    <t>1174751:eng</t>
  </si>
  <si>
    <t>152181</t>
  </si>
  <si>
    <t>991000879239702656</t>
  </si>
  <si>
    <t>2271849620002656</t>
  </si>
  <si>
    <t>9780387053127</t>
  </si>
  <si>
    <t>32285000094002</t>
  </si>
  <si>
    <t>893231502</t>
  </si>
  <si>
    <t>QP801.V5 B5858 1940</t>
  </si>
  <si>
    <t>0                      QP 0801000V  5                  B  5858        1940</t>
  </si>
  <si>
    <t>Vitamins, what they are and how they can benefit you, by Henry Borsook.</t>
  </si>
  <si>
    <t>Borsook, Henry, 1897-1984.</t>
  </si>
  <si>
    <t>New York, The Viking press, 1940.</t>
  </si>
  <si>
    <t>1940</t>
  </si>
  <si>
    <t>2404790:eng</t>
  </si>
  <si>
    <t>1562558</t>
  </si>
  <si>
    <t>991003822619702656</t>
  </si>
  <si>
    <t>2263870590002656</t>
  </si>
  <si>
    <t>32285003081311</t>
  </si>
  <si>
    <t>893611486</t>
  </si>
  <si>
    <t>QP81 .R45 2003</t>
  </si>
  <si>
    <t>0                      QP 0081000R  45          2003</t>
  </si>
  <si>
    <t>Remaking life &amp; death : toward an anthropology of the biosciences / edited by Sarah Franklin and Margaret Lock.</t>
  </si>
  <si>
    <t>Santa Fe : School of American Research Press ; Oxford : James Currey, 2003.</t>
  </si>
  <si>
    <t>nmu</t>
  </si>
  <si>
    <t>School of American Research advanced seminar series</t>
  </si>
  <si>
    <t>2006-12-11</t>
  </si>
  <si>
    <t>2005-03-30</t>
  </si>
  <si>
    <t>837618475:eng</t>
  </si>
  <si>
    <t>51613865</t>
  </si>
  <si>
    <t>991004366019702656</t>
  </si>
  <si>
    <t>2272687150002656</t>
  </si>
  <si>
    <t>9780852559321</t>
  </si>
  <si>
    <t>32285005045876</t>
  </si>
  <si>
    <t>893325277</t>
  </si>
  <si>
    <t>QP81.5 .B63 1990</t>
  </si>
  <si>
    <t>0                      QP 0081500B  63          1990</t>
  </si>
  <si>
    <t>Body/politics : women and the discourses of science / edited by Mary Jacobus, Evelyn Fox Keller, Sally Shuttleworth.</t>
  </si>
  <si>
    <t>New York : Routledge, 1990.</t>
  </si>
  <si>
    <t>1997-02-10</t>
  </si>
  <si>
    <t>836904597:eng</t>
  </si>
  <si>
    <t>19722716</t>
  </si>
  <si>
    <t>991001490619702656</t>
  </si>
  <si>
    <t>2256067810002656</t>
  </si>
  <si>
    <t>9780415901314</t>
  </si>
  <si>
    <t>32285000035500</t>
  </si>
  <si>
    <t>893596508</t>
  </si>
  <si>
    <t>QP81.5 .F38 1985</t>
  </si>
  <si>
    <t>0                      QP 0081500F  38          1985</t>
  </si>
  <si>
    <t>Myths of gender : biological theories about women and men / Anne Fausto-Sterling.</t>
  </si>
  <si>
    <t>Fausto-Sterling, Anne, 1944-</t>
  </si>
  <si>
    <t>New York : Basic Books, c1985.</t>
  </si>
  <si>
    <t>2002-12-20</t>
  </si>
  <si>
    <t>4839622:eng</t>
  </si>
  <si>
    <t>12550351</t>
  </si>
  <si>
    <t>991000701679702656</t>
  </si>
  <si>
    <t>2267047190002656</t>
  </si>
  <si>
    <t>9780465047901</t>
  </si>
  <si>
    <t>32285000217504</t>
  </si>
  <si>
    <t>893790782</t>
  </si>
  <si>
    <t>QP81.5 .R56 1996</t>
  </si>
  <si>
    <t>0                      QP 0081500R  56          1996</t>
  </si>
  <si>
    <t>Why Eve doesn't have an Adam's apple : a dictionary of sex differences / Carol Ann Rinzler.</t>
  </si>
  <si>
    <t>Rinzler, Carol Ann.</t>
  </si>
  <si>
    <t>New York, NY : Facts on File, c1996.</t>
  </si>
  <si>
    <t>2004-11-22</t>
  </si>
  <si>
    <t>37602294:eng</t>
  </si>
  <si>
    <t>33359890</t>
  </si>
  <si>
    <t>991004407489702656</t>
  </si>
  <si>
    <t>2263142570002656</t>
  </si>
  <si>
    <t>9780816033522</t>
  </si>
  <si>
    <t>32285005010490</t>
  </si>
  <si>
    <t>893599807</t>
  </si>
  <si>
    <t>QP81.5 .S35 1993</t>
  </si>
  <si>
    <t>0                      QP 0081500S  35          1993</t>
  </si>
  <si>
    <t>Nature's body : gender in the making of modern science / Londa Schiebinger.</t>
  </si>
  <si>
    <t>Schiebinger, Londa L.</t>
  </si>
  <si>
    <t>Boston : Beacon Press, c1993.</t>
  </si>
  <si>
    <t>1994-02-11</t>
  </si>
  <si>
    <t>291591703:eng</t>
  </si>
  <si>
    <t>27186489</t>
  </si>
  <si>
    <t>991002121989702656</t>
  </si>
  <si>
    <t>2270517900002656</t>
  </si>
  <si>
    <t>9780807089002</t>
  </si>
  <si>
    <t>32285001841773</t>
  </si>
  <si>
    <t>893408717</t>
  </si>
  <si>
    <t>QP81.6 .B87 1996</t>
  </si>
  <si>
    <t>0                      QP 0081600B  87          1996</t>
  </si>
  <si>
    <t>A separate creation : the search for the biological origins of sexual orientation / Chandler Burr.</t>
  </si>
  <si>
    <t>Burr, Chandler, 1963-</t>
  </si>
  <si>
    <t>New York : Hyperion, c1996.</t>
  </si>
  <si>
    <t>1997-01-27</t>
  </si>
  <si>
    <t>640969:eng</t>
  </si>
  <si>
    <t>33862740</t>
  </si>
  <si>
    <t>991002582999702656</t>
  </si>
  <si>
    <t>2266787690002656</t>
  </si>
  <si>
    <t>9780786860814</t>
  </si>
  <si>
    <t>32285002411501</t>
  </si>
  <si>
    <t>893903978</t>
  </si>
  <si>
    <t>QP81.6 .S48 1995</t>
  </si>
  <si>
    <t>0                      QP 0081600S  48          1995</t>
  </si>
  <si>
    <t>Sex, cells, and same-sex desire : the biology of sexual preference / John P. De Cecco, David Allen Parker, editors.</t>
  </si>
  <si>
    <t>New York : Haworth Press, c1995.</t>
  </si>
  <si>
    <t>Journal of homosexuality, 0091-8369 ; v. 28, no. 1/2, 3/4</t>
  </si>
  <si>
    <t>2010-04-20</t>
  </si>
  <si>
    <t>2010-01-04</t>
  </si>
  <si>
    <t>375411772:eng</t>
  </si>
  <si>
    <t>32346702</t>
  </si>
  <si>
    <t>991005347569702656</t>
  </si>
  <si>
    <t>2260591280002656</t>
  </si>
  <si>
    <t>9781560230601</t>
  </si>
  <si>
    <t>32285005555155</t>
  </si>
  <si>
    <t>893501729</t>
  </si>
  <si>
    <t>QP82 .B87</t>
  </si>
  <si>
    <t>0                      QP 0082000B  87</t>
  </si>
  <si>
    <t>Man in a cold environment : physiological and pathological effects of exposure to low temperatures / by Alan C. Burton and Otto G. Edholm.</t>
  </si>
  <si>
    <t>Burton, Alan C. (Alan Chadburn), 1904-</t>
  </si>
  <si>
    <t>London : Arnold, [1955]</t>
  </si>
  <si>
    <t>Monographs of the Physiological Society ; no. 2</t>
  </si>
  <si>
    <t>1992-04-08</t>
  </si>
  <si>
    <t>1324362:eng</t>
  </si>
  <si>
    <t>2397337</t>
  </si>
  <si>
    <t>991001771439702656</t>
  </si>
  <si>
    <t>2257249740002656</t>
  </si>
  <si>
    <t>32285003658324</t>
  </si>
  <si>
    <t>893244394</t>
  </si>
  <si>
    <t>QP82 .E3</t>
  </si>
  <si>
    <t>0                      QP 0082000E  3</t>
  </si>
  <si>
    <t>The physiology of human survival, edited by O.G. Edholm and A.L. Bacharach.</t>
  </si>
  <si>
    <t>Edholm, O. G. (Otto Gustaf)</t>
  </si>
  <si>
    <t>354620831:eng</t>
  </si>
  <si>
    <t>262095</t>
  </si>
  <si>
    <t>991002052879702656</t>
  </si>
  <si>
    <t>2266772160002656</t>
  </si>
  <si>
    <t>32285003012035</t>
  </si>
  <si>
    <t>893603151</t>
  </si>
  <si>
    <t>QP82 .E59 1976</t>
  </si>
  <si>
    <t>0                      QP 0082000E  59          1976</t>
  </si>
  <si>
    <t>Environmental physiology of animals / editors, J. Bligh, J. L. Cloudsley-Thompson, A. G. MacDonald. --</t>
  </si>
  <si>
    <t>New York : Wiley : distributed in the United States of America by Halsted Press, 1976.</t>
  </si>
  <si>
    <t>147052916:eng</t>
  </si>
  <si>
    <t>2346807</t>
  </si>
  <si>
    <t>991004092649702656</t>
  </si>
  <si>
    <t>2260762780002656</t>
  </si>
  <si>
    <t>9780470989234</t>
  </si>
  <si>
    <t>32285001549095</t>
  </si>
  <si>
    <t>893794463</t>
  </si>
  <si>
    <t>QP82 .E63</t>
  </si>
  <si>
    <t>0                      QP 0082000E  63</t>
  </si>
  <si>
    <t>Environmental stress : individual human adaptations / edited by Lawrence J. Folinsbee ... [et al.].</t>
  </si>
  <si>
    <t>1994-01-04</t>
  </si>
  <si>
    <t>797399603:eng</t>
  </si>
  <si>
    <t>4003519</t>
  </si>
  <si>
    <t>991005257519702656</t>
  </si>
  <si>
    <t>2267747690002656</t>
  </si>
  <si>
    <t>9780122613500</t>
  </si>
  <si>
    <t>32285001549103</t>
  </si>
  <si>
    <t>893808085</t>
  </si>
  <si>
    <t>QP82 .E87 1980</t>
  </si>
  <si>
    <t>0                      QP 0082000E  87          1980</t>
  </si>
  <si>
    <t>Animals and environmental fitness : physiological and biochemical aspects of adaptation and ecology : proceedings of the first conference of the European Society for Comparative Physiology and Biochemistry, 27 to 31 August 1979, Liège, Belgium / conference organizer and volume editor, R. Gilles.</t>
  </si>
  <si>
    <t>European Society for Comparative Physiology and Biochemistry.</t>
  </si>
  <si>
    <t>Oxford ; New York : Pergamon Press, 1980.</t>
  </si>
  <si>
    <t>5616617031:eng</t>
  </si>
  <si>
    <t>6487801</t>
  </si>
  <si>
    <t>991004992689702656</t>
  </si>
  <si>
    <t>2256242310002656</t>
  </si>
  <si>
    <t>9780080249384</t>
  </si>
  <si>
    <t>32285001549111</t>
  </si>
  <si>
    <t>893242060</t>
  </si>
  <si>
    <t>QP82 .F62</t>
  </si>
  <si>
    <t>0                      QP 0082000F  62</t>
  </si>
  <si>
    <t>Introduction to environmental physiology : environmental extremes and mammalian survival / [by] G. Edgar Folk, Jr.</t>
  </si>
  <si>
    <t>Folk, G. Edgar (George Edgar), 1914-</t>
  </si>
  <si>
    <t>Philadelphia : Lea &amp; Febiger, 1966.</t>
  </si>
  <si>
    <t>1993-01-23</t>
  </si>
  <si>
    <t>1371391:eng</t>
  </si>
  <si>
    <t>310882</t>
  </si>
  <si>
    <t>991002282349702656</t>
  </si>
  <si>
    <t>2257297570002656</t>
  </si>
  <si>
    <t>32285001476737</t>
  </si>
  <si>
    <t>893433709</t>
  </si>
  <si>
    <t>QP82 .F62 1974</t>
  </si>
  <si>
    <t>0                      QP 0082000F  62          1974</t>
  </si>
  <si>
    <t>Textbook of environmental physiology / [by] G. Edgar Folk, Jr.</t>
  </si>
  <si>
    <t>Philadelphia : Lea &amp; Febiger, 1974.</t>
  </si>
  <si>
    <t>2000-11-28</t>
  </si>
  <si>
    <t>1749392:eng</t>
  </si>
  <si>
    <t>632531</t>
  </si>
  <si>
    <t>991003080849702656</t>
  </si>
  <si>
    <t>2263849760002656</t>
  </si>
  <si>
    <t>9780812104417</t>
  </si>
  <si>
    <t>32285001474567</t>
  </si>
  <si>
    <t>893780591</t>
  </si>
  <si>
    <t>QP82 .F62 1998</t>
  </si>
  <si>
    <t>0                      QP 0082000F  62          1998</t>
  </si>
  <si>
    <t>Principles of integrative environmental physiology / G. Edgar Folk, Jr., Marvin L. Riedesel ; Diana L. Thrift, editor.</t>
  </si>
  <si>
    <t>San Francisco : Austin &amp; Winfield Publishers, 1998.</t>
  </si>
  <si>
    <t>2001-11-21</t>
  </si>
  <si>
    <t>1999-07-27</t>
  </si>
  <si>
    <t>685082:eng</t>
  </si>
  <si>
    <t>37878701</t>
  </si>
  <si>
    <t>991002874189702656</t>
  </si>
  <si>
    <t>2264327640002656</t>
  </si>
  <si>
    <t>9781572921085</t>
  </si>
  <si>
    <t>32285003579249</t>
  </si>
  <si>
    <t>893233535</t>
  </si>
  <si>
    <t>QP82 .F74 1993</t>
  </si>
  <si>
    <t>0                      QP 0082000F  74          1993</t>
  </si>
  <si>
    <t>Human adaptation and accommodation / A. Roberto Frisancho.</t>
  </si>
  <si>
    <t>Frisancho, A. Roberto, 1939-</t>
  </si>
  <si>
    <t>Ann Arbor : University of Michigan Press, c1993.</t>
  </si>
  <si>
    <t>miu</t>
  </si>
  <si>
    <t>1993-12-28</t>
  </si>
  <si>
    <t>2864391317:eng</t>
  </si>
  <si>
    <t>26763611</t>
  </si>
  <si>
    <t>991002085549702656</t>
  </si>
  <si>
    <t>2268608410002656</t>
  </si>
  <si>
    <t>9780472095117</t>
  </si>
  <si>
    <t>32285001818144</t>
  </si>
  <si>
    <t>893334923</t>
  </si>
  <si>
    <t>QP82 .G37</t>
  </si>
  <si>
    <t>0                      QP 0082000G  37</t>
  </si>
  <si>
    <t>Life strategies, human evolution, environmental design : toward a biological theory of health / Valerius Geist.</t>
  </si>
  <si>
    <t>Geist, Valerius.</t>
  </si>
  <si>
    <t>New York : Springer-Verlag, c1978.</t>
  </si>
  <si>
    <t>1994-09-16</t>
  </si>
  <si>
    <t>892281139:eng</t>
  </si>
  <si>
    <t>4495874</t>
  </si>
  <si>
    <t>991004658159702656</t>
  </si>
  <si>
    <t>2267959780002656</t>
  </si>
  <si>
    <t>9780387903637</t>
  </si>
  <si>
    <t>32285001549129</t>
  </si>
  <si>
    <t>893901488</t>
  </si>
  <si>
    <t>QP82 .L3</t>
  </si>
  <si>
    <t>0                      QP 0082000L  3</t>
  </si>
  <si>
    <t>Weather and health; an introduction to biometeorology [by] Helmut E. Landsberg.</t>
  </si>
  <si>
    <t>Landsberg, Helmut Erich, 1906-1985.</t>
  </si>
  <si>
    <t>Garden City, N.Y., Doubleday, 1969.</t>
  </si>
  <si>
    <t>2004-05-06</t>
  </si>
  <si>
    <t>291897385:eng</t>
  </si>
  <si>
    <t>1688</t>
  </si>
  <si>
    <t>991005433199702656</t>
  </si>
  <si>
    <t>2271286910002656</t>
  </si>
  <si>
    <t>32285003012043</t>
  </si>
  <si>
    <t>893248915</t>
  </si>
  <si>
    <t>QP82 .L53 1979</t>
  </si>
  <si>
    <t>0                      QP 0082000L  53          1979</t>
  </si>
  <si>
    <t>Environmental physiology : aging, heat, and altitude : proceedings of Life, Heat, and Altitude Conference held on May 15-17, 1979 at the University of Nevada, Las Vegas, Nevada, U.S.A. / editors, Steven M. Horvath and Mohamed K. Yousef.</t>
  </si>
  <si>
    <t>Life, Heat, and Altitude Conference (1979 : University of Nevada, Las Vegas)</t>
  </si>
  <si>
    <t>New York, N.Y. : Elsevier/North Holland, c1981.</t>
  </si>
  <si>
    <t>1994-10-24</t>
  </si>
  <si>
    <t>25856181:eng</t>
  </si>
  <si>
    <t>7168697</t>
  </si>
  <si>
    <t>991005079119702656</t>
  </si>
  <si>
    <t>2270056230002656</t>
  </si>
  <si>
    <t>9780444005830</t>
  </si>
  <si>
    <t>32285001056521</t>
  </si>
  <si>
    <t>893694725</t>
  </si>
  <si>
    <t>QP82 .L668 1993</t>
  </si>
  <si>
    <t>0                      QP 0082000L  668         1993</t>
  </si>
  <si>
    <t>Physiological animal ecology / Gideon N. Louw.</t>
  </si>
  <si>
    <t>Louw, Gideon, 1930-</t>
  </si>
  <si>
    <t>Harlow, Essex, England : Longman Scientific &amp; Technical ; New York, NY : Co-published in the U.S. with J. Wiley, 1993.</t>
  </si>
  <si>
    <t>1994-01-05</t>
  </si>
  <si>
    <t>26266015:eng</t>
  </si>
  <si>
    <t>25051451</t>
  </si>
  <si>
    <t>991001977019702656</t>
  </si>
  <si>
    <t>2268890930002656</t>
  </si>
  <si>
    <t>9780470218662</t>
  </si>
  <si>
    <t>32285001819555</t>
  </si>
  <si>
    <t>893872953</t>
  </si>
  <si>
    <t>QP82 .S52 1986</t>
  </si>
  <si>
    <t>0                      QP 0082000S  52          1986</t>
  </si>
  <si>
    <t>Physiological ecology of animals : an evolutionary approach / R.M. Sibly, P. Calow.</t>
  </si>
  <si>
    <t>Sibly, R. M.</t>
  </si>
  <si>
    <t>Oxford : Blackwell Scientific, c1986.</t>
  </si>
  <si>
    <t>890320043:eng</t>
  </si>
  <si>
    <t>20018659</t>
  </si>
  <si>
    <t>991000775899702656</t>
  </si>
  <si>
    <t>2257009650002656</t>
  </si>
  <si>
    <t>9780632014958</t>
  </si>
  <si>
    <t>32285001549145</t>
  </si>
  <si>
    <t>893614491</t>
  </si>
  <si>
    <t>QP82 .S56</t>
  </si>
  <si>
    <t>0                      QP 0082000S  56</t>
  </si>
  <si>
    <t>Environmental physiology / edited by N. Balfour Slonim. With twenty-two contributors.</t>
  </si>
  <si>
    <t>Slonim, N. Balfour, 1923-</t>
  </si>
  <si>
    <t>Saint Louis : C. V. Mosby Co., 1974.</t>
  </si>
  <si>
    <t>1993-08-31</t>
  </si>
  <si>
    <t>1675798:eng</t>
  </si>
  <si>
    <t>714409</t>
  </si>
  <si>
    <t>991003189209702656</t>
  </si>
  <si>
    <t>2256113550002656</t>
  </si>
  <si>
    <t>9780801646591</t>
  </si>
  <si>
    <t>32285001762854</t>
  </si>
  <si>
    <t>893416135</t>
  </si>
  <si>
    <t>QP82.2 .R3 A57 V.2</t>
  </si>
  <si>
    <t>0                      QP 0082200R  3                  A  57                                V.2</t>
  </si>
  <si>
    <t>Radiation biochemistry / by Kurt I. Altman, Georg B. Gerber [and] Shigefumi Okada.</t>
  </si>
  <si>
    <t>Altman, Kurt I.</t>
  </si>
  <si>
    <t>New York : Academic Press, 1970.</t>
  </si>
  <si>
    <t>1995-03-17</t>
  </si>
  <si>
    <t>4820478352:eng</t>
  </si>
  <si>
    <t>75885</t>
  </si>
  <si>
    <t>991000431699702656</t>
  </si>
  <si>
    <t>2255781710002656</t>
  </si>
  <si>
    <t>9780120545018</t>
  </si>
  <si>
    <t>32285002020468</t>
  </si>
  <si>
    <t>893878022</t>
  </si>
  <si>
    <t>QP82.2.A3 A38 1982</t>
  </si>
  <si>
    <t>0                      QP 0082200A  3                  A  38          1982</t>
  </si>
  <si>
    <t>Air pollution--physiological effects / edited by James J. McGrath, Charles D. Barnes.</t>
  </si>
  <si>
    <t>Research topics in physiology</t>
  </si>
  <si>
    <t>355949888:eng</t>
  </si>
  <si>
    <t>8346272</t>
  </si>
  <si>
    <t>991005233229702656</t>
  </si>
  <si>
    <t>2263308190002656</t>
  </si>
  <si>
    <t>9780124838802</t>
  </si>
  <si>
    <t>32285001549152</t>
  </si>
  <si>
    <t>893350949</t>
  </si>
  <si>
    <t>QP82.2.A4 B68 1985</t>
  </si>
  <si>
    <t>0                      QP 0082200A  4                  B  68          1985</t>
  </si>
  <si>
    <t>Adaptation to altitude-hypoxia in vertebrates / Pierre Bouverot.</t>
  </si>
  <si>
    <t>Bouverot, Pierre, 1924-</t>
  </si>
  <si>
    <t>Berlin ; New York : Springer-Verlag, 1985.</t>
  </si>
  <si>
    <t>Zoophysiology ; v. 16</t>
  </si>
  <si>
    <t>2003-12-11</t>
  </si>
  <si>
    <t>355675808:eng</t>
  </si>
  <si>
    <t>11090112</t>
  </si>
  <si>
    <t>991000487919702656</t>
  </si>
  <si>
    <t>2269234430002656</t>
  </si>
  <si>
    <t>9780387136028</t>
  </si>
  <si>
    <t>32285001596740</t>
  </si>
  <si>
    <t>893689733</t>
  </si>
  <si>
    <t>QP82.2.A4 H517 1984</t>
  </si>
  <si>
    <t>0                      QP 0082200A  4                  H  517         1984</t>
  </si>
  <si>
    <t>High altitude and man / edited by John B. West, Sukhamay Lahiri.</t>
  </si>
  <si>
    <t>Bethesda, Md. : American Physiological Society ; Baltimore : Distributed by Williams &amp; Wilkins Co., 1984.</t>
  </si>
  <si>
    <t>428747002:eng</t>
  </si>
  <si>
    <t>10532902</t>
  </si>
  <si>
    <t>991000388679702656</t>
  </si>
  <si>
    <t>2267346830002656</t>
  </si>
  <si>
    <t>9780683089455</t>
  </si>
  <si>
    <t>32285001596732</t>
  </si>
  <si>
    <t>893802725</t>
  </si>
  <si>
    <t>QP82.2.A4 H52 1981</t>
  </si>
  <si>
    <t>0                      QP 0082200A  4                  H  52          1981</t>
  </si>
  <si>
    <t>High altitude physiology / edited by John B. West.</t>
  </si>
  <si>
    <t>Stroudsburg, Pa. : Hutchinson Ross ; [New York] : Distributed by Academic Press, c1981.</t>
  </si>
  <si>
    <t>Benchmark papers in human physiology ; 15</t>
  </si>
  <si>
    <t>3857822111:eng</t>
  </si>
  <si>
    <t>7652953</t>
  </si>
  <si>
    <t>991005143999702656</t>
  </si>
  <si>
    <t>2259206320002656</t>
  </si>
  <si>
    <t>9780879333881</t>
  </si>
  <si>
    <t>32285001549160</t>
  </si>
  <si>
    <t>893242280</t>
  </si>
  <si>
    <t>QP82.2.C5 R67</t>
  </si>
  <si>
    <t>0                      QP 0082200C  5                  R  67</t>
  </si>
  <si>
    <t>Weathering : how the atmosphere conditions your body, your mind, your moods--and your health / by Stephen Rosen.</t>
  </si>
  <si>
    <t>Rosen, Stephen, 1934-</t>
  </si>
  <si>
    <t>New York : M. Evans, c1979.</t>
  </si>
  <si>
    <t>1999-03-03</t>
  </si>
  <si>
    <t>14795031:eng</t>
  </si>
  <si>
    <t>4505306</t>
  </si>
  <si>
    <t>991004667379702656</t>
  </si>
  <si>
    <t>2264323270002656</t>
  </si>
  <si>
    <t>9780871312679</t>
  </si>
  <si>
    <t>32285000979616</t>
  </si>
  <si>
    <t>893229679</t>
  </si>
  <si>
    <t>QP82.2.C6 A55 1989</t>
  </si>
  <si>
    <t>0                      QP 0082200C  6                  A  55          1989</t>
  </si>
  <si>
    <t>Animal adaptation to cold / editor, Lawrence C.H. Wang ; with contributions by J.A. Boulant ... [et al.].</t>
  </si>
  <si>
    <t>Advances in comparative and environmental physiology ; 4</t>
  </si>
  <si>
    <t>1994-06-13</t>
  </si>
  <si>
    <t>1990-07-19</t>
  </si>
  <si>
    <t>21486548:eng</t>
  </si>
  <si>
    <t>19723177</t>
  </si>
  <si>
    <t>991001491099702656</t>
  </si>
  <si>
    <t>2258611970002656</t>
  </si>
  <si>
    <t>9780387503011</t>
  </si>
  <si>
    <t>32285000209808</t>
  </si>
  <si>
    <t>893772625</t>
  </si>
  <si>
    <t>QP82.2.C6 L54 1993</t>
  </si>
  <si>
    <t>0                      QP 0082200C  6                  L  54          1993</t>
  </si>
  <si>
    <t>Life in the cold : ecological, physiological, and molecular mechanisms / edited by Cynthia Carey ... [et al.].</t>
  </si>
  <si>
    <t>Boulder : Westview Press, 1993.</t>
  </si>
  <si>
    <t>2004-12-16</t>
  </si>
  <si>
    <t>996751726:eng</t>
  </si>
  <si>
    <t>28339126</t>
  </si>
  <si>
    <t>991002203549702656</t>
  </si>
  <si>
    <t>2257463610002656</t>
  </si>
  <si>
    <t>9780813386454</t>
  </si>
  <si>
    <t>32285001921633</t>
  </si>
  <si>
    <t>893445020</t>
  </si>
  <si>
    <t>QP82.2.E43 B43 1990</t>
  </si>
  <si>
    <t>0                      QP 0082200E  43                 B  43          1990</t>
  </si>
  <si>
    <t>Cross currents : the promise of electromedicine, the perils of electropollution / Robert O. Becker.</t>
  </si>
  <si>
    <t>Becker, Robert O.</t>
  </si>
  <si>
    <t>Los Angeles : J.P. Tarcher ; New York : Distributed by St. Martin's Press, c1990.</t>
  </si>
  <si>
    <t>2010-05-24</t>
  </si>
  <si>
    <t>1991-02-22</t>
  </si>
  <si>
    <t>819789722:eng</t>
  </si>
  <si>
    <t>19849940</t>
  </si>
  <si>
    <t>991001508209702656</t>
  </si>
  <si>
    <t>2266407700002656</t>
  </si>
  <si>
    <t>9780874775365</t>
  </si>
  <si>
    <t>32285000490788</t>
  </si>
  <si>
    <t>893346564</t>
  </si>
  <si>
    <t>QP82.2.E43 C73 1986</t>
  </si>
  <si>
    <t>0                      QP 0082200E  43                 C  73          1986</t>
  </si>
  <si>
    <t>CRC handbook of biological effects of electromagnetic fields / editors, Charles Polk and Elliot Postow.</t>
  </si>
  <si>
    <t>2002-04-11</t>
  </si>
  <si>
    <t>355829872:eng</t>
  </si>
  <si>
    <t>12081061</t>
  </si>
  <si>
    <t>991000635859702656</t>
  </si>
  <si>
    <t>2266251440002656</t>
  </si>
  <si>
    <t>9780849332654</t>
  </si>
  <si>
    <t>32285001549335</t>
  </si>
  <si>
    <t>893802953</t>
  </si>
  <si>
    <t>QP82.2.E43 H36 1978</t>
  </si>
  <si>
    <t>0                      QP 0082200E  43                 H  36          1978</t>
  </si>
  <si>
    <t>Biological effects of extremely low frequency electromagnetic fields : proceedings of the eighteenth annual Hanford Life Sciences Symposium at Richland, Washington, October 16-18, 1978 / sponsored by Office of Health and Environmental Research, Assistant Secretary for Environment, U.S. Dept. of Energy and Pacific Northwest Laboratories, Battelle Memorial Institute, in cooperation with Electric Power Research Institute ; editors, Richard D. Phillips ... [et al.].</t>
  </si>
  <si>
    <t>Hanford Life Sciences Symposium (18th : 1978 : Richland, Wash.)</t>
  </si>
  <si>
    <t>[Oak Ridge, TN] : Technical Information Center, U.S. Dept. of Energy, 1979.</t>
  </si>
  <si>
    <t>tnu</t>
  </si>
  <si>
    <t>DOE symposium series ; 50</t>
  </si>
  <si>
    <t>1992-05-11</t>
  </si>
  <si>
    <t>2277486417:eng</t>
  </si>
  <si>
    <t>5474185</t>
  </si>
  <si>
    <t>991004838439702656</t>
  </si>
  <si>
    <t>2268773980002656</t>
  </si>
  <si>
    <t>9780870791185</t>
  </si>
  <si>
    <t>32285001107258</t>
  </si>
  <si>
    <t>893507285</t>
  </si>
  <si>
    <t>QP82.2.H4 D55 1985</t>
  </si>
  <si>
    <t>0                      QP 0082200H  4                  D  55          1985</t>
  </si>
  <si>
    <t>The hot life of man and beast / D.B. Dill ; with a foreword by Charles G. Wilber.</t>
  </si>
  <si>
    <t>Dill, David Bruce, 1891-</t>
  </si>
  <si>
    <t>Springfield, Ill. : Thomas, c1985.</t>
  </si>
  <si>
    <t>American lecture series ; publication no. 1065</t>
  </si>
  <si>
    <t>1994-10-28</t>
  </si>
  <si>
    <t>4239239:eng</t>
  </si>
  <si>
    <t>11496601</t>
  </si>
  <si>
    <t>991000542229702656</t>
  </si>
  <si>
    <t>2260692440002656</t>
  </si>
  <si>
    <t>9780398051068</t>
  </si>
  <si>
    <t>32285001541803</t>
  </si>
  <si>
    <t>893808736</t>
  </si>
  <si>
    <t>QP82.2.M3 B56 1978</t>
  </si>
  <si>
    <t>0                      QP 0082200M  3                  B  56          1978</t>
  </si>
  <si>
    <t>Magnetic field effect on biological systems : based on the Proceedings of the Biomagnetic Effects Workshop held at Lawrence Berkeley Laboratory, University of California, on April 6-7, 1978 / Tom S. Tenforde, editor.</t>
  </si>
  <si>
    <t>Biomagnetic Effects Workshop (1978 : University of California, Berkeley)</t>
  </si>
  <si>
    <t>496869035:eng</t>
  </si>
  <si>
    <t>5353070</t>
  </si>
  <si>
    <t>991004824889702656</t>
  </si>
  <si>
    <t>2259516890002656</t>
  </si>
  <si>
    <t>9780306403125</t>
  </si>
  <si>
    <t>32285001549350</t>
  </si>
  <si>
    <t>893688206</t>
  </si>
  <si>
    <t>QP82.2.M3 D37</t>
  </si>
  <si>
    <t>0                      QP 0082200M  3                  D  37</t>
  </si>
  <si>
    <t>Magnetism and its effects on the living system / by Albert Roy Davis and Walter C. Rawls, Jr.</t>
  </si>
  <si>
    <t>Davis, Albert Roy.</t>
  </si>
  <si>
    <t>Hicksville, N.Y. : Exposition Press, [1974]</t>
  </si>
  <si>
    <t>An Exposition-university book</t>
  </si>
  <si>
    <t>2014263:eng</t>
  </si>
  <si>
    <t>1118171</t>
  </si>
  <si>
    <t>991003549789702656</t>
  </si>
  <si>
    <t>2256944670002656</t>
  </si>
  <si>
    <t>9780682480871</t>
  </si>
  <si>
    <t>32285001063436</t>
  </si>
  <si>
    <t>893416504</t>
  </si>
  <si>
    <t>QP82.2.M3 S53</t>
  </si>
  <si>
    <t>0                      QP 0082200M  3                  S  53</t>
  </si>
  <si>
    <t>Biological effects of electric and magnetic fields of extremely low frequency / Asher R. Sheppard, Merril Eisenbud.</t>
  </si>
  <si>
    <t>Sheppard, Asher R.</t>
  </si>
  <si>
    <t>New York : New York University Press, 1977.</t>
  </si>
  <si>
    <t>1997-11-17</t>
  </si>
  <si>
    <t>7112337:eng</t>
  </si>
  <si>
    <t>3016601</t>
  </si>
  <si>
    <t>991004319219702656</t>
  </si>
  <si>
    <t>2271401240002656</t>
  </si>
  <si>
    <t>9780814725627</t>
  </si>
  <si>
    <t>32285001063428</t>
  </si>
  <si>
    <t>893429919</t>
  </si>
  <si>
    <t>QP82.2.N6 L63 1986</t>
  </si>
  <si>
    <t>0                      QP 0082200N  6                  L  63          1986</t>
  </si>
  <si>
    <t>Noise and human efficiency / by Michael Loeb.</t>
  </si>
  <si>
    <t>Loeb, Michel.</t>
  </si>
  <si>
    <t>Chichester [W. Sussex] ; New York : Wiley, c1986.</t>
  </si>
  <si>
    <t>Wiley series on studies in human performance</t>
  </si>
  <si>
    <t>2003-09-30</t>
  </si>
  <si>
    <t>4930486:eng</t>
  </si>
  <si>
    <t>12311995</t>
  </si>
  <si>
    <t>991000668599702656</t>
  </si>
  <si>
    <t>2271899890002656</t>
  </si>
  <si>
    <t>9780471102878</t>
  </si>
  <si>
    <t>32285001549368</t>
  </si>
  <si>
    <t>893871878</t>
  </si>
  <si>
    <t>QP82.2.N6 P47</t>
  </si>
  <si>
    <t>0                      QP 0082200N  6                  P  47</t>
  </si>
  <si>
    <t>Physiological effects of noise / edited by Bruce L. Welch and Annemarie S. Welch.</t>
  </si>
  <si>
    <t>New York : Plenum Press, 1970.</t>
  </si>
  <si>
    <t>1998-03-31</t>
  </si>
  <si>
    <t>1990-03-07</t>
  </si>
  <si>
    <t>3855349601:eng</t>
  </si>
  <si>
    <t>116510</t>
  </si>
  <si>
    <t>991000658339702656</t>
  </si>
  <si>
    <t>2260500740002656</t>
  </si>
  <si>
    <t>9780306305030</t>
  </si>
  <si>
    <t>32285000080555</t>
  </si>
  <si>
    <t>893778117</t>
  </si>
  <si>
    <t>QP82.2.N6 S95 1977</t>
  </si>
  <si>
    <t>0                      QP 0082200N  6                  S  95          1977</t>
  </si>
  <si>
    <t>Effects of noise on wildlife / edited by John L. Fletcher, R. G. Busnel. --</t>
  </si>
  <si>
    <t>Symposium on the Effects of Noise on Wildlife (1977 : Madrid, Spain)</t>
  </si>
  <si>
    <t>1993-04-08</t>
  </si>
  <si>
    <t>353578935:eng</t>
  </si>
  <si>
    <t>3843380</t>
  </si>
  <si>
    <t>991004525509702656</t>
  </si>
  <si>
    <t>2266424910002656</t>
  </si>
  <si>
    <t>9780122605505</t>
  </si>
  <si>
    <t>32285001549376</t>
  </si>
  <si>
    <t>893612459</t>
  </si>
  <si>
    <t>QP82.2.P4 C67 1984</t>
  </si>
  <si>
    <t>0                      QP 0082200P  4                  C  67          1984</t>
  </si>
  <si>
    <t>The biochemical mode of action of pesticides / J.R. Corbett, K. Wright, and A.C. Baillie.</t>
  </si>
  <si>
    <t>Corbett, J. R. (John Roger), 1938-</t>
  </si>
  <si>
    <t>London ; Orlando, Fla. : Academic Press, 1984.</t>
  </si>
  <si>
    <t>1994-05-01</t>
  </si>
  <si>
    <t>1992-11-17</t>
  </si>
  <si>
    <t>1934182:eng</t>
  </si>
  <si>
    <t>10837889</t>
  </si>
  <si>
    <t>991000443089702656</t>
  </si>
  <si>
    <t>2268274450002656</t>
  </si>
  <si>
    <t>9780121878603</t>
  </si>
  <si>
    <t>32285001405587</t>
  </si>
  <si>
    <t>893777932</t>
  </si>
  <si>
    <t>QP82.2.P6 P64</t>
  </si>
  <si>
    <t>0                      QP 0082200P  6                  P  64</t>
  </si>
  <si>
    <t>Pollution and physiology of marine organisms / edited by F. John Vernberg, Winona B. Vernberg. --</t>
  </si>
  <si>
    <t>New York : Academic Press, 1974.</t>
  </si>
  <si>
    <t>2000-02-20</t>
  </si>
  <si>
    <t>1992-12-18</t>
  </si>
  <si>
    <t>603776725:eng</t>
  </si>
  <si>
    <t>1104341</t>
  </si>
  <si>
    <t>991004389059702656</t>
  </si>
  <si>
    <t>2272392510002656</t>
  </si>
  <si>
    <t>9780127182506</t>
  </si>
  <si>
    <t>32285001444594</t>
  </si>
  <si>
    <t>893904838</t>
  </si>
  <si>
    <t>QP82.2.P7 B4</t>
  </si>
  <si>
    <t>0                      QP 0082200P  7                  B  4</t>
  </si>
  <si>
    <t>The physiology and medicine of diving and compressed air work. Edited by P. B. Bennett and D. H. Elliott.</t>
  </si>
  <si>
    <t>Bennett, Peter B.</t>
  </si>
  <si>
    <t>Baltimore, Williams &amp; Wilkins [1969]</t>
  </si>
  <si>
    <t>2003-09-18</t>
  </si>
  <si>
    <t>104062314:eng</t>
  </si>
  <si>
    <t>29156</t>
  </si>
  <si>
    <t>991000073209702656</t>
  </si>
  <si>
    <t>2266340400002656</t>
  </si>
  <si>
    <t>9780702002748</t>
  </si>
  <si>
    <t>32285003012100</t>
  </si>
  <si>
    <t>893607592</t>
  </si>
  <si>
    <t>QP82.2.R3 A57</t>
  </si>
  <si>
    <t>0                      QP 0082200R  3                  A  57</t>
  </si>
  <si>
    <t>32285001967511</t>
  </si>
  <si>
    <t>893903001</t>
  </si>
  <si>
    <t>QP82.2.R3 T3 1986</t>
  </si>
  <si>
    <t>0                      QP 0082200R  3                  T  3           1986</t>
  </si>
  <si>
    <t>The quality factor in radiation protection : report of a joint task group of the ICRP and the ICRU to the ICRP and the ICRU.</t>
  </si>
  <si>
    <t>Task Group on Radiation Protection Quantities.</t>
  </si>
  <si>
    <t>Bethesda, Md., U.S.A. : International Commission on Radiation Units and Measurements, [1986]</t>
  </si>
  <si>
    <t>ICRU report ; 40</t>
  </si>
  <si>
    <t>793767438:eng</t>
  </si>
  <si>
    <t>13184417</t>
  </si>
  <si>
    <t>991000794549702656</t>
  </si>
  <si>
    <t>2254893040002656</t>
  </si>
  <si>
    <t>9780913394342</t>
  </si>
  <si>
    <t>32285001760601</t>
  </si>
  <si>
    <t>893683754</t>
  </si>
  <si>
    <t>QP82.2.S8 A33 1987</t>
  </si>
  <si>
    <t>0                      QP 0082200S  8                  A  33          1987</t>
  </si>
  <si>
    <t>Adaptive physiology to stressful environments / editors, Shlomo Samueloff, Mohamed K. Yousef.</t>
  </si>
  <si>
    <t>356173343:eng</t>
  </si>
  <si>
    <t>16276043</t>
  </si>
  <si>
    <t>991001096729702656</t>
  </si>
  <si>
    <t>2262279830002656</t>
  </si>
  <si>
    <t>9780849364587</t>
  </si>
  <si>
    <t>32285001549392</t>
  </si>
  <si>
    <t>893872273</t>
  </si>
  <si>
    <t>QP82.2.S8 G65 1995</t>
  </si>
  <si>
    <t>0                      QP 0082200S  8                  G  65          1995</t>
  </si>
  <si>
    <t>Stress, catecholamines, and cardiovascular disease / David S. Goldstein.</t>
  </si>
  <si>
    <t>Goldstein, David S., 1948-</t>
  </si>
  <si>
    <t>New York : Oxford University Press, 1995.</t>
  </si>
  <si>
    <t>32669157:eng</t>
  </si>
  <si>
    <t>30623935</t>
  </si>
  <si>
    <t>991002351569702656</t>
  </si>
  <si>
    <t>2260644380002656</t>
  </si>
  <si>
    <t>9780195065381</t>
  </si>
  <si>
    <t>32285002186871</t>
  </si>
  <si>
    <t>893322828</t>
  </si>
  <si>
    <t>QP82.2.S8 M38 2002</t>
  </si>
  <si>
    <t>0                      QP 0082200S  8                  M  38          2002</t>
  </si>
  <si>
    <t>The end of stress as we know it / Bruce S. McEwen, with Elizabeth Norton Lasley.</t>
  </si>
  <si>
    <t>Washington, D.C. : Joseph Henry Press, c2002.</t>
  </si>
  <si>
    <t>2006-10-08</t>
  </si>
  <si>
    <t>1065044:eng</t>
  </si>
  <si>
    <t>49639058</t>
  </si>
  <si>
    <t>991003967509702656</t>
  </si>
  <si>
    <t>2266708300002656</t>
  </si>
  <si>
    <t>9780309076401</t>
  </si>
  <si>
    <t>32285004697578</t>
  </si>
  <si>
    <t>893593116</t>
  </si>
  <si>
    <t>QP82.2.S8 S44</t>
  </si>
  <si>
    <t>0                      QP 0082200S  8                  S  44</t>
  </si>
  <si>
    <t>The stress of life / Hans Selye.</t>
  </si>
  <si>
    <t>New York : McGraw-Hill, [1956]</t>
  </si>
  <si>
    <t>1956</t>
  </si>
  <si>
    <t>2010-05-10</t>
  </si>
  <si>
    <t>406399:eng</t>
  </si>
  <si>
    <t>525839</t>
  </si>
  <si>
    <t>991001788349702656</t>
  </si>
  <si>
    <t>2262401520002656</t>
  </si>
  <si>
    <t>32285000943034</t>
  </si>
  <si>
    <t>893621625</t>
  </si>
  <si>
    <t>QP82.2.S8 S44 1976</t>
  </si>
  <si>
    <t>0                      QP 0082200S  8                  S  44          1976</t>
  </si>
  <si>
    <t>The stress of life / by Hans Selye.</t>
  </si>
  <si>
    <t>New York : McGraw-Hill, c1976.</t>
  </si>
  <si>
    <t>1992-01-06</t>
  </si>
  <si>
    <t>2101821</t>
  </si>
  <si>
    <t>991004014319702656</t>
  </si>
  <si>
    <t>2272019030002656</t>
  </si>
  <si>
    <t>9780070562080</t>
  </si>
  <si>
    <t>32285000883271</t>
  </si>
  <si>
    <t>893435762</t>
  </si>
  <si>
    <t>QP82.2.S8 S46</t>
  </si>
  <si>
    <t>0                      QP 0082200S  8                  S  46</t>
  </si>
  <si>
    <t>Selye's guide to stress research / edited by Hans Selye.</t>
  </si>
  <si>
    <t>New York : Van Nostrand Reinhold, 1979.</t>
  </si>
  <si>
    <t>1997-08-10</t>
  </si>
  <si>
    <t>351306000:eng</t>
  </si>
  <si>
    <t>5264478</t>
  </si>
  <si>
    <t>991005253029702656</t>
  </si>
  <si>
    <t>2259062960002656</t>
  </si>
  <si>
    <t>9780442274832</t>
  </si>
  <si>
    <t>32285001549434</t>
  </si>
  <si>
    <t>893619695</t>
  </si>
  <si>
    <t>1997-04-09</t>
  </si>
  <si>
    <t>32285001549418</t>
  </si>
  <si>
    <t>893594724</t>
  </si>
  <si>
    <t>32285001549426</t>
  </si>
  <si>
    <t>893613395</t>
  </si>
  <si>
    <t>QP82.2.T4 T45</t>
  </si>
  <si>
    <t>0                      QP 0082200T  4                  T  45</t>
  </si>
  <si>
    <t>Temperature and life / [edited] by H. Precht [and others] with contributions by K. Brück [and others.</t>
  </si>
  <si>
    <t>Berlin ; New York : Springer-Verlag, 1973.</t>
  </si>
  <si>
    <t>Rev. ed.]</t>
  </si>
  <si>
    <t>1992-08-13</t>
  </si>
  <si>
    <t>480736219:eng</t>
  </si>
  <si>
    <t>852284</t>
  </si>
  <si>
    <t>991003323509702656</t>
  </si>
  <si>
    <t>2266405470002656</t>
  </si>
  <si>
    <t>9780387064413</t>
  </si>
  <si>
    <t>32285001243749</t>
  </si>
  <si>
    <t>893505473</t>
  </si>
  <si>
    <t>QP82.2.U4 U8 1993</t>
  </si>
  <si>
    <t>0                      QP 0082200U  4                  U  8           1993</t>
  </si>
  <si>
    <t>UV-B radiation and ozone depletion : effects on humans, animals, plants, microorganisms, and materials / edited by Manfred Tevini.</t>
  </si>
  <si>
    <t>Boca Raton : Lewis Publishers, c1993.</t>
  </si>
  <si>
    <t>2006-02-07</t>
  </si>
  <si>
    <t>908376776:eng</t>
  </si>
  <si>
    <t>27014125</t>
  </si>
  <si>
    <t>991002106929702656</t>
  </si>
  <si>
    <t>2257983470002656</t>
  </si>
  <si>
    <t>9780873719117</t>
  </si>
  <si>
    <t>32285001859890</t>
  </si>
  <si>
    <t>893866814</t>
  </si>
  <si>
    <t>QP82.L5 H86 1990</t>
  </si>
  <si>
    <t>0                      QP 0082000L  5                  H  86          1990</t>
  </si>
  <si>
    <t>The light book : how natural and artificial light affect our health, mood, and behavior / Jane Wegscheider Hyman.</t>
  </si>
  <si>
    <t>Hyman, Jane Wegscheider.</t>
  </si>
  <si>
    <t>Los Angeles : J.P. Tarcher, Inc., 1990.</t>
  </si>
  <si>
    <t>2006-11-28</t>
  </si>
  <si>
    <t>1020763305:eng</t>
  </si>
  <si>
    <t>20796749</t>
  </si>
  <si>
    <t>991001616599702656</t>
  </si>
  <si>
    <t>2259993280002656</t>
  </si>
  <si>
    <t>9780874775594</t>
  </si>
  <si>
    <t>32285000358084</t>
  </si>
  <si>
    <t>893340546</t>
  </si>
  <si>
    <t>QP84 .C53</t>
  </si>
  <si>
    <t>0                      QP 0084000C  53</t>
  </si>
  <si>
    <t>Rhythmic activity in animal physiology and behaviour / J.L. Cloudsley-Thompson.</t>
  </si>
  <si>
    <t>Cloudsley-Thompson, J. L.</t>
  </si>
  <si>
    <t>New York : Academic Press, 1961.</t>
  </si>
  <si>
    <t>Theoretical and experimental biology ; v. 1</t>
  </si>
  <si>
    <t>2003-12-02</t>
  </si>
  <si>
    <t>159371724:eng</t>
  </si>
  <si>
    <t>565753</t>
  </si>
  <si>
    <t>991002997239702656</t>
  </si>
  <si>
    <t>2258942440002656</t>
  </si>
  <si>
    <t>32285003658316</t>
  </si>
  <si>
    <t>893867972</t>
  </si>
  <si>
    <t>QP84 .C65</t>
  </si>
  <si>
    <t>0                      QP 0084000C  65</t>
  </si>
  <si>
    <t>Human circadian rhythms / [by] R. T. W. L. Conroy and J. N. Mills.</t>
  </si>
  <si>
    <t>Conroy, R. T. W. L. (Richard Thomas Walter Lawrence)</t>
  </si>
  <si>
    <t>2007-02-20</t>
  </si>
  <si>
    <t>1994-05-10</t>
  </si>
  <si>
    <t>1288226:eng</t>
  </si>
  <si>
    <t>136891</t>
  </si>
  <si>
    <t>991000795639702656</t>
  </si>
  <si>
    <t>2264019320002656</t>
  </si>
  <si>
    <t>9780700014583</t>
  </si>
  <si>
    <t>32285001909489</t>
  </si>
  <si>
    <t>893702443</t>
  </si>
  <si>
    <t>QP84 .H35 2006</t>
  </si>
  <si>
    <t>0                      QP 0084000H  35          2006</t>
  </si>
  <si>
    <t>Size matters : how height affects the health, happiness, and success of boys--and the men they become / Stephen S. Hall.</t>
  </si>
  <si>
    <t>Hall, Stephen S.</t>
  </si>
  <si>
    <t>Boston : Houghton Mifflin Co., 2006.</t>
  </si>
  <si>
    <t>2008-12-22</t>
  </si>
  <si>
    <t>2008-05-14</t>
  </si>
  <si>
    <t>48462780:eng</t>
  </si>
  <si>
    <t>64510711</t>
  </si>
  <si>
    <t>991005212109702656</t>
  </si>
  <si>
    <t>2256060550002656</t>
  </si>
  <si>
    <t>9780618470402</t>
  </si>
  <si>
    <t>32285005407779</t>
  </si>
  <si>
    <t>893896065</t>
  </si>
  <si>
    <t>QP84 .H76</t>
  </si>
  <si>
    <t>0                      QP 0084000H  76</t>
  </si>
  <si>
    <t>Human growth / edited by Frank Falkner and J. M. Tanner.</t>
  </si>
  <si>
    <t>New York : Plenum Press, c1978-</t>
  </si>
  <si>
    <t>1994-09-13</t>
  </si>
  <si>
    <t>1992-11-10</t>
  </si>
  <si>
    <t>4820408553:eng</t>
  </si>
  <si>
    <t>3649969</t>
  </si>
  <si>
    <t>991004487879702656</t>
  </si>
  <si>
    <t>2255885270002656</t>
  </si>
  <si>
    <t>9780306344619</t>
  </si>
  <si>
    <t>32285001383958</t>
  </si>
  <si>
    <t>893687792</t>
  </si>
  <si>
    <t>32285001549459</t>
  </si>
  <si>
    <t>893706484</t>
  </si>
  <si>
    <t>32285001549467</t>
  </si>
  <si>
    <t>893687793</t>
  </si>
  <si>
    <t>QP84 .R38 1989</t>
  </si>
  <si>
    <t>0                      QP 0084000R  38          1989</t>
  </si>
  <si>
    <t>The allometry of growth and reproduction / Michael J. Reiss.</t>
  </si>
  <si>
    <t>Reiss, Michael J. (Michael Jonathan), 1958-</t>
  </si>
  <si>
    <t>2006-02-22</t>
  </si>
  <si>
    <t>1990-05-02</t>
  </si>
  <si>
    <t>18396259:eng</t>
  </si>
  <si>
    <t>18949186</t>
  </si>
  <si>
    <t>991001416249702656</t>
  </si>
  <si>
    <t>2270560750002656</t>
  </si>
  <si>
    <t>9780521360913</t>
  </si>
  <si>
    <t>32285000117449</t>
  </si>
  <si>
    <t>893250237</t>
  </si>
  <si>
    <t>QP84.6 .B557 1989</t>
  </si>
  <si>
    <t>0                      QP 0084600B  557         1989</t>
  </si>
  <si>
    <t>Biological clocks and environmental time : proceedings of a symposium in honor of Prof. Dr. Jürgen Aschoff on the occasion of his 75th birthday / edited by Serge Daan and Eberhard Gwinner.</t>
  </si>
  <si>
    <t>New York : Guilford Press, c1989.</t>
  </si>
  <si>
    <t>2002-12-03</t>
  </si>
  <si>
    <t>1991-06-06</t>
  </si>
  <si>
    <t>141469956:eng</t>
  </si>
  <si>
    <t>21036775</t>
  </si>
  <si>
    <t>991005411889702656</t>
  </si>
  <si>
    <t>2256130050002656</t>
  </si>
  <si>
    <t>9780898625851</t>
  </si>
  <si>
    <t>32285000593599</t>
  </si>
  <si>
    <t>893689160</t>
  </si>
  <si>
    <t>QP84.6 .B56</t>
  </si>
  <si>
    <t>0                      QP 0084600B  56</t>
  </si>
  <si>
    <t>Biological rhythms / edited by Jürgen Aschoff.</t>
  </si>
  <si>
    <t>Handbook of behavioral neurobiology ; v. 4</t>
  </si>
  <si>
    <t>54396062:eng</t>
  </si>
  <si>
    <t>6649154</t>
  </si>
  <si>
    <t>991005020439702656</t>
  </si>
  <si>
    <t>2265956410002656</t>
  </si>
  <si>
    <t>9780306405853</t>
  </si>
  <si>
    <t>32285001065928</t>
  </si>
  <si>
    <t>893501204</t>
  </si>
  <si>
    <t>QP84.6 .B564</t>
  </si>
  <si>
    <t>0                      QP 0084600B  564</t>
  </si>
  <si>
    <t>Biological rhythms, sleep, and performance / edited by Wilse B. Webb.</t>
  </si>
  <si>
    <t>Chichester, Sussex ; New York : Wiley, 1982.</t>
  </si>
  <si>
    <t>1994-03-03</t>
  </si>
  <si>
    <t>54456982:eng</t>
  </si>
  <si>
    <t>7795289</t>
  </si>
  <si>
    <t>991005388209702656</t>
  </si>
  <si>
    <t>2267971210002656</t>
  </si>
  <si>
    <t>9780471100478</t>
  </si>
  <si>
    <t>32285001549483</t>
  </si>
  <si>
    <t>893261076</t>
  </si>
  <si>
    <t>QP84.6 .C453 2004</t>
  </si>
  <si>
    <t>0                      QP 0084600C  453         2004</t>
  </si>
  <si>
    <t>Chronobiology : biological timekeeping / edited by Jay C. Dunlap, Jennifer J. Loros, Patricia J. DeCoursey.</t>
  </si>
  <si>
    <t>Sunderland, Mass. : Sinauer Associates, c2004.</t>
  </si>
  <si>
    <t>2009-10-07</t>
  </si>
  <si>
    <t>2005-05-31</t>
  </si>
  <si>
    <t>364513777:eng</t>
  </si>
  <si>
    <t>51764526</t>
  </si>
  <si>
    <t>991004540499702656</t>
  </si>
  <si>
    <t>2271375390002656</t>
  </si>
  <si>
    <t>9780878931491</t>
  </si>
  <si>
    <t>32285005091391</t>
  </si>
  <si>
    <t>893888847</t>
  </si>
  <si>
    <t>QP84.6 .E36 1988</t>
  </si>
  <si>
    <t>0                      QP 0084600E  36          1988</t>
  </si>
  <si>
    <t>Cellular and molecular bases of biological clocks : models and mechanisms for circadian timekeeping / Leland N. Edmunds, Jr.</t>
  </si>
  <si>
    <t>Edmunds, Leland N.</t>
  </si>
  <si>
    <t>New York : Springer-Verlag, c1988.</t>
  </si>
  <si>
    <t>2000-05-09</t>
  </si>
  <si>
    <t>1992-04-27</t>
  </si>
  <si>
    <t>197113418:eng</t>
  </si>
  <si>
    <t>16226837</t>
  </si>
  <si>
    <t>991005408059702656</t>
  </si>
  <si>
    <t>2265006600002656</t>
  </si>
  <si>
    <t>9780387965598</t>
  </si>
  <si>
    <t>32285001072510</t>
  </si>
  <si>
    <t>893254955</t>
  </si>
  <si>
    <t>QP84.6 .M54</t>
  </si>
  <si>
    <t>0                      QP 0084600M  54</t>
  </si>
  <si>
    <t>Biological aspects of circadian rhythms; edited by J. N. Mills.</t>
  </si>
  <si>
    <t>Mills, J. N. (John Norton), 1914-1977.</t>
  </si>
  <si>
    <t>London, New York, Plenum Press, 1973.</t>
  </si>
  <si>
    <t>1999-11-04</t>
  </si>
  <si>
    <t>377492793:eng</t>
  </si>
  <si>
    <t>848797</t>
  </si>
  <si>
    <t>991003320989702656</t>
  </si>
  <si>
    <t>2268929400002656</t>
  </si>
  <si>
    <t>9780306305955</t>
  </si>
  <si>
    <t>32285003012217</t>
  </si>
  <si>
    <t>893227947</t>
  </si>
  <si>
    <t>QP84.6 .M66 1982</t>
  </si>
  <si>
    <t>0                      QP 0084600M  66          1982</t>
  </si>
  <si>
    <t>The clocks that time us : physiology of the circadian timing system / Martin C. Moore-Ede, Frank M. Sulzman, and Charles A. Fuller.</t>
  </si>
  <si>
    <t>Moore-Ede, Martin C.</t>
  </si>
  <si>
    <t>Cambridge, Mass. : Harvard University Press, 1982.</t>
  </si>
  <si>
    <t>290226514:eng</t>
  </si>
  <si>
    <t>7735341</t>
  </si>
  <si>
    <t>991001771569702656</t>
  </si>
  <si>
    <t>2254796850002656</t>
  </si>
  <si>
    <t>9780674135802</t>
  </si>
  <si>
    <t>32285001072528</t>
  </si>
  <si>
    <t>893779063</t>
  </si>
  <si>
    <t>QP84.6 .R534 2000</t>
  </si>
  <si>
    <t>0                      QP 0084600R  534         2000</t>
  </si>
  <si>
    <t>Circadian physiology / Roberto Refinetti.</t>
  </si>
  <si>
    <t>Refinetti, Roberto.</t>
  </si>
  <si>
    <t>Boca Raton, Fla. : CRC Press, c2000.</t>
  </si>
  <si>
    <t>2000-08-30</t>
  </si>
  <si>
    <t>2000-08-24</t>
  </si>
  <si>
    <t>927618:eng</t>
  </si>
  <si>
    <t>42683383</t>
  </si>
  <si>
    <t>991003277119702656</t>
  </si>
  <si>
    <t>2263527790002656</t>
  </si>
  <si>
    <t>9780849322990</t>
  </si>
  <si>
    <t>32285003689949</t>
  </si>
  <si>
    <t>893692556</t>
  </si>
  <si>
    <t>QP84.6 .W48</t>
  </si>
  <si>
    <t>0                      QP 0084600W  48</t>
  </si>
  <si>
    <t>The circadian system of man : results of experiments under temporal isolation / Rütger A. Wever.</t>
  </si>
  <si>
    <t>Wever, Rütger A.</t>
  </si>
  <si>
    <t>New York : Springer-Verlag, c1979.</t>
  </si>
  <si>
    <t>Topics in environmental physiology and medicine</t>
  </si>
  <si>
    <t>807056036:eng</t>
  </si>
  <si>
    <t>4498107</t>
  </si>
  <si>
    <t>991005257559702656</t>
  </si>
  <si>
    <t>2262869090002656</t>
  </si>
  <si>
    <t>32285001549517</t>
  </si>
  <si>
    <t>893230454</t>
  </si>
  <si>
    <t>QP85 .B4413 2002</t>
  </si>
  <si>
    <t>0                      QP 0085000B  4413        2002</t>
  </si>
  <si>
    <t>The dream of eternal life : biomedicine, aging, and immortality / Mark Benecke ; translated by Rachel Rubenstein.</t>
  </si>
  <si>
    <t>Benecke, Mark.</t>
  </si>
  <si>
    <t>New York : Columbia University Press, c2002.</t>
  </si>
  <si>
    <t>2004-04-05</t>
  </si>
  <si>
    <t>2002-11-18</t>
  </si>
  <si>
    <t>991662:eng</t>
  </si>
  <si>
    <t>47844385</t>
  </si>
  <si>
    <t>991003934729702656</t>
  </si>
  <si>
    <t>2260740350002656</t>
  </si>
  <si>
    <t>9780231116725</t>
  </si>
  <si>
    <t>32285004664156</t>
  </si>
  <si>
    <t>893512579</t>
  </si>
  <si>
    <t>QP85 .F47 1990</t>
  </si>
  <si>
    <t>0                      QP 0085000F  47          1990</t>
  </si>
  <si>
    <t>Longevity, senescence, and the genome / Caleb E. Finch.</t>
  </si>
  <si>
    <t>Finch, Caleb, 1939-</t>
  </si>
  <si>
    <t>Chicago : University of Chicago Press, 1990.</t>
  </si>
  <si>
    <t>The John D. and Catherine T. MacArthur Foundation series on mental health and development</t>
  </si>
  <si>
    <t>2007-09-28</t>
  </si>
  <si>
    <t>2552514:eng</t>
  </si>
  <si>
    <t>22184003</t>
  </si>
  <si>
    <t>991001752519702656</t>
  </si>
  <si>
    <t>2259331730002656</t>
  </si>
  <si>
    <t>9780226248882</t>
  </si>
  <si>
    <t>32285000702836</t>
  </si>
  <si>
    <t>893346749</t>
  </si>
  <si>
    <t>QP85 .H255 2003</t>
  </si>
  <si>
    <t>0                      QP 0085000H  255         2003</t>
  </si>
  <si>
    <t>Merchants of immortality : chasing the dream of human life extension / Stephen S. Hall.</t>
  </si>
  <si>
    <t>Boston : Houghton Mifflin, 2003.</t>
  </si>
  <si>
    <t>2004-11-08</t>
  </si>
  <si>
    <t>102048325:eng</t>
  </si>
  <si>
    <t>51171732</t>
  </si>
  <si>
    <t>991001723179702656</t>
  </si>
  <si>
    <t>2263165870002656</t>
  </si>
  <si>
    <t>9780618095247</t>
  </si>
  <si>
    <t>32285004755798</t>
  </si>
  <si>
    <t>893250422</t>
  </si>
  <si>
    <t>QP85 .S497 1993</t>
  </si>
  <si>
    <t>0                      QP 0085000S  497         1993</t>
  </si>
  <si>
    <t>Human longevity / David W.E. Smith.</t>
  </si>
  <si>
    <t>Smith, David W. E.</t>
  </si>
  <si>
    <t>New York : Oxford University Press, 1993.</t>
  </si>
  <si>
    <t>2001-12-19</t>
  </si>
  <si>
    <t>327993:eng</t>
  </si>
  <si>
    <t>27036070</t>
  </si>
  <si>
    <t>991002110189702656</t>
  </si>
  <si>
    <t>2272505450002656</t>
  </si>
  <si>
    <t>9780195083132</t>
  </si>
  <si>
    <t>32285001899524</t>
  </si>
  <si>
    <t>893523208</t>
  </si>
  <si>
    <t>QP86 .A358</t>
  </si>
  <si>
    <t>0                      QP 0086000A  358</t>
  </si>
  <si>
    <t>Aging / edited by Geraldine M. Emerson.</t>
  </si>
  <si>
    <t>Stroudsburg, Pa. : Dowden, Hutchinson &amp; Ross ; [New York] : exclusive distributor, Halsted Press, c1977.</t>
  </si>
  <si>
    <t>Benchmark papers in human physiology ; 11</t>
  </si>
  <si>
    <t>1995-10-07</t>
  </si>
  <si>
    <t>1993-09-24</t>
  </si>
  <si>
    <t>54454246:eng</t>
  </si>
  <si>
    <t>2874801</t>
  </si>
  <si>
    <t>991004269619702656</t>
  </si>
  <si>
    <t>2257523010002656</t>
  </si>
  <si>
    <t>9780879332969</t>
  </si>
  <si>
    <t>32285001549525</t>
  </si>
  <si>
    <t>893253483</t>
  </si>
  <si>
    <t>QP86 .A359</t>
  </si>
  <si>
    <t>0                      QP 0086000A  359</t>
  </si>
  <si>
    <t>Aging and biological rhythms / edited by Harvey V. Samis, Jr., and Salvatore Capobianco.</t>
  </si>
  <si>
    <t>Advances in experimental medicine and biology ; v. 108</t>
  </si>
  <si>
    <t>2000-03-18</t>
  </si>
  <si>
    <t>510117707:eng</t>
  </si>
  <si>
    <t>4004808</t>
  </si>
  <si>
    <t>991005371969702656</t>
  </si>
  <si>
    <t>2265027700002656</t>
  </si>
  <si>
    <t>9780306400315</t>
  </si>
  <si>
    <t>32285001549533</t>
  </si>
  <si>
    <t>893890127</t>
  </si>
  <si>
    <t>QP86 .A35918 1985</t>
  </si>
  <si>
    <t>0                      QP 0086000A  35918       1985</t>
  </si>
  <si>
    <t>Aging and human performance / edited by Neil Charness.</t>
  </si>
  <si>
    <t>Chichester ; New York : Wiley, c1985.</t>
  </si>
  <si>
    <t>1997-10-09</t>
  </si>
  <si>
    <t>1995-10-11</t>
  </si>
  <si>
    <t>54694378:eng</t>
  </si>
  <si>
    <t>11676806</t>
  </si>
  <si>
    <t>991000574769702656</t>
  </si>
  <si>
    <t>2256704910002656</t>
  </si>
  <si>
    <t>9780471900689</t>
  </si>
  <si>
    <t>32285001549541</t>
  </si>
  <si>
    <t>893528172</t>
  </si>
  <si>
    <t>QP86 .A38 1982</t>
  </si>
  <si>
    <t>0                      QP 0086000A  38          1982</t>
  </si>
  <si>
    <t>Later life / Lewis R. Aiken.</t>
  </si>
  <si>
    <t>Aiken, Lewis R., 1931-</t>
  </si>
  <si>
    <t>3856019677:eng</t>
  </si>
  <si>
    <t>7672061</t>
  </si>
  <si>
    <t>991005147059702656</t>
  </si>
  <si>
    <t>2272514010002656</t>
  </si>
  <si>
    <t>9780030597510</t>
  </si>
  <si>
    <t>32285002064383</t>
  </si>
  <si>
    <t>893594549</t>
  </si>
  <si>
    <t>QP86 .A97 1997</t>
  </si>
  <si>
    <t>0                      QP 0086000A  97          1997</t>
  </si>
  <si>
    <t>Why we age : what science is discovering about the body's journey through life / Steven N. Austad.</t>
  </si>
  <si>
    <t>Austad, Steven N., 1946-</t>
  </si>
  <si>
    <t>New York : J. Wiley &amp; Sons, c1997.</t>
  </si>
  <si>
    <t>2007-04-04</t>
  </si>
  <si>
    <t>1998-03-03</t>
  </si>
  <si>
    <t>548419:eng</t>
  </si>
  <si>
    <t>36283982</t>
  </si>
  <si>
    <t>991002764979702656</t>
  </si>
  <si>
    <t>2272532760002656</t>
  </si>
  <si>
    <t>9780471148036</t>
  </si>
  <si>
    <t>32285003356333</t>
  </si>
  <si>
    <t>893603999</t>
  </si>
  <si>
    <t>QP86 .B34 1991</t>
  </si>
  <si>
    <t>0                      QP 0086000B  34          1991</t>
  </si>
  <si>
    <t>Aging, sex, and DNA repair / Carol Bernstein, Harris Bernstein.</t>
  </si>
  <si>
    <t>Bernstein, Carol, 1941-</t>
  </si>
  <si>
    <t>San Diego : Academic Press, 1991.</t>
  </si>
  <si>
    <t>1991-08-19</t>
  </si>
  <si>
    <t>24588837:eng</t>
  </si>
  <si>
    <t>22542921</t>
  </si>
  <si>
    <t>991001790429702656</t>
  </si>
  <si>
    <t>2266633040002656</t>
  </si>
  <si>
    <t>9780120928606</t>
  </si>
  <si>
    <t>32285000701085</t>
  </si>
  <si>
    <t>893785395</t>
  </si>
  <si>
    <t>QP86 .B516 1994</t>
  </si>
  <si>
    <t>0                      QP 0086000B  516         1994</t>
  </si>
  <si>
    <t>Biological anthropology and aging : perspectives on human variation over the life span / edited by Douglas E. Crews, Ralph M. Garruto.</t>
  </si>
  <si>
    <t>2000-08-09</t>
  </si>
  <si>
    <t>836761115:eng</t>
  </si>
  <si>
    <t>28180779</t>
  </si>
  <si>
    <t>991002189239702656</t>
  </si>
  <si>
    <t>2271628620002656</t>
  </si>
  <si>
    <t>9780195068290</t>
  </si>
  <si>
    <t>32285001898450</t>
  </si>
  <si>
    <t>893804327</t>
  </si>
  <si>
    <t>QP86 .B518</t>
  </si>
  <si>
    <t>0                      QP 0086000B  518</t>
  </si>
  <si>
    <t>The Biology of aging / edited by John A. Behnke, Caleb E. Finch, and Gairdner B. Moment.</t>
  </si>
  <si>
    <t>2007-10-24</t>
  </si>
  <si>
    <t>354069620:eng</t>
  </si>
  <si>
    <t>4004639</t>
  </si>
  <si>
    <t>991004566579702656</t>
  </si>
  <si>
    <t>2264864160002656</t>
  </si>
  <si>
    <t>32285001549558</t>
  </si>
  <si>
    <t>893801103</t>
  </si>
  <si>
    <t>QP86 .B83</t>
  </si>
  <si>
    <t>0                      QP 0086000B  83</t>
  </si>
  <si>
    <t>Animals, aging, and the aged / Leo K. Bustad.</t>
  </si>
  <si>
    <t>Bustad, Leo K.</t>
  </si>
  <si>
    <t>Minneapolis : University of Minnesota Press, 1980.</t>
  </si>
  <si>
    <t>The Wesley W. Spink lectures on comparative medicine ; v. 5</t>
  </si>
  <si>
    <t>2007-10-01</t>
  </si>
  <si>
    <t>1991-12-06</t>
  </si>
  <si>
    <t>23867313:eng</t>
  </si>
  <si>
    <t>6813198</t>
  </si>
  <si>
    <t>991005043069702656</t>
  </si>
  <si>
    <t>2268293200002656</t>
  </si>
  <si>
    <t>32285000655000</t>
  </si>
  <si>
    <t>893260468</t>
  </si>
  <si>
    <t>QP86 .C18 1981</t>
  </si>
  <si>
    <t>0                      QP 0086000C  18          1981</t>
  </si>
  <si>
    <t>CRC handbook of biochemistry in aging / editor, James R. Florini.</t>
  </si>
  <si>
    <t>Boca Raton, Fla. : CRC Press, c1981.</t>
  </si>
  <si>
    <t>CRC series in aging</t>
  </si>
  <si>
    <t>2000-12-15</t>
  </si>
  <si>
    <t>508444:eng</t>
  </si>
  <si>
    <t>6789975</t>
  </si>
  <si>
    <t>991005040319702656</t>
  </si>
  <si>
    <t>2263791140002656</t>
  </si>
  <si>
    <t>9780849331411</t>
  </si>
  <si>
    <t>32285001549566</t>
  </si>
  <si>
    <t>893883248</t>
  </si>
  <si>
    <t>QP86 .C48</t>
  </si>
  <si>
    <t>0                      QP 0086000C  48</t>
  </si>
  <si>
    <t>Human ageing : selected readings / edited by Sheila M. Chown.</t>
  </si>
  <si>
    <t>Chown, Sheila M. compiler.</t>
  </si>
  <si>
    <t>[Harmondsworth, Eng. ; Baltimore] : Penguin Books, [1972]</t>
  </si>
  <si>
    <t>Penguin Education</t>
  </si>
  <si>
    <t>1993-11-02</t>
  </si>
  <si>
    <t>1146407609:eng</t>
  </si>
  <si>
    <t>614469</t>
  </si>
  <si>
    <t>991003056279702656</t>
  </si>
  <si>
    <t>2270185090002656</t>
  </si>
  <si>
    <t>9780140805284</t>
  </si>
  <si>
    <t>32285001795813</t>
  </si>
  <si>
    <t>893799343</t>
  </si>
  <si>
    <t>QP86 .C57 1978</t>
  </si>
  <si>
    <t>0                      QP 0086000C  57          1978</t>
  </si>
  <si>
    <t>The biology of senescence / Alex Comfort.</t>
  </si>
  <si>
    <t>Comfort, Alex, 1920-2000.</t>
  </si>
  <si>
    <t>New York : Elsevier, 1979.</t>
  </si>
  <si>
    <t>1993-09-29</t>
  </si>
  <si>
    <t>1996-01-24</t>
  </si>
  <si>
    <t>52364900:eng</t>
  </si>
  <si>
    <t>3966144</t>
  </si>
  <si>
    <t>991001758179702656</t>
  </si>
  <si>
    <t>2263871340002656</t>
  </si>
  <si>
    <t>9780444002662</t>
  </si>
  <si>
    <t>32285001549574</t>
  </si>
  <si>
    <t>893721133</t>
  </si>
  <si>
    <t>QP86 .C86 1988</t>
  </si>
  <si>
    <t>0                      QP 0086000C  86          1988</t>
  </si>
  <si>
    <t>Gerontology : the psychology, biology, and sociology of aging / Walter R. Cunningham, John W. Brookbank.</t>
  </si>
  <si>
    <t>Cunningham, Walter R.</t>
  </si>
  <si>
    <t>New York : Harper &amp; Row, c1988.</t>
  </si>
  <si>
    <t>2005-09-22</t>
  </si>
  <si>
    <t>1992-09-25</t>
  </si>
  <si>
    <t>312167850:eng</t>
  </si>
  <si>
    <t>16276212</t>
  </si>
  <si>
    <t>991001796599702656</t>
  </si>
  <si>
    <t>2261960120002656</t>
  </si>
  <si>
    <t>9780060414559</t>
  </si>
  <si>
    <t>32285001056141</t>
  </si>
  <si>
    <t>893885564</t>
  </si>
  <si>
    <t>QP86 .D54 1994</t>
  </si>
  <si>
    <t>0                      QP 0086000D  54          1994</t>
  </si>
  <si>
    <t>Human aging : biological perspectives / Augustine Gaspar DiGiovanna.</t>
  </si>
  <si>
    <t>DiGiovanna, Augustine Gaspar.</t>
  </si>
  <si>
    <t>New York : McGraw-Hill, c1994.</t>
  </si>
  <si>
    <t>2004-06-09</t>
  </si>
  <si>
    <t>1994-01-11</t>
  </si>
  <si>
    <t>2542453:eng</t>
  </si>
  <si>
    <t>27813634</t>
  </si>
  <si>
    <t>991002160729702656</t>
  </si>
  <si>
    <t>2257507790002656</t>
  </si>
  <si>
    <t>9780070169159</t>
  </si>
  <si>
    <t>32285001830651</t>
  </si>
  <si>
    <t>893408761</t>
  </si>
  <si>
    <t>QP86 .D76 1988</t>
  </si>
  <si>
    <t>0                      QP 0086000D  76          1988</t>
  </si>
  <si>
    <t>Drosophilia as a model organism for ageing studies / edited by Frédéric A. Lints and M. Hani Soliman.</t>
  </si>
  <si>
    <t>Glasgow : Blackie, 1988.</t>
  </si>
  <si>
    <t>1998-12-15</t>
  </si>
  <si>
    <t>18194243:eng</t>
  </si>
  <si>
    <t>18951185</t>
  </si>
  <si>
    <t>991001110989702656</t>
  </si>
  <si>
    <t>2270273990002656</t>
  </si>
  <si>
    <t>9780216923737</t>
  </si>
  <si>
    <t>32285001549608</t>
  </si>
  <si>
    <t>893872285</t>
  </si>
  <si>
    <t>QP86 .F73 1981</t>
  </si>
  <si>
    <t>0                      QP 0086000F  73          1981</t>
  </si>
  <si>
    <t>Vitality and aging : implications of the rectangular curve / James F. Fries, Lawrence M. Crapo.</t>
  </si>
  <si>
    <t>Fries, James F.</t>
  </si>
  <si>
    <t>836670046:eng</t>
  </si>
  <si>
    <t>7278520</t>
  </si>
  <si>
    <t>991005099039702656</t>
  </si>
  <si>
    <t>2263324920002656</t>
  </si>
  <si>
    <t>9780716713081</t>
  </si>
  <si>
    <t>32285001549616</t>
  </si>
  <si>
    <t>893236269</t>
  </si>
  <si>
    <t>QP86 .G395 1990</t>
  </si>
  <si>
    <t>0                      QP 0086000G  395         1990</t>
  </si>
  <si>
    <t>Genetic effects on aging II / [edited by] David E. Harrison.</t>
  </si>
  <si>
    <t>Caldwell, N.J. : Telford Press, c1990.</t>
  </si>
  <si>
    <t>1999-10-04</t>
  </si>
  <si>
    <t>1991-05-20</t>
  </si>
  <si>
    <t>2762352892:eng</t>
  </si>
  <si>
    <t>21038639</t>
  </si>
  <si>
    <t>991001643359702656</t>
  </si>
  <si>
    <t>2256516810002656</t>
  </si>
  <si>
    <t>9780936923314</t>
  </si>
  <si>
    <t>32285000574441</t>
  </si>
  <si>
    <t>893432970</t>
  </si>
  <si>
    <t>QP86 .H3 1923</t>
  </si>
  <si>
    <t>0                      QP 0086000H  3           1923</t>
  </si>
  <si>
    <t>Senescence : the last half of life / by G. Stanley Hall.</t>
  </si>
  <si>
    <t>Hall, G. Stanley (Granville Stanley), 1844-1924.</t>
  </si>
  <si>
    <t>New York : D. Appleton and company, 1923.</t>
  </si>
  <si>
    <t>1923</t>
  </si>
  <si>
    <t>2009-02-27</t>
  </si>
  <si>
    <t>1993-05-18</t>
  </si>
  <si>
    <t>1510420:eng</t>
  </si>
  <si>
    <t>5020509</t>
  </si>
  <si>
    <t>991004763909702656</t>
  </si>
  <si>
    <t>2256364870002656</t>
  </si>
  <si>
    <t>32285001658292</t>
  </si>
  <si>
    <t>893625089</t>
  </si>
  <si>
    <t>QP86 .H65 1995</t>
  </si>
  <si>
    <t>0                      QP 0086000H  65          1995</t>
  </si>
  <si>
    <t>Understanding ageing / Robin Holliday.</t>
  </si>
  <si>
    <t>Holliday, R. (Robin), 1932-2014.</t>
  </si>
  <si>
    <t>Developmental and cell biology series ; 30</t>
  </si>
  <si>
    <t>2010-03-14</t>
  </si>
  <si>
    <t>1995-05-31</t>
  </si>
  <si>
    <t>32145073:eng</t>
  </si>
  <si>
    <t>30074869</t>
  </si>
  <si>
    <t>991002318259702656</t>
  </si>
  <si>
    <t>2258316960002656</t>
  </si>
  <si>
    <t>9780521417884</t>
  </si>
  <si>
    <t>32285002048238</t>
  </si>
  <si>
    <t>893510585</t>
  </si>
  <si>
    <t>QP86 .H75 1982</t>
  </si>
  <si>
    <t>0                      QP 0086000H  75          1982</t>
  </si>
  <si>
    <t>Human aging / staff of Research and Education Association.</t>
  </si>
  <si>
    <t>New York, N.Y. : REA, c1982.</t>
  </si>
  <si>
    <t>1998-10-10</t>
  </si>
  <si>
    <t>54523150:eng</t>
  </si>
  <si>
    <t>8765867</t>
  </si>
  <si>
    <t>991000068689702656</t>
  </si>
  <si>
    <t>2267928070002656</t>
  </si>
  <si>
    <t>9780878915361</t>
  </si>
  <si>
    <t>32285002020476</t>
  </si>
  <si>
    <t>893242947</t>
  </si>
  <si>
    <t>QP86 .K335 1994</t>
  </si>
  <si>
    <t>0                      QP 0086000K  335         1994</t>
  </si>
  <si>
    <t>Genes and aging / M.S. Kanungo.</t>
  </si>
  <si>
    <t>Kanungo, M. S. (Madhu Sudan), 1927-</t>
  </si>
  <si>
    <t>Cambridge [England] ; New York, NY, USA : Cambridge University Press, 1994.</t>
  </si>
  <si>
    <t>342626:eng</t>
  </si>
  <si>
    <t>27430412</t>
  </si>
  <si>
    <t>991002138939702656</t>
  </si>
  <si>
    <t>2266122100002656</t>
  </si>
  <si>
    <t>9780521382991</t>
  </si>
  <si>
    <t>32285002077138</t>
  </si>
  <si>
    <t>893773256</t>
  </si>
  <si>
    <t>QP86 .L35</t>
  </si>
  <si>
    <t>0                      QP 0086000L  35</t>
  </si>
  <si>
    <t>Biology of ageing / Marion J. Lamb.</t>
  </si>
  <si>
    <t>Lamb, Marion J.</t>
  </si>
  <si>
    <t>New York : Wiley, 1977.</t>
  </si>
  <si>
    <t>Tertiary level biology</t>
  </si>
  <si>
    <t>7504134:eng</t>
  </si>
  <si>
    <t>3071754</t>
  </si>
  <si>
    <t>991004334189702656</t>
  </si>
  <si>
    <t>2267852410002656</t>
  </si>
  <si>
    <t>9780470992210</t>
  </si>
  <si>
    <t>32285003174629</t>
  </si>
  <si>
    <t>893888583</t>
  </si>
  <si>
    <t>QP86 .L88 1979</t>
  </si>
  <si>
    <t>0                      QP 0086000L  88          1979</t>
  </si>
  <si>
    <t>The psychobiology of aging : problems and perspectives : proceedings of the First Luxembourg Conference on the Psychobiology of Aging held in Walferdange, Luxembourg on May 24-25, 1979 / editor, Donald G. Stein.</t>
  </si>
  <si>
    <t>Luxembourg Conference on the Psychobiology of Aging (1st : 1979 : Walferdange, Luxembourg)</t>
  </si>
  <si>
    <t>New York : Elsevier/North-Holland, c1980.</t>
  </si>
  <si>
    <t>509201001:eng</t>
  </si>
  <si>
    <t>6446604</t>
  </si>
  <si>
    <t>991004984059702656</t>
  </si>
  <si>
    <t>2255957490002656</t>
  </si>
  <si>
    <t>9780444003911</t>
  </si>
  <si>
    <t>32285001549632</t>
  </si>
  <si>
    <t>893807690</t>
  </si>
  <si>
    <t>QP86 .M26</t>
  </si>
  <si>
    <t>0                      QP 0086000M  26</t>
  </si>
  <si>
    <t>Aging and old age / Sheila C. McKenzie.</t>
  </si>
  <si>
    <t>McKenzie, Sheila C., 1943-</t>
  </si>
  <si>
    <t>Glenview, Ill. : Scott, Foresman, c1980.</t>
  </si>
  <si>
    <t>3901550823:eng</t>
  </si>
  <si>
    <t>5726080</t>
  </si>
  <si>
    <t>991004864339702656</t>
  </si>
  <si>
    <t>2260817090002656</t>
  </si>
  <si>
    <t>9780673152503</t>
  </si>
  <si>
    <t>32285001760619</t>
  </si>
  <si>
    <t>893236009</t>
  </si>
  <si>
    <t>QP86 .M65 1985</t>
  </si>
  <si>
    <t>0                      QP 0086000M  65          1985</t>
  </si>
  <si>
    <t>Modification of proteins during aging : proceedings of the mini-symposium session "Impact of aging on biochemical function," held during the 75th Annual Meeting of the American Society of Biological Chemists, St. Louis, Missouri, June 3-7, 1984 / editors, Richard C. Adelman, Eugene E. Dekker.</t>
  </si>
  <si>
    <t>New York : Liss, c1985.</t>
  </si>
  <si>
    <t>Modern aging research ; v. 7</t>
  </si>
  <si>
    <t>5197960:eng</t>
  </si>
  <si>
    <t>12188617</t>
  </si>
  <si>
    <t>991000652739702656</t>
  </si>
  <si>
    <t>2254935570002656</t>
  </si>
  <si>
    <t>9780845123072</t>
  </si>
  <si>
    <t>32285001056133</t>
  </si>
  <si>
    <t>893890901</t>
  </si>
  <si>
    <t>QP86 .M68 1984</t>
  </si>
  <si>
    <t>0                      QP 0086000M  68          1984</t>
  </si>
  <si>
    <t>Molecular basis of aging / edited by A.K. Roy, B. Chatterjee.</t>
  </si>
  <si>
    <t>54671925:eng</t>
  </si>
  <si>
    <t>11259947</t>
  </si>
  <si>
    <t>991000513039702656</t>
  </si>
  <si>
    <t>2272727020002656</t>
  </si>
  <si>
    <t>9780126010602</t>
  </si>
  <si>
    <t>32285001760627</t>
  </si>
  <si>
    <t>893871737</t>
  </si>
  <si>
    <t>QP86 .M683 1995</t>
  </si>
  <si>
    <t>0                      QP 0086000M  683         1995</t>
  </si>
  <si>
    <t>Molecular basis of aging / edited by Alvaro Macieira-Coelho.</t>
  </si>
  <si>
    <t>Boca Raton : CRC Press, 1995.</t>
  </si>
  <si>
    <t>2005-09-27</t>
  </si>
  <si>
    <t>1995-08-21</t>
  </si>
  <si>
    <t>3773708:eng</t>
  </si>
  <si>
    <t>32397494</t>
  </si>
  <si>
    <t>991002490729702656</t>
  </si>
  <si>
    <t>2254817850002656</t>
  </si>
  <si>
    <t>9780849347863</t>
  </si>
  <si>
    <t>32285002077856</t>
  </si>
  <si>
    <t>893609913</t>
  </si>
  <si>
    <t>QP86 .P557 1994</t>
  </si>
  <si>
    <t>0                      QP 0086000P  557         1994</t>
  </si>
  <si>
    <t>Physiological basis of aging and geriatrics / edited by Paola S. Timiras.</t>
  </si>
  <si>
    <t>2005-09-28</t>
  </si>
  <si>
    <t>1995-01-10</t>
  </si>
  <si>
    <t>821887574:eng</t>
  </si>
  <si>
    <t>29466953</t>
  </si>
  <si>
    <t>991002270209702656</t>
  </si>
  <si>
    <t>2259932730002656</t>
  </si>
  <si>
    <t>9780849389795</t>
  </si>
  <si>
    <t>32285001991966</t>
  </si>
  <si>
    <t>893232763</t>
  </si>
  <si>
    <t>QP86 .R525 1995</t>
  </si>
  <si>
    <t>0                      QP 0086000R  525         1995</t>
  </si>
  <si>
    <t>Aging : a natural history / Robert E. Ricklefs, Caleb E. Finch.</t>
  </si>
  <si>
    <t>Ricklefs, Robert E.</t>
  </si>
  <si>
    <t>New York : Scientific American Library : Distributed by W.H. Freeman, c1995.</t>
  </si>
  <si>
    <t>1998-10-01</t>
  </si>
  <si>
    <t>1996-03-01</t>
  </si>
  <si>
    <t>499087268:eng</t>
  </si>
  <si>
    <t>31969925</t>
  </si>
  <si>
    <t>991002451159702656</t>
  </si>
  <si>
    <t>2260783720002656</t>
  </si>
  <si>
    <t>9780716750567</t>
  </si>
  <si>
    <t>32285002139441</t>
  </si>
  <si>
    <t>893779828</t>
  </si>
  <si>
    <t>QP86 .S478 1997</t>
  </si>
  <si>
    <t>0                      QP 0086000S  478         1997</t>
  </si>
  <si>
    <t>Aging, physical activity, and health / Roy J. Shephard.</t>
  </si>
  <si>
    <t>Champaign, IL : Human Kinetics, c1997.</t>
  </si>
  <si>
    <t>2001-05-16</t>
  </si>
  <si>
    <t>2001-01-24</t>
  </si>
  <si>
    <t>3901575644:eng</t>
  </si>
  <si>
    <t>35593580</t>
  </si>
  <si>
    <t>991003353359702656</t>
  </si>
  <si>
    <t>2271918210002656</t>
  </si>
  <si>
    <t>9780873228893</t>
  </si>
  <si>
    <t>32285004291349</t>
  </si>
  <si>
    <t>893234095</t>
  </si>
  <si>
    <t>QP86 .S65 2005</t>
  </si>
  <si>
    <t>0                      QP 0086000S  65          2005</t>
  </si>
  <si>
    <t>Physical dimensions of aging / Waneen W. Spirduso, Karen L. Francis, Priscilla G. MacRae.</t>
  </si>
  <si>
    <t>Spirduso, Waneen Wyrick.</t>
  </si>
  <si>
    <t>Champaign, IL : Human Kinetics, c2005.</t>
  </si>
  <si>
    <t>2010-03-03</t>
  </si>
  <si>
    <t>4160740815:eng</t>
  </si>
  <si>
    <t>56011721</t>
  </si>
  <si>
    <t>991005365729702656</t>
  </si>
  <si>
    <t>2254980650002656</t>
  </si>
  <si>
    <t>9780736033152</t>
  </si>
  <si>
    <t>32285005576045</t>
  </si>
  <si>
    <t>893418828</t>
  </si>
  <si>
    <t>QP86 .T29 2008</t>
  </si>
  <si>
    <t>0                      QP 0086000T  29          2008</t>
  </si>
  <si>
    <t>Physiology of exercise and healthy aging / Albert W. Taylor, Michel J. Johnson.</t>
  </si>
  <si>
    <t>Taylor, Albert W.</t>
  </si>
  <si>
    <t>102736729:eng</t>
  </si>
  <si>
    <t>124505706</t>
  </si>
  <si>
    <t>991005366129702656</t>
  </si>
  <si>
    <t>2269219900002656</t>
  </si>
  <si>
    <t>9780736058384</t>
  </si>
  <si>
    <t>32285005576086</t>
  </si>
  <si>
    <t>893263797</t>
  </si>
  <si>
    <t>QP86 .T35 1983</t>
  </si>
  <si>
    <t>0                      QP 0086000T  35          1983</t>
  </si>
  <si>
    <t>Testing the theories of aging / editors, Richard C. Adelman, George S. Roth.</t>
  </si>
  <si>
    <t>Boca Raton, FL : CRC Press, [1983] c1982.</t>
  </si>
  <si>
    <t>431993308:eng</t>
  </si>
  <si>
    <t>8219646</t>
  </si>
  <si>
    <t>991005219649702656</t>
  </si>
  <si>
    <t>2255696940002656</t>
  </si>
  <si>
    <t>9780849358296</t>
  </si>
  <si>
    <t>32285001549699</t>
  </si>
  <si>
    <t>893344862</t>
  </si>
  <si>
    <t>QP86 .W53 1998</t>
  </si>
  <si>
    <t>0                      QP 0086000W  53          1998</t>
  </si>
  <si>
    <t>The causes of aging / Andrew P. Wickens.</t>
  </si>
  <si>
    <t>Wickens, Andrew P.</t>
  </si>
  <si>
    <t>Australia : Harwood Academic Publishers, c1998.</t>
  </si>
  <si>
    <t>23509430:eng</t>
  </si>
  <si>
    <t>40704538</t>
  </si>
  <si>
    <t>991003004299702656</t>
  </si>
  <si>
    <t>2270699310002656</t>
  </si>
  <si>
    <t>9789057023132</t>
  </si>
  <si>
    <t>32285003617528</t>
  </si>
  <si>
    <t>893721750</t>
  </si>
  <si>
    <t>QP86 .Z7 1994</t>
  </si>
  <si>
    <t>0                      QP 0086000Z  7           1994</t>
  </si>
  <si>
    <t>The membrane hypothesis of aging / by Imre Zs.-Nagy.</t>
  </si>
  <si>
    <t>Zs.-Nagy, Imre.</t>
  </si>
  <si>
    <t>21024403:eng</t>
  </si>
  <si>
    <t>29704154</t>
  </si>
  <si>
    <t>991002292539702656</t>
  </si>
  <si>
    <t>2260066680002656</t>
  </si>
  <si>
    <t>9780849367380</t>
  </si>
  <si>
    <t>32285001978088</t>
  </si>
  <si>
    <t>893691454</t>
  </si>
  <si>
    <t>QP88 .L65 1992</t>
  </si>
  <si>
    <t>0                      QP 0088000L  65          1992</t>
  </si>
  <si>
    <t>Advances in body composition assessment / Timothy G. Lohman.</t>
  </si>
  <si>
    <t>Lohman, Timothy G., 1940-</t>
  </si>
  <si>
    <t>Champaign, IL : Human Kinetics Publ., c1992.</t>
  </si>
  <si>
    <t>Current issues in exercise science ; monograph no. 3</t>
  </si>
  <si>
    <t>27568119:eng</t>
  </si>
  <si>
    <t>25550576</t>
  </si>
  <si>
    <t>991002010289702656</t>
  </si>
  <si>
    <t>2265520100002656</t>
  </si>
  <si>
    <t>9780873223270</t>
  </si>
  <si>
    <t>32285001156750</t>
  </si>
  <si>
    <t>893779320</t>
  </si>
  <si>
    <t>QP88.23 .C43 1991</t>
  </si>
  <si>
    <t>0                      QP 0088230C  43          1991</t>
  </si>
  <si>
    <t>Cell biology of extracellular matrix / edited by Elizabeth D. Hay.</t>
  </si>
  <si>
    <t>54474060:eng</t>
  </si>
  <si>
    <t>24467503</t>
  </si>
  <si>
    <t>991001780509702656</t>
  </si>
  <si>
    <t>2267044540002656</t>
  </si>
  <si>
    <t>9780306439513</t>
  </si>
  <si>
    <t>32285000939412</t>
  </si>
  <si>
    <t>893340693</t>
  </si>
  <si>
    <t>QP88.23 .E954 1990</t>
  </si>
  <si>
    <t>0                      QP 0088230E  954         1990</t>
  </si>
  <si>
    <t>Extracellular matrix genes / edited by Linda J. Sandell, Charles D. Boyd.</t>
  </si>
  <si>
    <t>San Diego : Academic Press, c1990.</t>
  </si>
  <si>
    <t>Biology of extracellular matrix</t>
  </si>
  <si>
    <t>1991-08-27</t>
  </si>
  <si>
    <t>365201638:eng</t>
  </si>
  <si>
    <t>21231830</t>
  </si>
  <si>
    <t>991001668669702656</t>
  </si>
  <si>
    <t>2262564840002656</t>
  </si>
  <si>
    <t>9780126181555</t>
  </si>
  <si>
    <t>32285000702349</t>
  </si>
  <si>
    <t>893872699</t>
  </si>
  <si>
    <t>QP88.3 .V34</t>
  </si>
  <si>
    <t>0                      QP 0088300V  34</t>
  </si>
  <si>
    <t>Trace elements in human hair / Vlado Valković.</t>
  </si>
  <si>
    <t>Valković, Vlado.</t>
  </si>
  <si>
    <t>New York : Garland STPM, c1977.</t>
  </si>
  <si>
    <t>1997-09-12</t>
  </si>
  <si>
    <t>6692336:eng</t>
  </si>
  <si>
    <t>3002195</t>
  </si>
  <si>
    <t>991004313359702656</t>
  </si>
  <si>
    <t>2272247090002656</t>
  </si>
  <si>
    <t>9780824098612</t>
  </si>
  <si>
    <t>32285003012548</t>
  </si>
  <si>
    <t>893722371</t>
  </si>
  <si>
    <t>QP88.4 .P4825 1987</t>
  </si>
  <si>
    <t>0                      QP 0088400P  4825        1987</t>
  </si>
  <si>
    <t>Membrane transport processes in organized systems / edited by Thomas E. Andreoli ... [et al.].</t>
  </si>
  <si>
    <t>Physiology of membrane disorders. Selections.</t>
  </si>
  <si>
    <t>New York : Plenum Medical Book Co., c1987.</t>
  </si>
  <si>
    <t>143840029:eng</t>
  </si>
  <si>
    <t>16224881</t>
  </si>
  <si>
    <t>991001091659702656</t>
  </si>
  <si>
    <t>2268282590002656</t>
  </si>
  <si>
    <t>9780306426988</t>
  </si>
  <si>
    <t>32285001549715</t>
  </si>
  <si>
    <t>893528651</t>
  </si>
  <si>
    <t>QP88.5 .A375 1993</t>
  </si>
  <si>
    <t>0                      QP 0088500A  375         1993</t>
  </si>
  <si>
    <t>Aging skin : properties and functional changes / edited by Jean-Luc Lévèque, Pierre G. Agache.</t>
  </si>
  <si>
    <t>New York : Dekker, c1993.</t>
  </si>
  <si>
    <t>Clinical dermatology ; 4</t>
  </si>
  <si>
    <t>2007-10-29</t>
  </si>
  <si>
    <t>1994-06-27</t>
  </si>
  <si>
    <t>906229307:eng</t>
  </si>
  <si>
    <t>26765019</t>
  </si>
  <si>
    <t>991002086119702656</t>
  </si>
  <si>
    <t>2265216550002656</t>
  </si>
  <si>
    <t>9780824787912</t>
  </si>
  <si>
    <t>32285001924595</t>
  </si>
  <si>
    <t>893590902</t>
  </si>
  <si>
    <t>QP90.2 .T76 1996</t>
  </si>
  <si>
    <t>0                      QP 0090200T  76          1996</t>
  </si>
  <si>
    <t>Limb regeneration / Panagiotis A. Tsonis.</t>
  </si>
  <si>
    <t>Tsonis, Panagiotis A.</t>
  </si>
  <si>
    <t>Cambridge ; New York, NY, USA : Cambridge University Press, 1996.</t>
  </si>
  <si>
    <t>Developmental and cell biology series</t>
  </si>
  <si>
    <t>1998-11-17</t>
  </si>
  <si>
    <t>1996-08-14</t>
  </si>
  <si>
    <t>36359174:eng</t>
  </si>
  <si>
    <t>32705512</t>
  </si>
  <si>
    <t>991002516229702656</t>
  </si>
  <si>
    <t>2271238580002656</t>
  </si>
  <si>
    <t>9780521441490</t>
  </si>
  <si>
    <t>32285002290038</t>
  </si>
  <si>
    <t>893886394</t>
  </si>
  <si>
    <t>QP90.5 .H54</t>
  </si>
  <si>
    <t>0                      QP 0090500H  54</t>
  </si>
  <si>
    <t>Acid-base balance : chemistry, physiology, pathophysiology / [by] A. Gorman Hills.</t>
  </si>
  <si>
    <t>Hills, A. Gorman (Arthur Gorman), 1915-</t>
  </si>
  <si>
    <t>Baltimore : Williams &amp; Wilkins, 1973.</t>
  </si>
  <si>
    <t>2178759:eng</t>
  </si>
  <si>
    <t>1258213</t>
  </si>
  <si>
    <t>991003654439702656</t>
  </si>
  <si>
    <t>2259473930002656</t>
  </si>
  <si>
    <t>9780683040043</t>
  </si>
  <si>
    <t>32285001986362</t>
  </si>
  <si>
    <t>893246589</t>
  </si>
  <si>
    <t>QP90.6 .B45</t>
  </si>
  <si>
    <t>0                      QP 0090600B  45</t>
  </si>
  <si>
    <t>Endocrines and osmoregulation; a comparative account of the regulation of water and salt in vertebrates, by P. J. Bentley.</t>
  </si>
  <si>
    <t>Zoophysiology and ecology ; 1</t>
  </si>
  <si>
    <t>2003-10-28</t>
  </si>
  <si>
    <t>1264822:eng</t>
  </si>
  <si>
    <t>205030</t>
  </si>
  <si>
    <t>991001234569702656</t>
  </si>
  <si>
    <t>2255370340002656</t>
  </si>
  <si>
    <t>9783540052739</t>
  </si>
  <si>
    <t>32285003012563</t>
  </si>
  <si>
    <t>893334182</t>
  </si>
  <si>
    <t>QP90.7 .A27 1986</t>
  </si>
  <si>
    <t>0                      QP 0090700A  27          1986</t>
  </si>
  <si>
    <t>Acid-base regulation in animals / edited by Norbert Heisler.</t>
  </si>
  <si>
    <t>Amsterdam ; New York : Elsevier ; New York, NY, U.S.A. : Sole distributors for the U.S.A. and Canada, Elsevier Science Pub. Co., 1986.</t>
  </si>
  <si>
    <t>7058896:eng</t>
  </si>
  <si>
    <t>13270655</t>
  </si>
  <si>
    <t>991000804579702656</t>
  </si>
  <si>
    <t>2271832240002656</t>
  </si>
  <si>
    <t>9780444806963</t>
  </si>
  <si>
    <t>32285001549749</t>
  </si>
  <si>
    <t>893502820</t>
  </si>
  <si>
    <t>QP90.7 .K54</t>
  </si>
  <si>
    <t>0                      QP 0090700K  54</t>
  </si>
  <si>
    <t>Quantitative acid-base physiology : system physiology and pathophysiology of renal, gastrointestinal, and skeletal acid-base metabolism / by Poul Kildeberg.</t>
  </si>
  <si>
    <t>Kildeberg, Poul.</t>
  </si>
  <si>
    <t>New York : Igaku-Shoin, 1981.</t>
  </si>
  <si>
    <t>29746235:eng</t>
  </si>
  <si>
    <t>7737640</t>
  </si>
  <si>
    <t>991005154079702656</t>
  </si>
  <si>
    <t>2259642520002656</t>
  </si>
  <si>
    <t>9780896400481</t>
  </si>
  <si>
    <t>32285001549756</t>
  </si>
  <si>
    <t>893520527</t>
  </si>
  <si>
    <t>QP90.7 .S73</t>
  </si>
  <si>
    <t>0                      QP 0090700S  73</t>
  </si>
  <si>
    <t>How to understand acid-base : a quantitative acid-base primer for biology and medicine / Peter A. Stewart.</t>
  </si>
  <si>
    <t>Stewart, Peter A.</t>
  </si>
  <si>
    <t>New York : Elsevier, c1981.</t>
  </si>
  <si>
    <t>1996-01-11</t>
  </si>
  <si>
    <t>836671424:eng</t>
  </si>
  <si>
    <t>6603444</t>
  </si>
  <si>
    <t>991005012199702656</t>
  </si>
  <si>
    <t>2255011040002656</t>
  </si>
  <si>
    <t>9780444004062</t>
  </si>
  <si>
    <t>32285001549764</t>
  </si>
  <si>
    <t>893260435</t>
  </si>
  <si>
    <t>QP903 .M38</t>
  </si>
  <si>
    <t>0                      QP 0903000M  38</t>
  </si>
  <si>
    <t>Chemicals and life / [by] Kenneth E. Maxwell.</t>
  </si>
  <si>
    <t>Maxwell, Kenneth E., 1908-, compiler.</t>
  </si>
  <si>
    <t>Belmont, Calif. : Dickenson Pub. Co., [1970]</t>
  </si>
  <si>
    <t>Dickenson series in biology</t>
  </si>
  <si>
    <t>1241756:eng</t>
  </si>
  <si>
    <t>71794</t>
  </si>
  <si>
    <t>991000376159702656</t>
  </si>
  <si>
    <t>2270988380002656</t>
  </si>
  <si>
    <t>32285001963429</t>
  </si>
  <si>
    <t>893607860</t>
  </si>
  <si>
    <t>QP91 .A57</t>
  </si>
  <si>
    <t>0                      QP 0091000A  57</t>
  </si>
  <si>
    <t>Comparative hematology.</t>
  </si>
  <si>
    <t>Andrew, Warren, 1910-1982.</t>
  </si>
  <si>
    <t>New York, Grune &amp; Stratton [1965]</t>
  </si>
  <si>
    <t>1625972:eng</t>
  </si>
  <si>
    <t>558444</t>
  </si>
  <si>
    <t>991002987659702656</t>
  </si>
  <si>
    <t>2258258470002656</t>
  </si>
  <si>
    <t>32285003012571</t>
  </si>
  <si>
    <t>893686051</t>
  </si>
  <si>
    <t>QP91 .D5</t>
  </si>
  <si>
    <t>0                      QP 0091000D  5</t>
  </si>
  <si>
    <t>Differentiation and growth of hemoglobin- and immunoglobulin-synthesizing cells.</t>
  </si>
  <si>
    <t>Symposium on Differentiation and Growth of Hemoglobin- and Immunoglobulin-synthesizing Cells (1966 : Gatlinburg, Tenn.)</t>
  </si>
  <si>
    <t>[Philadelphia : Wistar Institute of Anatomy and Biology for] the Biology Division, Oak Ridge National Laboratory, 1966.</t>
  </si>
  <si>
    <t>1997-06-30</t>
  </si>
  <si>
    <t>1992-07-09</t>
  </si>
  <si>
    <t>1150902993:eng</t>
  </si>
  <si>
    <t>1561110</t>
  </si>
  <si>
    <t>991003821969702656</t>
  </si>
  <si>
    <t>2261941630002656</t>
  </si>
  <si>
    <t>32285001151496</t>
  </si>
  <si>
    <t>893246765</t>
  </si>
  <si>
    <t>QP91 .H78</t>
  </si>
  <si>
    <t>0                      QP 0091000H  78</t>
  </si>
  <si>
    <t>Atlas of comparative primate hematology.</t>
  </si>
  <si>
    <t>Huser, Hans-Jürg.</t>
  </si>
  <si>
    <t>New York, Academic Press, 1970.</t>
  </si>
  <si>
    <t>1322613:eng</t>
  </si>
  <si>
    <t>96702</t>
  </si>
  <si>
    <t>991000590539702656</t>
  </si>
  <si>
    <t>2271074870002656</t>
  </si>
  <si>
    <t>9780123627506</t>
  </si>
  <si>
    <t>32285003012589</t>
  </si>
  <si>
    <t>893708511</t>
  </si>
  <si>
    <t>QP913.H6 H3</t>
  </si>
  <si>
    <t>0                      QP 0913000H  6                  H  3</t>
  </si>
  <si>
    <t>Hazards of mercury; special report to the Secretarys̓ Pesticide Advisory Committee, Dept. of Health, Education, and Welfare, Nov., 1970. Study Group on Mercury Hazards, Norton Nelson, chairman.</t>
  </si>
  <si>
    <t>[New York] Academic Press, c1971.</t>
  </si>
  <si>
    <t>Environmental research ; v. 4, no. 1</t>
  </si>
  <si>
    <t>2004-09-16</t>
  </si>
  <si>
    <t>44790947:eng</t>
  </si>
  <si>
    <t>1524401</t>
  </si>
  <si>
    <t>991003798809702656</t>
  </si>
  <si>
    <t>2267652660002656</t>
  </si>
  <si>
    <t>32285003081360</t>
  </si>
  <si>
    <t>893499722</t>
  </si>
  <si>
    <t>QP917.C25 C87</t>
  </si>
  <si>
    <t>0                      QP 0917000C  25                 C  87</t>
  </si>
  <si>
    <t>Current research in marijuana; proceedings of a symposium held at the Aeronautic Center, Oklahoma City, Okla., June 13-15, 1972. Edited by Mark F. Lewis.</t>
  </si>
  <si>
    <t>2000-11-02</t>
  </si>
  <si>
    <t>473896004:eng</t>
  </si>
  <si>
    <t>589217</t>
  </si>
  <si>
    <t>991003025059702656</t>
  </si>
  <si>
    <t>2259347530002656</t>
  </si>
  <si>
    <t>9780124470507</t>
  </si>
  <si>
    <t>32285003081386</t>
  </si>
  <si>
    <t>893799300</t>
  </si>
  <si>
    <t>QP941 .B8</t>
  </si>
  <si>
    <t>0                      QP 0941000B  8</t>
  </si>
  <si>
    <t>Venomous animals and their venoms, edited by Wolfgang Bücherl, Eleanor E. Buckley [and] Venancio Deulofeu.</t>
  </si>
  <si>
    <t>Bücherl, Wolfgang.</t>
  </si>
  <si>
    <t>New York, Academic Press, 1968-71.</t>
  </si>
  <si>
    <t>2005-02-27</t>
  </si>
  <si>
    <t>3856018627:eng</t>
  </si>
  <si>
    <t>299757</t>
  </si>
  <si>
    <t>991002252569702656</t>
  </si>
  <si>
    <t>2264373280002656</t>
  </si>
  <si>
    <t>9780121389024</t>
  </si>
  <si>
    <t>32285003081428</t>
  </si>
  <si>
    <t>893898535</t>
  </si>
  <si>
    <t>32285003081410</t>
  </si>
  <si>
    <t>893898536</t>
  </si>
  <si>
    <t>32285003081402</t>
  </si>
  <si>
    <t>893879662</t>
  </si>
  <si>
    <t>QP951 .S48</t>
  </si>
  <si>
    <t>0                      QP 0951000S  48</t>
  </si>
  <si>
    <t>Serotonin and behavior. Edited by Jack Barchas and Earl Usdin.</t>
  </si>
  <si>
    <t>2004-10-07</t>
  </si>
  <si>
    <t>765180824:eng</t>
  </si>
  <si>
    <t>588992</t>
  </si>
  <si>
    <t>991003024529702656</t>
  </si>
  <si>
    <t>2270038560002656</t>
  </si>
  <si>
    <t>9780120781508</t>
  </si>
  <si>
    <t>32285003081436</t>
  </si>
  <si>
    <t>893262600</t>
  </si>
  <si>
    <t>QP98 .V46 1999</t>
  </si>
  <si>
    <t>0                      QP 0098000V  46          1999</t>
  </si>
  <si>
    <t>Los alimentos y su tipo de sangre : los secretos revelados para prevenir y tratar las enfermedades , y cómo mantenerse saludable, feliz y con el peso ideal / Titus Venessa.</t>
  </si>
  <si>
    <t>Venessa, Titus.</t>
  </si>
  <si>
    <t>Santo Domingo : The Author, c1999.</t>
  </si>
  <si>
    <t>1. ed.</t>
  </si>
  <si>
    <t>spa</t>
  </si>
  <si>
    <t xml:space="preserve">dr </t>
  </si>
  <si>
    <t>2008-10-20</t>
  </si>
  <si>
    <t>2001-08-29</t>
  </si>
  <si>
    <t>10792743:spa</t>
  </si>
  <si>
    <t>53307911</t>
  </si>
  <si>
    <t>991003546199702656</t>
  </si>
  <si>
    <t>2270278480002656</t>
  </si>
  <si>
    <t>9789993400158</t>
  </si>
  <si>
    <t>32285004382312</t>
  </si>
  <si>
    <t>893805898</t>
  </si>
  <si>
    <t>QP981.C14 S34</t>
  </si>
  <si>
    <t>0                      QP 0981000C  14                 S  34</t>
  </si>
  <si>
    <t>The Scientific study of marihuana / [compiled by] Ernest L. Abel.</t>
  </si>
  <si>
    <t>Chicago : Nelson-Hall, c1976.</t>
  </si>
  <si>
    <t>2010-10-10</t>
  </si>
  <si>
    <t>541178:eng</t>
  </si>
  <si>
    <t>2072768</t>
  </si>
  <si>
    <t>991004000229702656</t>
  </si>
  <si>
    <t>2254916060002656</t>
  </si>
  <si>
    <t>9780882291444</t>
  </si>
  <si>
    <t>32285001034247</t>
  </si>
  <si>
    <t>893525505</t>
  </si>
  <si>
    <t>QP99.3.L5 L57 1997</t>
  </si>
  <si>
    <t>0                      QP 0099300L  5                  L  57          1997</t>
  </si>
  <si>
    <t>Lipids, health, and behavior / edited by Marc Hillbrand and Reuben T. Spitz.</t>
  </si>
  <si>
    <t>Washington, DC : American Psychological Association, c1997.</t>
  </si>
  <si>
    <t>2004-11-04</t>
  </si>
  <si>
    <t>1998-09-15</t>
  </si>
  <si>
    <t>1078472539:eng</t>
  </si>
  <si>
    <t>35521647</t>
  </si>
  <si>
    <t>991002709979702656</t>
  </si>
  <si>
    <t>2256755920002656</t>
  </si>
  <si>
    <t>9781557983848</t>
  </si>
  <si>
    <t>32285003468377</t>
  </si>
  <si>
    <t>893239402</t>
  </si>
  <si>
    <t>QT 4 C7377 1986</t>
  </si>
  <si>
    <t>0                      QT 0004000C  7377        1986</t>
  </si>
  <si>
    <t>Comprehensive human physiology : from cellular mechanisms to integration / R. Greger, U. Windhorst (eds.).</t>
  </si>
  <si>
    <t>Berlin ; New York : Springer, c1996.</t>
  </si>
  <si>
    <t xml:space="preserve">QT </t>
  </si>
  <si>
    <t>1999-04-21</t>
  </si>
  <si>
    <t>1997-01-23</t>
  </si>
  <si>
    <t>806718777:eng</t>
  </si>
  <si>
    <t>32853499</t>
  </si>
  <si>
    <t>991000851499702656</t>
  </si>
  <si>
    <t>2268983370002656</t>
  </si>
  <si>
    <t>9783540581093</t>
  </si>
  <si>
    <t>30001003473842</t>
  </si>
  <si>
    <t>893273406</t>
  </si>
  <si>
    <t>1997-03-13</t>
  </si>
  <si>
    <t>QT 4 C737p 1994 v.38B</t>
  </si>
  <si>
    <t>0                      QT 0004000C  737p        1994                                        v.38B</t>
  </si>
  <si>
    <t>Comparative vertebrate exercise physiology : phyletic adaptations / edited by James H. Jones.</t>
  </si>
  <si>
    <t>V. 38B</t>
  </si>
  <si>
    <t>Advances in veterinary science and comparative medicine, 0065-3519 ; v. 38B</t>
  </si>
  <si>
    <t>2001-06-14</t>
  </si>
  <si>
    <t>1999-02-04</t>
  </si>
  <si>
    <t>QT 4 D744g 1969</t>
  </si>
  <si>
    <t>0                      QT 0004000D  744g        1969</t>
  </si>
  <si>
    <t>General physiology : a molecular approach / [by] Robert M. Dowben.</t>
  </si>
  <si>
    <t>Dowben, Robert M.</t>
  </si>
  <si>
    <t>New York : Harper &amp; Row, [1969]</t>
  </si>
  <si>
    <t>1988-03-02</t>
  </si>
  <si>
    <t>QT4 F794H 2004</t>
  </si>
  <si>
    <t>0                      QT 0004000F  794H        2004</t>
  </si>
  <si>
    <t>Human physiology / Stuart Ira Fox.</t>
  </si>
  <si>
    <t>Fox, Stuart Ira.</t>
  </si>
  <si>
    <t>Boston : McGraw-Hill, c2004.</t>
  </si>
  <si>
    <t>8th ed.</t>
  </si>
  <si>
    <t>2010-12-15</t>
  </si>
  <si>
    <t>QT 4 I37 1986</t>
  </si>
  <si>
    <t>0                      QT 0004000I  37          1986</t>
  </si>
  <si>
    <t>The Incredible machine.</t>
  </si>
  <si>
    <t>Washington, D.C. : National Geographic Society, 1989 printing, c1986.</t>
  </si>
  <si>
    <t>1989-08-29</t>
  </si>
  <si>
    <t>QT4 P5783 2004</t>
  </si>
  <si>
    <t>0                      QT 0004000P  5783        2004</t>
  </si>
  <si>
    <t>Physiology / editors, Robert M. Berne ... [et al.].</t>
  </si>
  <si>
    <t>St. Louis, MO : Mosby, c2004.</t>
  </si>
  <si>
    <t>2006-09-29</t>
  </si>
  <si>
    <t>QT 13 C744 1990</t>
  </si>
  <si>
    <t>0                      QT 0013000C  744         1990</t>
  </si>
  <si>
    <t>Concise encyclopedia of medical &amp; dental materials / editor, David Williams ; executive editor, Robert W. Cahn ; senior advisory editor, Michael B. Bever.</t>
  </si>
  <si>
    <t>Oxford, England ; New York : Pergamon Press ; Cambridge, Mass., USA : Distributed in North and South America by MIT Press, c1990.</t>
  </si>
  <si>
    <t>Advances in materials science and engineering</t>
  </si>
  <si>
    <t>1992-09-16</t>
  </si>
  <si>
    <t>1992-09-11</t>
  </si>
  <si>
    <t>QT 13 O98 1994</t>
  </si>
  <si>
    <t>0                      QT 0013000O  98          1994</t>
  </si>
  <si>
    <t>The Oxford dictionary of sports science and medicine / Michael Kent.</t>
  </si>
  <si>
    <t>Oxford ; New York : Oxford University Press, c1994.</t>
  </si>
  <si>
    <t>1994-09-14</t>
  </si>
  <si>
    <t>QT17 M649s 2003</t>
  </si>
  <si>
    <t>0                      QT 0017000M  649s        2003</t>
  </si>
  <si>
    <t>Surgical atlas of sports medicine / Mark D. Miller, Richard F. Howard, Kevin D. Plancher ; artist, Suzanne Edmonds.</t>
  </si>
  <si>
    <t>Miller, Mark D.</t>
  </si>
  <si>
    <t>Philadelphia : Saunders, c2003.</t>
  </si>
  <si>
    <t>2005-03-03</t>
  </si>
  <si>
    <t>2005-02-11</t>
  </si>
  <si>
    <t>QT 18 C337 1994</t>
  </si>
  <si>
    <t>0                      QT 0018000C  337         1994</t>
  </si>
  <si>
    <t>Case studies in physiology / edited by Robert M. Berne, Matthew N. Levy.</t>
  </si>
  <si>
    <t>St. Louis : Mosby, c1994.</t>
  </si>
  <si>
    <t>2010-03-07</t>
  </si>
  <si>
    <t>1998-09-01</t>
  </si>
  <si>
    <t>QT 18 J25p 1994</t>
  </si>
  <si>
    <t>0                      QT 0018000J  25p         1994</t>
  </si>
  <si>
    <t>Physiology : review for new national boards / Emma R. Jakoi, Ronald C. Bohn.</t>
  </si>
  <si>
    <t>Jakoi, Emma R.</t>
  </si>
  <si>
    <t>Alexandria, VA : J&amp;S Pub. Co., c1994.</t>
  </si>
  <si>
    <t>QT 18 P578 1987</t>
  </si>
  <si>
    <t>0                      QT 0018000P  578         1987</t>
  </si>
  <si>
    <t>Physiology : a review with questions and explanations / Benjamin Hsu ... [et al.].</t>
  </si>
  <si>
    <t>Boston : Little, Brown and Co., c1987.</t>
  </si>
  <si>
    <t>A Little, Brown review book</t>
  </si>
  <si>
    <t>2003-10-16</t>
  </si>
  <si>
    <t>1989-02-23</t>
  </si>
  <si>
    <t>QT 18 P5784 1984</t>
  </si>
  <si>
    <t>0                      QT 0018000P  5784        1984</t>
  </si>
  <si>
    <t>Physiology / editors, John Bullock, Joseph Boyle III, Michael B. Wang ; associate editor, Robert R. Ajello.</t>
  </si>
  <si>
    <t>New York : Wiley ; Media, Pa. : Harwal Pub. Co., c1984.</t>
  </si>
  <si>
    <t>The National medical series for independent study.</t>
  </si>
  <si>
    <t>2004-01-13</t>
  </si>
  <si>
    <t>QT 18 P5785 1989</t>
  </si>
  <si>
    <t>0                      QT 0018000P  5785        1989</t>
  </si>
  <si>
    <t>Physiology / edited by Robert J. Person and Roger Thies ; with contributions by Robert C. Beesley ... [et al.].</t>
  </si>
  <si>
    <t>Oklahoma notes</t>
  </si>
  <si>
    <t>2000-05-01</t>
  </si>
  <si>
    <t>QT 18 P5785 1992</t>
  </si>
  <si>
    <t>0                      QT 0018000P  5785        1992</t>
  </si>
  <si>
    <t>Physiology / edited by Roger Thies ; with contributions by Kirk W. Barron ... [et al.].</t>
  </si>
  <si>
    <t>New York : Springer-Verlag, c1992.</t>
  </si>
  <si>
    <t>2009-02-09</t>
  </si>
  <si>
    <t>1992-04-23</t>
  </si>
  <si>
    <t>QT 18.2 C838p 1995</t>
  </si>
  <si>
    <t>0                      QT 0018200C  838p        1995</t>
  </si>
  <si>
    <t>Physiology / Linda S. Costanzo.</t>
  </si>
  <si>
    <t>Costanzo, Linda S., 1947-</t>
  </si>
  <si>
    <t>Philadelphia : Williams &amp; Wilkins, c1995.</t>
  </si>
  <si>
    <t>2008-01-11</t>
  </si>
  <si>
    <t>1999-11-05</t>
  </si>
  <si>
    <t>QT 18.2 S764 2005</t>
  </si>
  <si>
    <t>0                      QT 0018200S  764         2005</t>
  </si>
  <si>
    <t>Sports medicine : examination &amp; board review / edited by Francis G. O'Connor ... [et al.].</t>
  </si>
  <si>
    <t>New York : McGraw-Hill, Medical Pub. Division, c2005.</t>
  </si>
  <si>
    <t>McGraw-Hill specialty board review</t>
  </si>
  <si>
    <t>2006-12-06</t>
  </si>
  <si>
    <t>2005-07-14</t>
  </si>
  <si>
    <t>QT 22 AA1 A512a 1994</t>
  </si>
  <si>
    <t>0                      QT 0022000AA 1                  A  512a        1994</t>
  </si>
  <si>
    <t>ACSM's 1994 directory of graduate programs in sports medicine and exercise science / American College of Sports Medicine.</t>
  </si>
  <si>
    <t>American College of Sports Medicine.</t>
  </si>
  <si>
    <t>Indianapolis, Ind. : American College of Sports Medicine, c1994.</t>
  </si>
  <si>
    <t>1999-07-29</t>
  </si>
  <si>
    <t>1994-02-09</t>
  </si>
  <si>
    <t>QT29 A6748s 2003</t>
  </si>
  <si>
    <t>0                      QT 0029000A  6748s       2003</t>
  </si>
  <si>
    <t>Sports medicine / Robert A. Arciero ; illustrator, Timothy E. Hengst.</t>
  </si>
  <si>
    <t>Arciero, Robert A.</t>
  </si>
  <si>
    <t>New York : McGraw-Hill, Medical Pub. Division, c2004.</t>
  </si>
  <si>
    <t>Orthopaedic pocket procedures</t>
  </si>
  <si>
    <t>2004-09-20</t>
  </si>
  <si>
    <t>QT 29 B615 1995</t>
  </si>
  <si>
    <t>0                      QT 0029000B  615         1995</t>
  </si>
  <si>
    <t>The biomedical engineering handbook / editor-in-chief, Joseph D. Bronzino.</t>
  </si>
  <si>
    <t>The electrical engineering handbook series</t>
  </si>
  <si>
    <t>1999-04-29</t>
  </si>
  <si>
    <t>QT 29 S76387 2007</t>
  </si>
  <si>
    <t>0                      QT 0029000S  76387       2007</t>
  </si>
  <si>
    <t>Sports injuries sourcebook : basic consumer health information about sprains and strains, fractures, growth plate injuries, overtraining injuries, and injuries to the head, face, shoulders, elbows, hands, spinal column, knees, ankles, and feet ... / edited by Sandra J. Judd.</t>
  </si>
  <si>
    <t>Detroit, MI : Omnigraphics, c2007.</t>
  </si>
  <si>
    <t>Health reference series</t>
  </si>
  <si>
    <t>2009-07-21</t>
  </si>
  <si>
    <t>2009-05-21</t>
  </si>
  <si>
    <t>QT29 T253 2002</t>
  </si>
  <si>
    <t>0                      QT 0029000T  253         2002</t>
  </si>
  <si>
    <t>Team physician's handbook / [edited by] Morris B. Mellion ... [et al.].</t>
  </si>
  <si>
    <t>Philadelphia : Hanley &amp; Belfus, c2002.</t>
  </si>
  <si>
    <t>2009-02-23</t>
  </si>
  <si>
    <t>QT 34 B6159 1987</t>
  </si>
  <si>
    <t>0                      QT 0034000B  6159        1987</t>
  </si>
  <si>
    <t>Biotechnology in clinical medicine / editors, Alberto Albertini, Claude Lenfant, Rodolfo Paoletti.</t>
  </si>
  <si>
    <t>New York : Raven Press, c1987.</t>
  </si>
  <si>
    <t>1995-06-20</t>
  </si>
  <si>
    <t>1988-04-30</t>
  </si>
  <si>
    <t>QT 34  B967i 1929</t>
  </si>
  <si>
    <t>0                      QT 0034000B  967i        1929</t>
  </si>
  <si>
    <t>An introduction to biophysics / With a foreword by Prof. D. Noël Paton.</t>
  </si>
  <si>
    <t>Burns, David.</t>
  </si>
  <si>
    <t>New York : Macmillan, 1929.</t>
  </si>
  <si>
    <t>2nd ed. With 116 illustrations.</t>
  </si>
  <si>
    <t>1995-09-25</t>
  </si>
  <si>
    <t>1988-02-29</t>
  </si>
  <si>
    <t>QT 34 E38 1985</t>
  </si>
  <si>
    <t>0                      QT 0034000E  38          1985</t>
  </si>
  <si>
    <t>Electronic devices for rehabilitation / edited by John G. Webster ... [et al.].</t>
  </si>
  <si>
    <t>1988-01-18</t>
  </si>
  <si>
    <t>QT 34 G295p 1989</t>
  </si>
  <si>
    <t>0                      QT 0034000G  295p        1989</t>
  </si>
  <si>
    <t>Principles of applied biomedical instrumentation / L.A. Geddes, L.E. Baker.</t>
  </si>
  <si>
    <t>Geddes, L. A. (Leslie Alexander), 1921-</t>
  </si>
  <si>
    <t>New York : Wiley, c1989.</t>
  </si>
  <si>
    <t>QT 34 H236 1986</t>
  </si>
  <si>
    <t>0                      QT 0034000H  236         1986</t>
  </si>
  <si>
    <t>Handbook of biomaterials evaluation : scientific, technical, and clinical testing of implant materials / editor, Andreas F. von Recum ; section editors, Robert E. Baier ... [et al.].</t>
  </si>
  <si>
    <t>New York : Macmillan, c1986.</t>
  </si>
  <si>
    <t>2001-06-19</t>
  </si>
  <si>
    <t>QT 34 H456u 1995</t>
  </si>
  <si>
    <t>0                      QT 0034000H  456u        1995</t>
  </si>
  <si>
    <t>Ultrasound physics and instrumentation / Wayne R. Hedrick, David L. Hykes, Dale E. Starchman.</t>
  </si>
  <si>
    <t>Hedrick, Wayne R.</t>
  </si>
  <si>
    <t>St. Louis : Mosby, c1995.</t>
  </si>
  <si>
    <t>1995-02-20</t>
  </si>
  <si>
    <t>QT 34 I348 1994</t>
  </si>
  <si>
    <t>0                      QT 0034000I  348         1994</t>
  </si>
  <si>
    <t>Implantation biology : the host response and biomedical devices / edited by Ralph S. Greco.</t>
  </si>
  <si>
    <t>1998-11-09</t>
  </si>
  <si>
    <t>QT 34 J54i 1976</t>
  </si>
  <si>
    <t>0                      QT 0034000J  54i         1976</t>
  </si>
  <si>
    <t>Physics for the health professions / J. Trygve Jensen.</t>
  </si>
  <si>
    <t>Jensen, J. Trygve (Jens Trygve)</t>
  </si>
  <si>
    <t>Philadelphia : Lippincott, c1976.</t>
  </si>
  <si>
    <t>1996-03-23</t>
  </si>
  <si>
    <t>QT 34 W446b 1992</t>
  </si>
  <si>
    <t>0                      QT 0034000W  446b        1992</t>
  </si>
  <si>
    <t>Biomedical instruments : theory and design / Walter Welkowitz, Sid Deutsch, Metin Akay.</t>
  </si>
  <si>
    <t>Welkowitz, Walter, 1926-2012.</t>
  </si>
  <si>
    <t>San Diego : Academic Press, c1992.</t>
  </si>
  <si>
    <t>1992-02-18</t>
  </si>
  <si>
    <t>QT 35 M4265 1984</t>
  </si>
  <si>
    <t>0                      QT 0035000M  4265        1984</t>
  </si>
  <si>
    <t>Mathematical methods in medicine / edited by D. Ingram, R.F. Bloch.</t>
  </si>
  <si>
    <t>Chichester ; New York : Wiley, c1984.</t>
  </si>
  <si>
    <t>Handbook of applicable mathematics. Guidebook ; 3, etc.</t>
  </si>
  <si>
    <t>2005-10-26</t>
  </si>
  <si>
    <t>1988-04-19</t>
  </si>
  <si>
    <t>QT 36 E61 1998</t>
  </si>
  <si>
    <t>0                      QT 0036000E  61          1998</t>
  </si>
  <si>
    <t>Enzyme and microbial biosensors : techniques and protocols / edited by Ashok Mulchandani and Kim R. Rogers.</t>
  </si>
  <si>
    <t>Methods in biotechnology ; 6</t>
  </si>
  <si>
    <t>2001-07-02</t>
  </si>
  <si>
    <t>1999-11-23</t>
  </si>
  <si>
    <t>QT 36 M592 2009</t>
  </si>
  <si>
    <t>0                      QT 0036000M  592         2009</t>
  </si>
  <si>
    <t>Methods in bioengineering : nanoscale bioengineering and nanomedicine / Kaushal Rege, Igor L. Medintz, editors.</t>
  </si>
  <si>
    <t>Boston : Artech House, c2009.</t>
  </si>
  <si>
    <t>The Artech House methods in bioengineering series</t>
  </si>
  <si>
    <t>2010-09-17</t>
  </si>
  <si>
    <t>QT36 U84 2005</t>
  </si>
  <si>
    <t>0                      QT 0036000U  84          2005</t>
  </si>
  <si>
    <t>Using human factors engineering to improve patient safety / editor, John W. Gosbee ; contributing editor, Laura Lin Gosbee.</t>
  </si>
  <si>
    <t>Oakbrook Terrace, Ill. : Joint Commission Resources, c2005.</t>
  </si>
  <si>
    <t>2009-03-26</t>
  </si>
  <si>
    <t>2005-05-05</t>
  </si>
  <si>
    <t>QT37 B6146 2004</t>
  </si>
  <si>
    <t>0                      QT 0037000B  6146        2004</t>
  </si>
  <si>
    <t>Biomechanics and biomaterials in orthopedics / Dominique G. Poitout, ed. ; with forewords by Reinat Kotz and Karl-Göran Thorngren.</t>
  </si>
  <si>
    <t>London ; New York : Springer, c2004.</t>
  </si>
  <si>
    <t>2004-12-21</t>
  </si>
  <si>
    <t>2004-12-10</t>
  </si>
  <si>
    <t>QT 39 H236 1993</t>
  </si>
  <si>
    <t>0                      QT 0039000H  236         1993</t>
  </si>
  <si>
    <t>Handbook of sports medicine : a symptom-oriented approach / editors, Wade A. Lillegard, Karen S. Rucker ; foreword by John Lombardo ; with 37 contributors.</t>
  </si>
  <si>
    <t>Boston : Andover Medical Publishers, c1993.</t>
  </si>
  <si>
    <t>2000-11-25</t>
  </si>
  <si>
    <t>QT 104 B561p 1991</t>
  </si>
  <si>
    <t>0                      QT 0104000B  561p        1991</t>
  </si>
  <si>
    <t>Best and Taylor's physiological basis of medical practice.</t>
  </si>
  <si>
    <t>Baltimore : Williams &amp; Wilkins, c1991 [1990 printing].</t>
  </si>
  <si>
    <t>12th ed. / edited by John B. West.</t>
  </si>
  <si>
    <t>1991-01-14</t>
  </si>
  <si>
    <t>QT 104 C891i 1938</t>
  </si>
  <si>
    <t>0                      QT 0104000C  891i        1938</t>
  </si>
  <si>
    <t>An introduction to human physiology / by Lathan A. Crandall, Jr.</t>
  </si>
  <si>
    <t>Crandall, Lathan A. (Lathan Augustus), 1903-</t>
  </si>
  <si>
    <t>Philadelphia : Saunders, c1938.</t>
  </si>
  <si>
    <t>2nd ed., rev.</t>
  </si>
  <si>
    <t>1988-01-20</t>
  </si>
  <si>
    <t>QT 104 G688p 1984</t>
  </si>
  <si>
    <t>0                      QT 0104000G  688p        1984</t>
  </si>
  <si>
    <t>Physiology for the anesthesiologist / Nishan G. Goudsouzian, Agop Karamanian.</t>
  </si>
  <si>
    <t>Goudsouzian, Nishan G.</t>
  </si>
  <si>
    <t>Norwalk, Conn. : Appleton-Century-Crofts, c1984.</t>
  </si>
  <si>
    <t>1995-04-26</t>
  </si>
  <si>
    <t>QT 104 G992b 1992</t>
  </si>
  <si>
    <t>0                      QT 0104000G  992b        1992</t>
  </si>
  <si>
    <t>Philadelphia : W.B. Saunders, c1992.</t>
  </si>
  <si>
    <t>QT 104 G992b 1997</t>
  </si>
  <si>
    <t>0                      QT 0104000G  992b        1997</t>
  </si>
  <si>
    <t>Human physiology and mechanisms of disease / Arthur C. Guyton and John E. Hall.</t>
  </si>
  <si>
    <t>Philadelphia : Saunders, c1997.</t>
  </si>
  <si>
    <t>2010-01-15</t>
  </si>
  <si>
    <t>1997-01-17</t>
  </si>
  <si>
    <t>QT 104 G992f 1974</t>
  </si>
  <si>
    <t>0                      QT 0104000G  992f        1974</t>
  </si>
  <si>
    <t>Function of the human body / [by] Arthur C. Guyton.</t>
  </si>
  <si>
    <t>Philadelphia : Saunders, 1974.</t>
  </si>
  <si>
    <t>2000-11-13</t>
  </si>
  <si>
    <t>QT 104 H236 sect.1 1977</t>
  </si>
  <si>
    <t>0                      QT 0104000H  236                                                     sect.1 1977</t>
  </si>
  <si>
    <t>Handbook of physiology : a critical, comprehensive presentation of physiological knowledge and concepts: Section 1 : The nervous system. Volume 1. Cellular Biology of Neurons, Part 1 and 2 / John M. Brookhart, Vernon B. Mountcastle, section editors.</t>
  </si>
  <si>
    <t>V. 1 PT. 2</t>
  </si>
  <si>
    <t>Bethesda, Md. : American Physiological Society, 1977.</t>
  </si>
  <si>
    <t>[Rev. ed.]</t>
  </si>
  <si>
    <t>1995-12-06</t>
  </si>
  <si>
    <t>1987-11-06</t>
  </si>
  <si>
    <t>V. 1 PT. 1</t>
  </si>
  <si>
    <t>QT 104 H236 Sect.2</t>
  </si>
  <si>
    <t>0                      QT 0104000H  236                                                     Sect.2</t>
  </si>
  <si>
    <t>The Cardiovascular system : section 2 / volume editor, Robert M. Berne, associate editor, Nick Sperelakis, executive editor, Stephen R. Geiger.</t>
  </si>
  <si>
    <t>Bethesda, Md. : American Physiological Society ; Baltimore, Md. : distributed by Williams and Wilkins Co., 1979-1980.</t>
  </si>
  <si>
    <t>Handbook of physiology ; section 2</t>
  </si>
  <si>
    <t>1988-10-01</t>
  </si>
  <si>
    <t>1988-04-13</t>
  </si>
  <si>
    <t>QT 104 H236 1964-65 sect.3</t>
  </si>
  <si>
    <t>0                      QT 0104000H  236         1964                                        -65 sect.3</t>
  </si>
  <si>
    <t>Handbook of physiology : a critical, comprehensive presentation of physiological knowledge and concepts : section 3, respiration / section editors Wallace O. Fenn, Hermann Rahn.</t>
  </si>
  <si>
    <t>Washington : American Physiological Society ; Baltimore : distributed by Williams &amp; Wilkins, c1964-1965</t>
  </si>
  <si>
    <t>Handbook of physiology ; sect. 3</t>
  </si>
  <si>
    <t>1989-02-17</t>
  </si>
  <si>
    <t>1987-10-16</t>
  </si>
  <si>
    <t>QT 104 H236 1981 S1V2</t>
  </si>
  <si>
    <t>0                      QT 0104000H  236         1981   S  1                  V  2</t>
  </si>
  <si>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</si>
  <si>
    <t>V. 2 PT. 1</t>
  </si>
  <si>
    <t>Bethesda, Md. : American Physiological Society ; Baltimore, Md. : Distributed by the Williams &amp; Wilkins Co., c1981.</t>
  </si>
  <si>
    <t>Handbook of physiology ; sect. 1, v. 2</t>
  </si>
  <si>
    <t>V. 2 PT. 2</t>
  </si>
  <si>
    <t>QT 104 H236 1983 Section10</t>
  </si>
  <si>
    <t>0                      QT 0104000H  236         1983                                        Section10</t>
  </si>
  <si>
    <t>Handbook of physiology : a critical, comprehensive presentation of physiological knowledge and concepts : Section 10 : skeletal muscle / section editor, Lee D. Peachey, associate editor, Richard H. Adrian, executive editor, Stephen R. Geiger.</t>
  </si>
  <si>
    <t>Bethesda, Md. : American Physiological Society ; Baltimore : Distributed by William &amp; Wilkins, c1983.</t>
  </si>
  <si>
    <t>Handbook of physiology ; section 10</t>
  </si>
  <si>
    <t>2003-02-12</t>
  </si>
  <si>
    <t>QT 104 H236 1984 S1V3</t>
  </si>
  <si>
    <t>0                      QT 0104000H  236         1984   S  1                  V  3</t>
  </si>
  <si>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</si>
  <si>
    <t>V. 3 PT. 2</t>
  </si>
  <si>
    <t>Bethesda, Md. : American Physiological Society ; Baltimore, Md. : Distributed by Williams &amp; Wilkins, c1984.</t>
  </si>
  <si>
    <t>Handbook of physiology ; sect. 1, v. 3</t>
  </si>
  <si>
    <t>2017-02-28</t>
  </si>
  <si>
    <t>V. 3 PT. 1</t>
  </si>
  <si>
    <t>QT 104 H236 1984 S2,v.4</t>
  </si>
  <si>
    <t>0                      QT 0104000H  236         1984   S  2                                 v.4</t>
  </si>
  <si>
    <t>Handbook of physiology : a critical, comprehensive presentation of physiological knowledge and concepts : section 2: the cardiovascular system ; Volume IV: Microcirculation / volume editors, Eugene M. Renkin, C. Charles Michel ; executive editor, Stephen R. Geiger.</t>
  </si>
  <si>
    <t>V. 4 PT. 1</t>
  </si>
  <si>
    <t>Bethesda, Md. : American Physiological Society, c1984.</t>
  </si>
  <si>
    <t>Handbook of physiology ; sect. 2, v. 4</t>
  </si>
  <si>
    <t>1990-07-17</t>
  </si>
  <si>
    <t>V. 4 PT. 2</t>
  </si>
  <si>
    <t>QT 104 H236 1985-86 Section 3</t>
  </si>
  <si>
    <t>0                      QT 0104000H  236         1985                                        -86 Section 3</t>
  </si>
  <si>
    <t>Handbook of physiology : a critical, comprehensive presentation of physiological knowledge and concepts : the respiratory system / section editor, Alfred P. Fishman ; executive editor, Stephen R. Geiger.</t>
  </si>
  <si>
    <t>Bethesda, Md. : American Physiological Society ; Baltimore, Md. : Distributed by Williams &amp; Wilkins, c1985-1986. &gt;</t>
  </si>
  <si>
    <t>Handbook of physiology ; section 3</t>
  </si>
  <si>
    <t>1988-12-30</t>
  </si>
  <si>
    <t>1990-07-16</t>
  </si>
  <si>
    <t>1993-04-18</t>
  </si>
  <si>
    <t>QT 104 H236 1986 s1v4</t>
  </si>
  <si>
    <t>0                      QT 0104000H  236         1986                                        s1v4</t>
  </si>
  <si>
    <t>Handbook of physiology : a critical, comprehensive presentation of physiological knowledge and concepts : Section 1: the nervous system : volume IV: intrinsic regulatory systems of the brain / section editor, Vernon B. Mountcastle ; volume editor, FLoyd E. Bloom ; executive editor, Steven R. Geiger.</t>
  </si>
  <si>
    <t>Bethesda, Md. : American Physiological Society ; Baltimore, Md. : Distributed by the Williams &amp; Wilkins Co., c1986.</t>
  </si>
  <si>
    <t>Handbook of physiology ; sect. 1, v. 4</t>
  </si>
  <si>
    <t>1995-03-05</t>
  </si>
  <si>
    <t>QT 104 H236 1986 S3v3</t>
  </si>
  <si>
    <t>0                      QT 0104000H  236         1986                                        S3v3</t>
  </si>
  <si>
    <t>Handbook of physiology : a critical, comprehensive presentation of physiological knowledge and concepts : the respiratory system : Volume III : mechanics of breathing / section editor, Alfred P. Fishman ; volume editors, Peter T. Macklem, Jere Mead ; executive editor, Stephen R. Geiger.</t>
  </si>
  <si>
    <t>Bethesda, Md. : American Physiological Society, c1986.</t>
  </si>
  <si>
    <t>Handbook of physiology ; section 3, v. 3</t>
  </si>
  <si>
    <t>1997-10-22</t>
  </si>
  <si>
    <t>QT104 H236 1986 SECT. 3</t>
  </si>
  <si>
    <t>0                      QT 0104000H  236         1986                                        SECT. 3</t>
  </si>
  <si>
    <t>QT 104 H236 1987 S1V5</t>
  </si>
  <si>
    <t>0                      QT 0104000H  236         1987   S  1                  V  5</t>
  </si>
  <si>
    <t>Handbook of physiology : a critical, comprehensive presentation of physiological knowledge and concepts : Section 1: The Nervous system : Volume V: Higher functions of the brain / section editor, Vernon B. Mountcastle ; volume editor, Fred Blum ; executive editor, Stephen R. Geiger.</t>
  </si>
  <si>
    <t>V. 5 PT. 2</t>
  </si>
  <si>
    <t>Bethesda, Md. : American Physiological Society ; Baltimore, Md. : distributed by Williams &amp; Wilkins Co., c1987</t>
  </si>
  <si>
    <t>Handbook of physiology ; sect.1, v. 5</t>
  </si>
  <si>
    <t>1987-12-10</t>
  </si>
  <si>
    <t>V. 5 PT. 1</t>
  </si>
  <si>
    <t>QT 104 H236 1987 S3V4</t>
  </si>
  <si>
    <t>0                      QT 0104000H  236         1987   S  3                  V  4</t>
  </si>
  <si>
    <t>Handbook of physiology : a critical, comprehensive presentation of physiological knowledge and concepts : Section 3: The Respiratory system : Volume IV : Gas exchange / section editor, Alfred P. Fishman ; volume editors, Leon E. Farhi, S. Marsh Tenney ; executive editor, Stephen R. Geiger.</t>
  </si>
  <si>
    <t>Bethesda, Md. : American Physiological Society, c1987.</t>
  </si>
  <si>
    <t>Handbook of physiology ; section 3, v. 4</t>
  </si>
  <si>
    <t>1989-02-11</t>
  </si>
  <si>
    <t>QT 104 H236 1989 S6v3</t>
  </si>
  <si>
    <t>0                      QT 0104000H  236         1989                                        S6v3</t>
  </si>
  <si>
    <t>Handbook of physiology : a critical, comprehensive presentation of physiological knowledge and concepts : the gastrointestinal system : salivary, gastric, pancreatic, and hepatobiliary secretion / volume editor, John G. Forte.</t>
  </si>
  <si>
    <t>Bethesda, Md. : American Physiological Society, c1989.</t>
  </si>
  <si>
    <t>Handbook of physiology [Rev. ed.] ; sect. 6, v. 3.</t>
  </si>
  <si>
    <t>2009-02-19</t>
  </si>
  <si>
    <t>QT 104 H236 1989 S6V2</t>
  </si>
  <si>
    <t>0                      QT 0104000H  236         1989   S  6                  V  2</t>
  </si>
  <si>
    <t>Handbook of physiology : a critical, comprehensive presentation of physiological knowledge and concepts : The Gastrointestinal system ; Volume II: Neural and endocrine biology / section editor, Stanley G. Schultz ; volume editor, Gabriel M. Makhlouf ; executive editor, Brenda B. Rauner.</t>
  </si>
  <si>
    <t>Rev. 2nd ed.</t>
  </si>
  <si>
    <t>Handbook of physiology ; section 6,volume 2</t>
  </si>
  <si>
    <t>1989-09-22</t>
  </si>
  <si>
    <t>QT 104 H236 1991 S6V4</t>
  </si>
  <si>
    <t>0                      QT 0104000H  236         1991   S  6                  V  4</t>
  </si>
  <si>
    <t>Handbook of physiology : a critical, comprehensive presentation of physiological knowledge and concepts : Intestinal absorption and secretion / section editor, Stanley G. Schultz ; volume editors, Michael Field, Raymond A. Frizzell ; executive editor, Brenda B. Rauner.</t>
  </si>
  <si>
    <t>Bethesda, Md. : American Physiological Society, c1991.</t>
  </si>
  <si>
    <t>Handbook of physiology ; section 6, volume IV</t>
  </si>
  <si>
    <t>1991-04-23</t>
  </si>
  <si>
    <t>QT104 H2361 2001 V. 4</t>
  </si>
  <si>
    <t>0                      QT 0104000H  2361        2001                                        V. 4</t>
  </si>
  <si>
    <t>Coping with the environment : neural and endocrine mechanisms / volume editor, Bruce S. McEwen ; section editor, H. Maurice Goodman.</t>
  </si>
  <si>
    <t>New York : Published for the American Physiological Society by Oxford University Press, 2001.</t>
  </si>
  <si>
    <t>Handbook of physiology ; section 7, v.4.</t>
  </si>
  <si>
    <t>2003-07-07</t>
  </si>
  <si>
    <t>2003-06-27</t>
  </si>
  <si>
    <t>QT 104 L283p 1971</t>
  </si>
  <si>
    <t>0                      QT 0104000L  283p        1971</t>
  </si>
  <si>
    <t>Physiology of man / [by] L. L. Langley.</t>
  </si>
  <si>
    <t>New York : Van Nostrand Reinhold Co., [1971]</t>
  </si>
  <si>
    <t>2004-06-14</t>
  </si>
  <si>
    <t>QT 104 L289i 1984</t>
  </si>
  <si>
    <t>0                      QT 0104000L  289i        1984</t>
  </si>
  <si>
    <t>Integrated science for health students / T. Randall Lankford.</t>
  </si>
  <si>
    <t>Lankford, T. Randall, 1942-</t>
  </si>
  <si>
    <t>Reston, Va. : Reston Pub. Co., c1984.</t>
  </si>
  <si>
    <t>QT 104 L673e 1946</t>
  </si>
  <si>
    <t>0                      QT 0104000L  673e        1946</t>
  </si>
  <si>
    <t>Exercises in human physiology : (preparatory to clinical work) / by Sir Thomas Lewis.</t>
  </si>
  <si>
    <t>Lewis, Thomas, Sir, 1881-1945.</t>
  </si>
  <si>
    <t>London : Macmillan, 1946, c1945.</t>
  </si>
  <si>
    <t>1945</t>
  </si>
  <si>
    <t>2008-09-02</t>
  </si>
  <si>
    <t>QT 104 M398h 1983</t>
  </si>
  <si>
    <t>0                      QT 0104000M  398h        1983</t>
  </si>
  <si>
    <t>Human physiology / Elliott B. Mason.</t>
  </si>
  <si>
    <t>Mason, Elliott B., 1943-</t>
  </si>
  <si>
    <t>Menlo Park, Calif. : Benjamin/Cummings Pub. Co., c1983.</t>
  </si>
  <si>
    <t>Benjamin/Cummings series in the life sciences</t>
  </si>
  <si>
    <t>1993-04-07</t>
  </si>
  <si>
    <t>QT104 P5776 2004</t>
  </si>
  <si>
    <t>0                      QT 0104000P  5776        2004</t>
  </si>
  <si>
    <t>Physiology for anaesthesiologists / edited by J.P. Howard Fee, James G. Bovill.</t>
  </si>
  <si>
    <t>London ; New York : Taylor &amp; Francis, c2004.</t>
  </si>
  <si>
    <t>2005-10-25</t>
  </si>
  <si>
    <t>QT 104 P578 1949F</t>
  </si>
  <si>
    <t>0                      QT 0104000P  578         1949F</t>
  </si>
  <si>
    <t>Physiology of heat regulation and the science of clothing / prepared at the request of the Division of Medical Sciences, National Research Council.</t>
  </si>
  <si>
    <t>Philadelphia : Saunders, c1949.</t>
  </si>
  <si>
    <t>1949</t>
  </si>
  <si>
    <t>1992-04-09</t>
  </si>
  <si>
    <t>QT 104 P957 1990</t>
  </si>
  <si>
    <t>0                      QT 0104000P  957         1990</t>
  </si>
  <si>
    <t>Principles of physiology / edited by Robert M. Berne, Matthew N. Levy.</t>
  </si>
  <si>
    <t>St. Louis : Mosby, c1990.</t>
  </si>
  <si>
    <t>1999-10-18</t>
  </si>
  <si>
    <t>1990-08-08</t>
  </si>
  <si>
    <t>QT 104 S4525ap 1995</t>
  </si>
  <si>
    <t>0                      QT 0104000S  4525ap      1995</t>
  </si>
  <si>
    <t>Art pak to accompany Anatomy &amp; physiology / Rod R. Seeley, Trent D. Stephens, Philip Tate.</t>
  </si>
  <si>
    <t>Seeley, Rod R.</t>
  </si>
  <si>
    <t>2000-03-21</t>
  </si>
  <si>
    <t>QT 104 S452a 1995</t>
  </si>
  <si>
    <t>0                      QT 0104000S  452a        1995</t>
  </si>
  <si>
    <t>Anatomy &amp; physiology / Rod R. Seeley, Trent D. Stephens, Philip Tate.</t>
  </si>
  <si>
    <t>QT 104 S452a 1998</t>
  </si>
  <si>
    <t>0                      QT 0104000S  452a        1998</t>
  </si>
  <si>
    <t>Boston, Mass. : WCB/McGraw-Hill, c1998.</t>
  </si>
  <si>
    <t>2007-04-16</t>
  </si>
  <si>
    <t>1998-03-02</t>
  </si>
  <si>
    <t>QT 104 S452ap 1998</t>
  </si>
  <si>
    <t>0                      QT 0104000S  452ap       1998</t>
  </si>
  <si>
    <t>Anatomy &amp; physiology : student study art notebook / Rod R. Seeley, Trent D. Stephens, Philip Tate.</t>
  </si>
  <si>
    <t>Dubuque, Iowa : McGraw-Hill/WCB, c1998.</t>
  </si>
  <si>
    <t>QT 104 S645b 1973</t>
  </si>
  <si>
    <t>0                      QT 0104000S  645b        1973</t>
  </si>
  <si>
    <t>The biologic ages of man from conception through old age / Edited by David W. Smith [and] Edwin L. Bierman.</t>
  </si>
  <si>
    <t>Smith, David W., 1926-1981.</t>
  </si>
  <si>
    <t>1989-07-08</t>
  </si>
  <si>
    <t>QT 104 T3553 1989</t>
  </si>
  <si>
    <t>0                      QT 0104000T  3553        1989</t>
  </si>
  <si>
    <t>Textbook of physiology / [edited by] Harry D. Patton ... [et al.].</t>
  </si>
  <si>
    <t>Philadelphia : Saunders, c1989.</t>
  </si>
  <si>
    <t>21st ed.</t>
  </si>
  <si>
    <t>2000-03-31</t>
  </si>
  <si>
    <t>1989-07-28</t>
  </si>
  <si>
    <t>QT 104 T419g 1985</t>
  </si>
  <si>
    <t>0                      QT 0104000T  419g        1985</t>
  </si>
  <si>
    <t>Autonomic functions in human physiology / G. Thews, P. Vaupel ; translated by Marguerite A. Biederman-Thorson.</t>
  </si>
  <si>
    <t>Thews, Gerhard, 1926-2003.</t>
  </si>
  <si>
    <t>Springer study edition</t>
  </si>
  <si>
    <t>1989-11-30</t>
  </si>
  <si>
    <t>1987-11-17</t>
  </si>
  <si>
    <t>QT104 T427h 2002</t>
  </si>
  <si>
    <t>0                      QT 0104000T  427h        2002</t>
  </si>
  <si>
    <t>The human body in health &amp; disease / Gary A. Thibodeau, Kevin T. Patton.</t>
  </si>
  <si>
    <t>Thibodeau, Gary A., 1938-</t>
  </si>
  <si>
    <t>St. Louis, Mo. : Mosby, c2002.</t>
  </si>
  <si>
    <t>2007-04-25</t>
  </si>
  <si>
    <t>QT104 T427h 2005</t>
  </si>
  <si>
    <t>0                      QT 0104000T  427h        2005</t>
  </si>
  <si>
    <t>St. Louis, Mo. : Elsevier Mosby, c2005.</t>
  </si>
  <si>
    <t>2006-02-09</t>
  </si>
  <si>
    <t>QT 104 V228h 1994</t>
  </si>
  <si>
    <t>0                      QT 0104000V  228h        1994</t>
  </si>
  <si>
    <t>Human physiology : the mechanisms of body function / Arthur J. Vander, James H. Sherman, Dorothy S. Luciano.</t>
  </si>
  <si>
    <t>Vander, Arthur J., 1933-</t>
  </si>
  <si>
    <t>2004-04-19</t>
  </si>
  <si>
    <t>QT104 W641v 2004</t>
  </si>
  <si>
    <t>0                      QT 0104000W  641v        2004</t>
  </si>
  <si>
    <t>Vander, Sherman, &amp; Luciano's human physiology : the mechanisms of body function.</t>
  </si>
  <si>
    <t>Boston : McGraw-Hill Higher Education, c2004.</t>
  </si>
  <si>
    <t>9th ed. / Eric P. Widmaier, Hershel Raff, Kevin T. Strang ; contributions by Mary Erskine.</t>
  </si>
  <si>
    <t>QT 120 H377p 1988</t>
  </si>
  <si>
    <t>0                      QT 0120000H  377p        1988</t>
  </si>
  <si>
    <t>pH homeostasis : mechanisms and control / Dieter Häussinger.</t>
  </si>
  <si>
    <t>Häussinger, D. (Dieter), 1951-</t>
  </si>
  <si>
    <t>London : Academic, c1988.</t>
  </si>
  <si>
    <t>1988-05-17</t>
  </si>
  <si>
    <t>QT 120 H7655 1984</t>
  </si>
  <si>
    <t>0                      QT 0120000H  7655        1984</t>
  </si>
  <si>
    <t>Homeostatic function and aging / editors, Bernard B. Davis, W. Gibson Wood.</t>
  </si>
  <si>
    <t>New York : Raven Press, c1985.</t>
  </si>
  <si>
    <t>Aging ; v. 30</t>
  </si>
  <si>
    <t>QT 150 A239p 1947</t>
  </si>
  <si>
    <t>0                      QT 0150000A  239p        1947</t>
  </si>
  <si>
    <t>Physiology of man in the desert / by E.F. Adolph and associates.</t>
  </si>
  <si>
    <t>Adolph, Edward F. (Edward Frederick), 1895-1986.</t>
  </si>
  <si>
    <t>New York : Interscience Pub., c1947.</t>
  </si>
  <si>
    <t>1947</t>
  </si>
  <si>
    <t>QT 160 L793h 1986</t>
  </si>
  <si>
    <t>0                      QT 0160000L  793h        1986</t>
  </si>
  <si>
    <t>Hypothermia and cold stress / Evan H. Lloyd.</t>
  </si>
  <si>
    <t>Lloyd, Evan H., 1937-</t>
  </si>
  <si>
    <t>Rockville, Md. : Aspen Systems Corp., c1986.</t>
  </si>
  <si>
    <t>1994-03-12</t>
  </si>
  <si>
    <t>QT 160 S795k 1960</t>
  </si>
  <si>
    <t>0                      QT 0160000S  795k        1960</t>
  </si>
  <si>
    <t>The problem of acute hypothermia / Translated from the Russian by R.E. Hammond. Edited by E. Neil.</t>
  </si>
  <si>
    <t>Starkov, P. M., editor.</t>
  </si>
  <si>
    <t>London : New York : Pergamon Press, 1960.</t>
  </si>
  <si>
    <t>1988-03-03</t>
  </si>
  <si>
    <t>QT 162.S8 S914 1999</t>
  </si>
  <si>
    <t>0                      QT 0162000S  8                  S  914         1999</t>
  </si>
  <si>
    <t>Stress adaptation, prophylaxis, and treatment / edited by Dipak K. Das.</t>
  </si>
  <si>
    <t>Dordrecht ; Boston : Kluwer Academic Publishers, c1999.</t>
  </si>
  <si>
    <t>Developments in molecular and cellular biochemistry ; 32</t>
  </si>
  <si>
    <t>1999-09-30</t>
  </si>
  <si>
    <t>QT 165 I62t 1991</t>
  </si>
  <si>
    <t>0                      QT 0165000I  62t         1991</t>
  </si>
  <si>
    <t>Thermoregulation : the pathophysiological basis of clinical disorders / 8th International Symposium on the Pharmacology of Thermoregulation, Kananaskis, Alta., August 26-30, 1991 ; editors, P. Lomax, E. Schönbaum.</t>
  </si>
  <si>
    <t>International Symposium on the Pharmacology of Thermoregulation (8th : 1991 : Kananaskis, Alta.)</t>
  </si>
  <si>
    <t>Basel ; New York : Karger, c1992.</t>
  </si>
  <si>
    <t>QT 167 B6148 1994</t>
  </si>
  <si>
    <t>0                      QT 0167000B  6148        1994</t>
  </si>
  <si>
    <t>Biologic rhythms in clinical and laboratory medicine / Y. Touitou, E. Haus (eds.).</t>
  </si>
  <si>
    <t>Berlin ; New York ; Paris : Springer-Verlag, second printing 1994, c1992.</t>
  </si>
  <si>
    <t>Second printing 1994.</t>
  </si>
  <si>
    <t>1999-09-10</t>
  </si>
  <si>
    <t>QT 180 A67h 1986</t>
  </si>
  <si>
    <t>0                      QT 0180000A  67h         1986</t>
  </si>
  <si>
    <t>High level wellness : an alternative to doctors, drugs, and disease / Donald B. Ardell.</t>
  </si>
  <si>
    <t>Ardell, Donald B.</t>
  </si>
  <si>
    <t>Berkeley, CA : Ten Speed Press, c1986.</t>
  </si>
  <si>
    <t>Tenth anniversary edition.</t>
  </si>
  <si>
    <t>1997-09-23</t>
  </si>
  <si>
    <t>QT 180 E23h 1988</t>
  </si>
  <si>
    <t>0                      QT 0180000E  23h         1988</t>
  </si>
  <si>
    <t>Health &amp; wellness : a holistic approach / Gordon Edlin and Eric Golanty.</t>
  </si>
  <si>
    <t>Edlin, Gordon, 1932-</t>
  </si>
  <si>
    <t>Boston : Jones and Bartlett Publishers, c1988.</t>
  </si>
  <si>
    <t>1990-11-21</t>
  </si>
  <si>
    <t>1988-08-09</t>
  </si>
  <si>
    <t>QT 180 G812c 1984</t>
  </si>
  <si>
    <t>0                      QT 0180000G  812c        1984</t>
  </si>
  <si>
    <t>Cleanliness and the health revolution / V.W. Greene.</t>
  </si>
  <si>
    <t>Greene, V. W.</t>
  </si>
  <si>
    <t>New York, N.Y. : Soap and Detergent Association, c1984.</t>
  </si>
  <si>
    <t>QT 180 H167i 1992</t>
  </si>
  <si>
    <t>0                      QT 0180000H  167i        1992</t>
  </si>
  <si>
    <t>An invitation to health : taking charge of your life / Dianne Hales.</t>
  </si>
  <si>
    <t>Hales, Dianne, 1950-</t>
  </si>
  <si>
    <t>Redwood City, Calif. : Benjamin/Cummings Pub. Co., c1992.</t>
  </si>
  <si>
    <t>1999-11-06</t>
  </si>
  <si>
    <t>1992-08-31</t>
  </si>
  <si>
    <t>QT 180 S965h 1986</t>
  </si>
  <si>
    <t>0                      QT 0180000S  965h        1986</t>
  </si>
  <si>
    <t>Health psychophysiology : mind-body interactions in wellness and illness / Steve Suter.</t>
  </si>
  <si>
    <t>Suter, Steve.</t>
  </si>
  <si>
    <t>Hillsdale, N.J. : L. Erlbaum Associates, c1986.</t>
  </si>
  <si>
    <t>2003-04-16</t>
  </si>
  <si>
    <t>QT 180 X5w 1993</t>
  </si>
  <si>
    <t>0                      QT 0180000X  5w          1993</t>
  </si>
  <si>
    <t>Why doesn't my funny bone make me laugh? : sneezes, hiccups, butterflies, and other funny feelings explained / Alan P. Xenakis.</t>
  </si>
  <si>
    <t>Xenakis, Alan Perry.</t>
  </si>
  <si>
    <t>New York : Villard Books, c1993.</t>
  </si>
  <si>
    <t>1994-12-05</t>
  </si>
  <si>
    <t>QT 200 L786 1988</t>
  </si>
  <si>
    <t>0                      QT 0200000L  786         1988</t>
  </si>
  <si>
    <t>Living fit / Henry J. Montoye ... [et al.].</t>
  </si>
  <si>
    <t>Menlo Park, Calif. : Benjamin/Cummings Pub. Co., c1988.</t>
  </si>
  <si>
    <t>2000-10-07</t>
  </si>
  <si>
    <t>1988-10-08</t>
  </si>
  <si>
    <t>QT 200 M533h 1996</t>
  </si>
  <si>
    <t>0                      QT 0200000M  533h        1996</t>
  </si>
  <si>
    <t>The human body in health &amp; disease / Ruth L. Memmler, Barbara Janson Cohen, Dena Lin Wood, illustrated by Janice A. Schwegler and Anthony Ravielli.</t>
  </si>
  <si>
    <t>Memmler, Ruth Lundeen.</t>
  </si>
  <si>
    <t>Philadelphia : Lippincott, c1996.</t>
  </si>
  <si>
    <t>1997-04-18</t>
  </si>
  <si>
    <t>1996-06-24</t>
  </si>
  <si>
    <t>QT 235 D565 1981</t>
  </si>
  <si>
    <t>0                      QT 0235000D  565         1981</t>
  </si>
  <si>
    <t>Diet and exercise--synergism in health maintenance / editors, Philip L. White and Therese Mondeika.</t>
  </si>
  <si>
    <t>Chicago, Ill. : American Medical Association, c1982.</t>
  </si>
  <si>
    <t>QT 235 M879L 1958</t>
  </si>
  <si>
    <t>0                      QT 0235000M  879L        1958</t>
  </si>
  <si>
    <t>The low-fat way to health and longer life : the complete guide to better health through automatic weight control, modern nutritional supplements, and low-fat diet / [by] Lester M. Morrison.</t>
  </si>
  <si>
    <t>Morrison, Lester M.</t>
  </si>
  <si>
    <t>Englewood Cliffs, N.J. : Prentic-Hall, 1958.</t>
  </si>
  <si>
    <t>1992-05-29</t>
  </si>
  <si>
    <t>QT250 J79t 2004</t>
  </si>
  <si>
    <t>0                      QT 0250000J  79t         2004</t>
  </si>
  <si>
    <t>Travelers' vaccines / Elaine C. Jong, Jane N. Zuckerman.</t>
  </si>
  <si>
    <t>Jong, Elaine C.</t>
  </si>
  <si>
    <t>Hamilton, Ont. ; Lewiston, NY : BC Decker, 2004.</t>
  </si>
  <si>
    <t>2004-10-26</t>
  </si>
  <si>
    <t>2004-10-25</t>
  </si>
  <si>
    <t>QT 250 W673 2007</t>
  </si>
  <si>
    <t>0                      QT 0250000W  673         2007</t>
  </si>
  <si>
    <t>Wilderness medicine / [edited by] Paul S. Auerbach.</t>
  </si>
  <si>
    <t>Philadelphia : Mosby Elsevier, c2007.</t>
  </si>
  <si>
    <t>2007-09-12</t>
  </si>
  <si>
    <t>QT255 A187 2005</t>
  </si>
  <si>
    <t>0                      QT 0255000A  187         2005</t>
  </si>
  <si>
    <t>ACSM's health-related physical fitness assessment manual / American College of Sports Medicine ; editors, Gregory B. Dwyer and Shala E. Davis.</t>
  </si>
  <si>
    <t>Philadelphia : Lippincott Williams &amp; Wilkins, c2005 [i.e. 2004]</t>
  </si>
  <si>
    <t>2005-11-17</t>
  </si>
  <si>
    <t>2005-11-15</t>
  </si>
  <si>
    <t>QT 255 A188 1999</t>
  </si>
  <si>
    <t>0                      QT 0255000A  188         1999</t>
  </si>
  <si>
    <t>Active older adults : ideas for action / Lynn Allen, editor ; with support from the Sporting Goods Manufacturers Association (SGMA).</t>
  </si>
  <si>
    <t>QT255 A871 2008</t>
  </si>
  <si>
    <t>0                      QT 0255000A  871         2008</t>
  </si>
  <si>
    <t>The athletic trainer's guide to psychosocial intervention and referral / [edited by] James Mensch, Gary M. Miller.</t>
  </si>
  <si>
    <t>Thorofare, NJ : SLACK, c2008.</t>
  </si>
  <si>
    <t>2008-05-16</t>
  </si>
  <si>
    <t>2008-04-15</t>
  </si>
  <si>
    <t>QT 255 B282w 1988</t>
  </si>
  <si>
    <t>0                      QT 0255000B  282w        1988</t>
  </si>
  <si>
    <t>Worried sick : our troubled quest for wellness / Arthur J. Barsky.</t>
  </si>
  <si>
    <t>Barsky, Arthur J.</t>
  </si>
  <si>
    <t>Boston : Little, Brown, c1988.</t>
  </si>
  <si>
    <t>1991-03-09</t>
  </si>
  <si>
    <t>1989-02-03</t>
  </si>
  <si>
    <t>QT 255 B9245e 1999</t>
  </si>
  <si>
    <t>0                      QT 0255000B  9245e       1999</t>
  </si>
  <si>
    <t>Exercise on prescription : cardiovascular activity for health / John Buckley, Jane Holmes, Gareth Mapp.</t>
  </si>
  <si>
    <t>Buckley, John (Exercise physiologist)</t>
  </si>
  <si>
    <t>Oxford [England] ; Boston : Butterworth-Heinemann, c1999.</t>
  </si>
  <si>
    <t>2002-04-09</t>
  </si>
  <si>
    <t>QT 255 C244t 1979</t>
  </si>
  <si>
    <t>0                      QT 0255000C  244t        1979</t>
  </si>
  <si>
    <t>Therapeutic dance/movement : expressive activities for older adults / Erna Caplow-Lindner, Leah Harpaz, Sonya Samberg.</t>
  </si>
  <si>
    <t>Caplow-Lindner, Erna.</t>
  </si>
  <si>
    <t>New York : Human Sciences Press, c1979.</t>
  </si>
  <si>
    <t>2000-10-27</t>
  </si>
  <si>
    <t>QT255 C791F 2005</t>
  </si>
  <si>
    <t>0                      QT 0255000C  791F        2005</t>
  </si>
  <si>
    <t>Fitness for life / Charles B. Corbin, Ruth Lindsey.</t>
  </si>
  <si>
    <t>Corbin, Charles B.</t>
  </si>
  <si>
    <t>2009-02-14</t>
  </si>
  <si>
    <t>2004-11-03</t>
  </si>
  <si>
    <t>QT 255 G192 1982</t>
  </si>
  <si>
    <t>0                      QT 0255000G  192         1982</t>
  </si>
  <si>
    <t>Games, sports, and exercises for the physically handicapped.</t>
  </si>
  <si>
    <t>Philadelphia : Lea &amp; Febiger, c1982.</t>
  </si>
  <si>
    <t>3rd ed. / Ronald C. Adams ... [et al.].</t>
  </si>
  <si>
    <t>1996-08-23</t>
  </si>
  <si>
    <t>QT255 H622a 2006</t>
  </si>
  <si>
    <t>0                      QT 0255000H  622a        2006</t>
  </si>
  <si>
    <t>Advanced fitness assessment and exercise prescription / Vivian H. Heyward.</t>
  </si>
  <si>
    <t>2008-01-06</t>
  </si>
  <si>
    <t>2007-04-11</t>
  </si>
  <si>
    <t>QT 255 K186n 1988</t>
  </si>
  <si>
    <t>0                      QT 0255000K  186n        1988</t>
  </si>
  <si>
    <t>Nutrition, weight control, and exercise / Frank I. Katch, William D. McArdle.</t>
  </si>
  <si>
    <t>Katch, Frank I.</t>
  </si>
  <si>
    <t>Philadelphia : Lea &amp; Febiger, c1988.</t>
  </si>
  <si>
    <t>1998-08-16</t>
  </si>
  <si>
    <t>1988-02-17</t>
  </si>
  <si>
    <t>QT 255 L764b 1954</t>
  </si>
  <si>
    <t>0                      QT 0255000L  764b        1954</t>
  </si>
  <si>
    <t>Basic physiology of exercise.</t>
  </si>
  <si>
    <t>Lipovetz, Ferdinand John.</t>
  </si>
  <si>
    <t>Minneapolis : Burgess Pub. Co., [1954]</t>
  </si>
  <si>
    <t>1992-03-30</t>
  </si>
  <si>
    <t>QT 255 P372 1998</t>
  </si>
  <si>
    <t>0                      QT 0255000P  372         1998</t>
  </si>
  <si>
    <t>Pediatric anaerobic performance / Emmanuel Van Praagh, editor.</t>
  </si>
  <si>
    <t>2003-12-04</t>
  </si>
  <si>
    <t>1998-12-18</t>
  </si>
  <si>
    <t>QT 255 S451h 1986</t>
  </si>
  <si>
    <t>0                      QT 0255000S  451h        1986</t>
  </si>
  <si>
    <t>Health : the foundations for achievement / David Seedhouse.</t>
  </si>
  <si>
    <t>Seedhouse, David.</t>
  </si>
  <si>
    <t>Chichester ; New York : Wiley, c1986.</t>
  </si>
  <si>
    <t>1989-09-19</t>
  </si>
  <si>
    <t>1989-06-29</t>
  </si>
  <si>
    <t>QT 255 S678p 1992</t>
  </si>
  <si>
    <t>0                      QT 0255000S  678p        1992</t>
  </si>
  <si>
    <t>Cambridge ; New York, NY : Cambridge University Press, c1992.</t>
  </si>
  <si>
    <t>1998-11-04</t>
  </si>
  <si>
    <t>QT 260 B319b 1988</t>
  </si>
  <si>
    <t>0                      QT 0260000B  319b        1988</t>
  </si>
  <si>
    <t>Basketball injuries and treatment / Frank H. Bassett III, H. Max Crowder.</t>
  </si>
  <si>
    <t>Bassett, Frank H.</t>
  </si>
  <si>
    <t>Sports injury management ; v. 1, no. 4 (Dec. 1988)</t>
  </si>
  <si>
    <t>1992-04-07</t>
  </si>
  <si>
    <t>QT 260 B724a 1994</t>
  </si>
  <si>
    <t>0                      QT 0260000B  724a        1994</t>
  </si>
  <si>
    <t>Athletic injury assessment / James M. Booher, Gary A. Thibodeau.</t>
  </si>
  <si>
    <t>Booher, James M.</t>
  </si>
  <si>
    <t>St. Louis : Times Mirror/Mosby College Pub., c1994.</t>
  </si>
  <si>
    <t>1999-12-05</t>
  </si>
  <si>
    <t>1994-01-25</t>
  </si>
  <si>
    <t>QT 260 B89p  2007</t>
  </si>
  <si>
    <t>0                      QT 0260000B  89p         2007</t>
  </si>
  <si>
    <t>Practical sports nutrition / Louise Burke.</t>
  </si>
  <si>
    <t>Burke, Louise.</t>
  </si>
  <si>
    <t>Champaign, IL : Human Kinetics, c2007.</t>
  </si>
  <si>
    <t>2008-08-20</t>
  </si>
  <si>
    <t>2008-08-18</t>
  </si>
  <si>
    <t>QT260 D346 2003 V.1-2</t>
  </si>
  <si>
    <t>0                      QT 0260000D  346         2003                                        V.1-2</t>
  </si>
  <si>
    <t>DeLee &amp; Drez's orthopaedic sports medicine : principles and practice / [edited by] Jesse C. DeLee, David Drez, Jr. ; associate editor, Mark D. Miller.</t>
  </si>
  <si>
    <t>Philadelphia, PA : Saunders, c2003.</t>
  </si>
  <si>
    <t>2005-07-18</t>
  </si>
  <si>
    <t>QT 260 F329 1997</t>
  </si>
  <si>
    <t>0                      QT 0260000F  329         1997</t>
  </si>
  <si>
    <t>The female athlete / edited by Carol C. Teitz ; contributors, Elizabeth K. Arendt ... [et al.].</t>
  </si>
  <si>
    <t>Rosemont, Ill. : American Academy of Orthopaedic Surgeons, c1997.</t>
  </si>
  <si>
    <t>American Academy of Orthopaedic Surgeons monograph series</t>
  </si>
  <si>
    <t>1997-12-18</t>
  </si>
  <si>
    <t>QT 260 F751f 1998</t>
  </si>
  <si>
    <t>0                      QT 0260000F  751f        1998</t>
  </si>
  <si>
    <t>Fox's physiological basis for exercise and sport.</t>
  </si>
  <si>
    <t>Foss, Merle L., 1936-</t>
  </si>
  <si>
    <t>6th ed. / Merle L. Foss, Steven J. Keteyian.</t>
  </si>
  <si>
    <t>2008-01-03</t>
  </si>
  <si>
    <t>1998-10-29</t>
  </si>
  <si>
    <t>QT 260 G241s 1999</t>
  </si>
  <si>
    <t>0                      QT 0260000G  241s        1999</t>
  </si>
  <si>
    <t>Sports injuries : diagnosis and management / James G. Garrick, David R. Webb.</t>
  </si>
  <si>
    <t>Garrick, James G.</t>
  </si>
  <si>
    <t>Philadelphia : W.B. Saunders, c1999.</t>
  </si>
  <si>
    <t>2007-07-03</t>
  </si>
  <si>
    <t>2000-04-25</t>
  </si>
  <si>
    <t>QT 260 H8945 1995</t>
  </si>
  <si>
    <t>0                      QT 0260000H  8945        1995</t>
  </si>
  <si>
    <t>The Hughston Clinic sports medicine book / Champ L. Baker, editor-in-chief ; Fred Flandry, section editor, John M. Henderson, section editor.</t>
  </si>
  <si>
    <t>Baltimore : Williams &amp; Wilkins, c1995.</t>
  </si>
  <si>
    <t>2004-10-09</t>
  </si>
  <si>
    <t>1996-01-23</t>
  </si>
  <si>
    <t>QT 260 L138s 1988</t>
  </si>
  <si>
    <t>0                      QT 0260000L  138s        1988</t>
  </si>
  <si>
    <t>Soft tissue injuries in sport / Sylvia Lachmann.</t>
  </si>
  <si>
    <t>Lachmann, Sylvia.</t>
  </si>
  <si>
    <t>Oxford ; London ; Blackwell Scientific, c1988.</t>
  </si>
  <si>
    <t>1993-05-17</t>
  </si>
  <si>
    <t>1989-02-18</t>
  </si>
  <si>
    <t>QT 260 M115e 1994</t>
  </si>
  <si>
    <t>0                      QT 0260000M  115e        1994</t>
  </si>
  <si>
    <t>Essentials of exercise physiology / William D. McArdle, Frank I. Katch, Victor L. Katch.</t>
  </si>
  <si>
    <t>McArdle, William D.</t>
  </si>
  <si>
    <t>Philadelphia : Lea &amp; Febiger, c1994.</t>
  </si>
  <si>
    <t>2003-11-19</t>
  </si>
  <si>
    <t>QT 260 M294 1987</t>
  </si>
  <si>
    <t>0                      QT 0260000M  294         1987</t>
  </si>
  <si>
    <t>Manual of sports surgery / edited by Clarence L. Shields, Jr. ; with contributions by Clive Brewster ... [et al.] ; illustrated by Robin Markovits Jensen.</t>
  </si>
  <si>
    <t>New York : Springer-Verlag, c1987.</t>
  </si>
  <si>
    <t>Comprehensive manuals of surgical specialties</t>
  </si>
  <si>
    <t>1996-04-16</t>
  </si>
  <si>
    <t>QT260 M478e 2001</t>
  </si>
  <si>
    <t>0                      QT 0260000M  478e        2001</t>
  </si>
  <si>
    <t>Exercise physiology : energy, nutrition, and human performance / William D. McArdle, Frank I. Katch, Victor L. Katch.</t>
  </si>
  <si>
    <t>Philadelphia : Lippincott Williams &amp; Wilkins, c2001.</t>
  </si>
  <si>
    <t>2002-06-10</t>
  </si>
  <si>
    <t>2001-12-13</t>
  </si>
  <si>
    <t>QT 260 N854s 1993</t>
  </si>
  <si>
    <t>0                      QT 0260000N  854s        1993</t>
  </si>
  <si>
    <t>Sports injuries : diagnosis and management for physiotherapists / Christopher M. Norris.</t>
  </si>
  <si>
    <t>Norris, Christopher M.</t>
  </si>
  <si>
    <t>Oxford ; Boston : Butterworth-Heinemann, c1993.</t>
  </si>
  <si>
    <t>2001-06-30</t>
  </si>
  <si>
    <t>1993-09-02</t>
  </si>
  <si>
    <t>QT 260 O77 1994</t>
  </si>
  <si>
    <t>0                      QT 0260000O  77          1994</t>
  </si>
  <si>
    <t>Orthopaedic sports medicine : principles and practice / [edited by] Jesse C. DeLee, David Drez, Jr.</t>
  </si>
  <si>
    <t>Philadelphia : W.B. Saunders, c1994.</t>
  </si>
  <si>
    <t>2000-11-10</t>
  </si>
  <si>
    <t>1998-06-17</t>
  </si>
  <si>
    <t>1995-09-12</t>
  </si>
  <si>
    <t>QT 260 P467 1999 v.11</t>
  </si>
  <si>
    <t>0                      QT 0260000P  467         1999                                        v.11</t>
  </si>
  <si>
    <t>Exercise, nutrition, and weight control / edited by David R. Lamb, Robert Murray.</t>
  </si>
  <si>
    <t>V.11</t>
  </si>
  <si>
    <t>Carmel, IN : Cooper Pub. Group, c1998.</t>
  </si>
  <si>
    <t>Perspectives in exercise science and sports medicine ; v. 11</t>
  </si>
  <si>
    <t>2006-04-18</t>
  </si>
  <si>
    <t>1999-10-28</t>
  </si>
  <si>
    <t>QT 260 P5786 1991</t>
  </si>
  <si>
    <t>0                      QT 0260000P  5786        1991</t>
  </si>
  <si>
    <t>Physical rehabilitation of the injured athlete / [edited by] James R. Andrews, Gary L. Harrelson.</t>
  </si>
  <si>
    <t>Philadelphia : Saunders, c1991.</t>
  </si>
  <si>
    <t>2004-06-28</t>
  </si>
  <si>
    <t>1993-08-05</t>
  </si>
  <si>
    <t>QT 260 P957 1984</t>
  </si>
  <si>
    <t>0                      QT 0260000P  957         1984</t>
  </si>
  <si>
    <t>Principles of sports medicine / edited by W. Norman Scott, Barton Nisonson, James A. Nicholas.</t>
  </si>
  <si>
    <t>Baltimore : Williams &amp; Wilkins, c1984.</t>
  </si>
  <si>
    <t>QT 260 S681 1993</t>
  </si>
  <si>
    <t>0                      QT 0260000S  681         1993</t>
  </si>
  <si>
    <t>The Soft tissues : trauma and sports injuries / edited by G.R. McLatchie, C.M.E. Lennox ; assistant editors, E.C. Percy and J. Davies.</t>
  </si>
  <si>
    <t>Oxford ; Boston : Butterworth Heinemann, c1993.</t>
  </si>
  <si>
    <t>2002-08-10</t>
  </si>
  <si>
    <t>QT 260 S763 1991</t>
  </si>
  <si>
    <t>0                      QT 0260000S  763         1991</t>
  </si>
  <si>
    <t>Sports medicine / Richard H. Strauss, editor.</t>
  </si>
  <si>
    <t>1993-03-16</t>
  </si>
  <si>
    <t>QT 260 S764 1986</t>
  </si>
  <si>
    <t>0                      QT 0260000S  764         1986</t>
  </si>
  <si>
    <t>Sports injuries and their treatment / edited by Basil Helal, John King and William Grange.</t>
  </si>
  <si>
    <t>London : Chapman and Hall, c1986.</t>
  </si>
  <si>
    <t>1996-07-27</t>
  </si>
  <si>
    <t>1988-05-13</t>
  </si>
  <si>
    <t>QT 260 S77017 1985</t>
  </si>
  <si>
    <t>0                      QT 0260000S  77017       1985</t>
  </si>
  <si>
    <t>Sports injuries : mechanisms, prevention, and treatment / editors, Richard C. Schneider, John C. Kennedy, Marcus L. Plant ; associate editors, Peter J. Fowler, Julian T. Hoff, Larry S. Matthews.</t>
  </si>
  <si>
    <t>Baltimore : Williams &amp; Wilkins, c1985.</t>
  </si>
  <si>
    <t>QT 260 S7702 1981</t>
  </si>
  <si>
    <t>0                      QT 0260000S  7702        1981</t>
  </si>
  <si>
    <t>Sports injuries : the unthwarted epidemic / edited by Paul F. Vinger and Earl F. Hoerner.</t>
  </si>
  <si>
    <t>Littleton, Mass. : PSG Pub. Co., c1981.</t>
  </si>
  <si>
    <t>2000-12-12</t>
  </si>
  <si>
    <t>QT 260 S7703 1988</t>
  </si>
  <si>
    <t>0                      QT 0260000S  7703        1988</t>
  </si>
  <si>
    <t>Sports medicine : fitness, training, injuries / edited by Otto Appenzeller.</t>
  </si>
  <si>
    <t>Baltimore : Urban &amp; Schwarzenberg, c1988.</t>
  </si>
  <si>
    <t>1998-01-20</t>
  </si>
  <si>
    <t>1989-02-08</t>
  </si>
  <si>
    <t>QT 260 S77045 1984</t>
  </si>
  <si>
    <t>0                      QT 0260000S  77045       1984</t>
  </si>
  <si>
    <t>Sports medicine for the primary care physician / editor, Richard B. Birrer.</t>
  </si>
  <si>
    <t>QT 260 S78576 1987</t>
  </si>
  <si>
    <t>0                      QT 0260000S  78576       1987</t>
  </si>
  <si>
    <t>Sports ophthalmology / edited by Louis D. Pizzarello and Barrett G. Haik.</t>
  </si>
  <si>
    <t>Springfield, Ill. Thomas, c1987.</t>
  </si>
  <si>
    <t>1988-06-14</t>
  </si>
  <si>
    <t>1988-05-24</t>
  </si>
  <si>
    <t>QT 260 S7857651 1990</t>
  </si>
  <si>
    <t>0                      QT 0260000S  7857651     1990</t>
  </si>
  <si>
    <t>Sports physical therapy / [edited by] Barbara Sanders.</t>
  </si>
  <si>
    <t>Norwalk, Conn. : Appleton &amp; Lange, c1990.</t>
  </si>
  <si>
    <t>1998-12-03</t>
  </si>
  <si>
    <t>1990-11-30</t>
  </si>
  <si>
    <t>QT 260 T398 1999</t>
  </si>
  <si>
    <t>0                      QT 0260000T  398         1999</t>
  </si>
  <si>
    <t>Therapeutic modalities in sports medicine / [edited by] William E. Prentice.</t>
  </si>
  <si>
    <t>Boston : WCB/McGraw-Hill, c1999.</t>
  </si>
  <si>
    <t>2003-03-31</t>
  </si>
  <si>
    <t>1998-09-10</t>
  </si>
  <si>
    <t>QT 260 V782h 1999</t>
  </si>
  <si>
    <t>0                      QT 0260000V  782h        1999</t>
  </si>
  <si>
    <t>High angle rescue techniques / Tom Vines, Steve Hudson.</t>
  </si>
  <si>
    <t>Vines, Tom.</t>
  </si>
  <si>
    <t>St. Louis : Mosby, c1999.</t>
  </si>
  <si>
    <t>1999-05-03</t>
  </si>
  <si>
    <t>1999-03-18</t>
  </si>
  <si>
    <t>QT260 W744p 2004</t>
  </si>
  <si>
    <t>0                      QT 0260000W  744p        2004</t>
  </si>
  <si>
    <t>Physiology of sport and exercise / Jack H. Wilmore, David L. Costill.</t>
  </si>
  <si>
    <t>Champaign, IL : Human Kinetics, c2004.</t>
  </si>
  <si>
    <t>QT 260 W787 1990</t>
  </si>
  <si>
    <t>0                      QT 0260000W  787         1990</t>
  </si>
  <si>
    <t>Winter sports medicine / Murray Joseph Casey, editor-in-chief ; Carl Foster, associate editor, Edward G. Hixson, associate editor.</t>
  </si>
  <si>
    <t>Philadelphia : F.A. Davis, c1990.</t>
  </si>
  <si>
    <t>Contemporary exercise and sports medicine series</t>
  </si>
  <si>
    <t>2003-03-04</t>
  </si>
  <si>
    <t>1990-09-12</t>
  </si>
  <si>
    <t>QT260 W787 2004</t>
  </si>
  <si>
    <t>0                      QT 0260000W  787         2004</t>
  </si>
  <si>
    <t>Winter sports medicine : handbook / [edited by] James L. Moeller, Sami F. Rifat.</t>
  </si>
  <si>
    <t>2005-10-28</t>
  </si>
  <si>
    <t>2004-08-27</t>
  </si>
  <si>
    <t>QT260.5.S7 F687 2003</t>
  </si>
  <si>
    <t>0                      QT 0260500S  7                  F  687         2003</t>
  </si>
  <si>
    <t>Football medicine / edited by Jan Ekstrand, Jon Karlsson, Alan Hodson.</t>
  </si>
  <si>
    <t>London : Martin Dunitz ; Independence, KY : Distributed by Fulfillment Center, Taylor &amp; Francis, 2003.</t>
  </si>
  <si>
    <t>2005-11-11</t>
  </si>
  <si>
    <t>2005-11-04</t>
  </si>
  <si>
    <t>QT260.5.W4 2005</t>
  </si>
  <si>
    <t>0                      QT 0260500W  4           2005</t>
  </si>
  <si>
    <t>Fitness weight training / Thomas R. Baechle, Roger W. Earle.</t>
  </si>
  <si>
    <t>Baechle, Thomas R., 1943-</t>
  </si>
  <si>
    <t>2005-07-08</t>
  </si>
  <si>
    <t>2005-04-20</t>
  </si>
  <si>
    <t>QT261 A8718 2006</t>
  </si>
  <si>
    <t>0                      QT 0261000A  8718        2006</t>
  </si>
  <si>
    <t>Athletic training and sports medicine / Chad Starkey, Glen Johnson, editors ; American Academy of Orthopedic Surgeons.</t>
  </si>
  <si>
    <t>Sudbury, Mass. : Jones and Bartlett Publishers, c2006.</t>
  </si>
  <si>
    <t>2009-03-07</t>
  </si>
  <si>
    <t>2007-04-26</t>
  </si>
  <si>
    <t>QT261 F3291 2002</t>
  </si>
  <si>
    <t>0                      QT 0261000F  3291        2002</t>
  </si>
  <si>
    <t>The female athlete / [edited by] Mary Lloyd Ireland, Aurelia Nattiv.</t>
  </si>
  <si>
    <t>Philadelphia : W.B. Saunders, c2002.</t>
  </si>
  <si>
    <t>2006-02-17</t>
  </si>
  <si>
    <t>2005-12-14</t>
  </si>
  <si>
    <t>QT 261 H236 1999</t>
  </si>
  <si>
    <t>0                      QT 0261000H  236         1999</t>
  </si>
  <si>
    <t>Handbook of sports injuries / editor, R. Charles Bull.</t>
  </si>
  <si>
    <t>New York : McGraw-Hill, Health Professions Division, c1999.</t>
  </si>
  <si>
    <t>2007-10-11</t>
  </si>
  <si>
    <t>1999-07-09</t>
  </si>
  <si>
    <t>QT 261 I21 2004a</t>
  </si>
  <si>
    <t>0                      QT 0261000I  21          2004a</t>
  </si>
  <si>
    <t>Clinical guide to sports injuries / Roald Bahr, Sverre Mæhlum, editors ; Tommy Bolic, medical illustrator.</t>
  </si>
  <si>
    <t>Idrettsskader. English.</t>
  </si>
  <si>
    <t>2004-09-22</t>
  </si>
  <si>
    <t>QT261 K18p 2005</t>
  </si>
  <si>
    <t>0                      QT 0261000K  18p         2005</t>
  </si>
  <si>
    <t>Principles of manual sports medicine / Steven J. Karageanes.</t>
  </si>
  <si>
    <t>Karageanes, Steven J.</t>
  </si>
  <si>
    <t>Philadelphia : Lippincott Williams &amp; Wilkins, c2005.</t>
  </si>
  <si>
    <t>2008-02-20</t>
  </si>
  <si>
    <t>2006-02-02</t>
  </si>
  <si>
    <t>QT 261 M596s 2008</t>
  </si>
  <si>
    <t>0                      QT 0261000M  596s        2008</t>
  </si>
  <si>
    <t>Sports medicine in the pediatric office : a multimedia case-based text with video / Jordan D. Metzl with David Bernhardt ... [et al.] ; with foreword by Lewis R. First.</t>
  </si>
  <si>
    <t>Metzl, Jordan D., 1966-</t>
  </si>
  <si>
    <t>Elk Grove Village, IL : American Academy of Pediatrics, c2008.</t>
  </si>
  <si>
    <t>2009-10-08</t>
  </si>
  <si>
    <t>QT261 O77 2004</t>
  </si>
  <si>
    <t>0                      QT 0261000O  77          2004</t>
  </si>
  <si>
    <t>OKU orthopaedic knowledge update. Sports medicine 3 / edited by James G. Garrick.</t>
  </si>
  <si>
    <t>Rosemont, IL : American Academy of Orthopaedic Surgeons, 2004.</t>
  </si>
  <si>
    <t>QT 261 P528c 2008</t>
  </si>
  <si>
    <t>0                      QT 0261000P  528c        2008</t>
  </si>
  <si>
    <t>Concepts of athletic training / Ronald P. Pfeiffer, Brent C. Mangus.</t>
  </si>
  <si>
    <t>Pfeiffer, Ronald P.</t>
  </si>
  <si>
    <t>Sudbury, Mass. : Jones and Bartlett Publishers, c2008.</t>
  </si>
  <si>
    <t>QT261 P578 2004</t>
  </si>
  <si>
    <t>0                      QT 0261000P  578         2004</t>
  </si>
  <si>
    <t>Physical rehabilitation of the injured athlete / [edited by] James R. Andrews, Gary L. Harrelson, Kevin E. Wilk.</t>
  </si>
  <si>
    <t>Philadelphia, PA : Saunders, c2004.</t>
  </si>
  <si>
    <t>QT 261 R3445 1998</t>
  </si>
  <si>
    <t>0                      QT 0261000R  3445        1998</t>
  </si>
  <si>
    <t>Rehabilitation in sports medicine : a comprehensive guide / [edited by] Paul K. Canavan.</t>
  </si>
  <si>
    <t>Stamford, Conn. : Appleton &amp; Lange, c1998.</t>
  </si>
  <si>
    <t>2006-02-01</t>
  </si>
  <si>
    <t>2000-02-10</t>
  </si>
  <si>
    <t>QT 261 R345 1999</t>
  </si>
  <si>
    <t>0                      QT 0261000R  345         1999</t>
  </si>
  <si>
    <t>Rehabilitation techniques in sports medicine / [edited by] William E. Prentice.</t>
  </si>
  <si>
    <t>Boston, Mass. : WCB/McGraw-Hill, c1999.</t>
  </si>
  <si>
    <t>2004-10-27</t>
  </si>
  <si>
    <t>1999-09-03</t>
  </si>
  <si>
    <t>QT 261 S763 1995</t>
  </si>
  <si>
    <t>0                      QT 0261000S  763         1995</t>
  </si>
  <si>
    <t>Physical therapy for sports / [edited by] Werner Kuprian, with the collaboration of Doris Eitner, Lutz Meissner, Helmut Ork ; translated by Todd Konjte and Lynn Braunsdorf.</t>
  </si>
  <si>
    <t>Sport-Physiotherapie. English.</t>
  </si>
  <si>
    <t>Philadelphia : W.B. Saunders, c1995.</t>
  </si>
  <si>
    <t>QT261 S7655 2005</t>
  </si>
  <si>
    <t>0                      QT 0261000S  7655        2005</t>
  </si>
  <si>
    <t>Sports medicine : a comprehensive approach / [edited by] Giles R. Scuderi, Peter D. McCann.</t>
  </si>
  <si>
    <t>Philadelphia : Mosby-Elsevier, c2005.</t>
  </si>
  <si>
    <t>2006-01-19</t>
  </si>
  <si>
    <t>QT261 S768 2007</t>
  </si>
  <si>
    <t>0                      QT 0261000S  768         2007</t>
  </si>
  <si>
    <t>Sports-specific rehabilitation / [edited by] Robert Donatelli.</t>
  </si>
  <si>
    <t>St. Louis, Mo. : Churchill Livingstone/Elsevier, c2007.</t>
  </si>
  <si>
    <t>2007-12-13</t>
  </si>
  <si>
    <t>QT261 S795e 2002</t>
  </si>
  <si>
    <t>0                      QT 0261000S  795e        2002</t>
  </si>
  <si>
    <t>Evaluation of orthopedic and athletic injuries / Chad Starkey, Jeffrey L. Ryan.</t>
  </si>
  <si>
    <t>Starkey, Chad, 1959-</t>
  </si>
  <si>
    <t>Philadelphia, PA : F.A. Davis Co., c2002.</t>
  </si>
  <si>
    <t>2002-02-22</t>
  </si>
  <si>
    <t>2004-10-16</t>
  </si>
  <si>
    <t>QT 261 S795t 1999</t>
  </si>
  <si>
    <t>0                      QT 0261000S  795t        1999</t>
  </si>
  <si>
    <t>Therapeutic modalities / Chad Starkey.</t>
  </si>
  <si>
    <t>Philadelphia : F.A. Davis, c1999.</t>
  </si>
  <si>
    <t>2004-06-25</t>
  </si>
  <si>
    <t>1998-10-09</t>
  </si>
  <si>
    <t>QT 261 T398 2003</t>
  </si>
  <si>
    <t>0                      QT 0261000T  398         2003</t>
  </si>
  <si>
    <t>Therapeutic modalities : for sports medicine and athletic training / [edited by] William E. Prentice.</t>
  </si>
  <si>
    <t>Boston : McGraw-Hill, c2003.</t>
  </si>
  <si>
    <t>2004-09-08</t>
  </si>
  <si>
    <t>QT 261 T3983L 2003</t>
  </si>
  <si>
    <t>0                      QT 0261000T  3983L       2003</t>
  </si>
  <si>
    <t>Laboratory manual to accompany Therapeutic modalities in sports medicine, Fifth edition / William E. Prentice ; prepared by William S. Quillen, Frank B. Underwood.</t>
  </si>
  <si>
    <t>Quillen, William S.</t>
  </si>
  <si>
    <t>2004-09-09</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</si>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</sst>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45714-5E12-434C-874E-F07DB4C9BB26}">
  <dimension ref="A1:BD1138"/>
  <sheetViews>
    <sheetView tabSelected="1" workbookViewId="0">
      <pane ySplit="1" topLeftCell="A2" activePane="bottomLeft" state="frozen"/>
      <selection pane="bottomLeft" activeCell="D2" sqref="D2"/>
    </sheetView>
  </sheetViews>
  <sheetFormatPr defaultRowHeight="48" customHeight="1" x14ac:dyDescent="0.25"/>
  <cols>
    <col min="1" max="1" width="13.85546875" customWidth="1"/>
    <col min="2" max="2" width="18" customWidth="1"/>
    <col min="3" max="3" width="0" hidden="1" customWidth="1"/>
    <col min="4" max="4" width="52" customWidth="1"/>
    <col min="6" max="10" width="0" hidden="1" customWidth="1"/>
    <col min="11" max="11" width="18.42578125" customWidth="1"/>
    <col min="12" max="12" width="19" customWidth="1"/>
    <col min="14" max="17" width="0" hidden="1" customWidth="1"/>
    <col min="20" max="26" width="0" hidden="1" customWidth="1"/>
    <col min="28" max="28" width="0" hidden="1" customWidth="1"/>
    <col min="30" max="30" width="0" hidden="1" customWidth="1"/>
    <col min="31" max="31" width="16.5703125" customWidth="1"/>
    <col min="32" max="41" width="0" hidden="1" customWidth="1"/>
    <col min="42" max="44" width="10.85546875" customWidth="1"/>
    <col min="47" max="56" width="0" hidden="1" customWidth="1"/>
  </cols>
  <sheetData>
    <row r="1" spans="1:56" ht="48" customHeight="1" x14ac:dyDescent="0.25">
      <c r="A1" s="8" t="s">
        <v>12950</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8" customHeight="1" x14ac:dyDescent="0.25">
      <c r="A2" s="7" t="s">
        <v>59</v>
      </c>
      <c r="B2" s="2" t="s">
        <v>55</v>
      </c>
      <c r="C2" s="2" t="s">
        <v>56</v>
      </c>
      <c r="D2" s="2" t="s">
        <v>57</v>
      </c>
      <c r="E2" s="3" t="s">
        <v>58</v>
      </c>
      <c r="F2" s="3" t="s">
        <v>59</v>
      </c>
      <c r="G2" s="3" t="s">
        <v>60</v>
      </c>
      <c r="H2" s="3" t="s">
        <v>59</v>
      </c>
      <c r="I2" s="3" t="s">
        <v>59</v>
      </c>
      <c r="J2" s="3" t="s">
        <v>61</v>
      </c>
      <c r="L2" s="2" t="s">
        <v>62</v>
      </c>
      <c r="M2" s="3" t="s">
        <v>63</v>
      </c>
      <c r="O2" s="3" t="s">
        <v>64</v>
      </c>
      <c r="P2" s="3" t="s">
        <v>65</v>
      </c>
      <c r="Q2" s="2" t="s">
        <v>66</v>
      </c>
      <c r="R2" s="3" t="s">
        <v>67</v>
      </c>
      <c r="S2" s="4">
        <v>4</v>
      </c>
      <c r="T2" s="4">
        <v>4</v>
      </c>
      <c r="U2" s="5" t="s">
        <v>68</v>
      </c>
      <c r="V2" s="5" t="s">
        <v>68</v>
      </c>
      <c r="W2" s="5" t="s">
        <v>69</v>
      </c>
      <c r="X2" s="5" t="s">
        <v>69</v>
      </c>
      <c r="Y2" s="4">
        <v>235</v>
      </c>
      <c r="Z2" s="4">
        <v>192</v>
      </c>
      <c r="AA2" s="4">
        <v>199</v>
      </c>
      <c r="AB2" s="4">
        <v>1</v>
      </c>
      <c r="AC2" s="4">
        <v>1</v>
      </c>
      <c r="AD2" s="4">
        <v>7</v>
      </c>
      <c r="AE2" s="4">
        <v>7</v>
      </c>
      <c r="AF2" s="4">
        <v>1</v>
      </c>
      <c r="AG2" s="4">
        <v>1</v>
      </c>
      <c r="AH2" s="4">
        <v>5</v>
      </c>
      <c r="AI2" s="4">
        <v>5</v>
      </c>
      <c r="AJ2" s="4">
        <v>4</v>
      </c>
      <c r="AK2" s="4">
        <v>4</v>
      </c>
      <c r="AL2" s="4">
        <v>0</v>
      </c>
      <c r="AM2" s="4">
        <v>0</v>
      </c>
      <c r="AN2" s="4">
        <v>0</v>
      </c>
      <c r="AO2" s="4">
        <v>0</v>
      </c>
      <c r="AP2" s="3" t="s">
        <v>59</v>
      </c>
      <c r="AQ2" s="3" t="s">
        <v>70</v>
      </c>
      <c r="AR2" s="6" t="str">
        <f>HYPERLINK("http://catalog.hathitrust.org/Record/011453488","HathiTrust Record")</f>
        <v>HathiTrust Record</v>
      </c>
      <c r="AS2" s="6" t="str">
        <f>HYPERLINK("https://creighton-primo.hosted.exlibrisgroup.com/primo-explore/search?tab=default_tab&amp;search_scope=EVERYTHING&amp;vid=01CRU&amp;lang=en_US&amp;offset=0&amp;query=any,contains,991004185069702656","Catalog Record")</f>
        <v>Catalog Record</v>
      </c>
      <c r="AT2" s="6" t="str">
        <f>HYPERLINK("http://www.worldcat.org/oclc/33933118","WorldCat Record")</f>
        <v>WorldCat Record</v>
      </c>
      <c r="AU2" s="3" t="s">
        <v>71</v>
      </c>
      <c r="AV2" s="3" t="s">
        <v>72</v>
      </c>
      <c r="AW2" s="3" t="s">
        <v>73</v>
      </c>
      <c r="AX2" s="3" t="s">
        <v>73</v>
      </c>
      <c r="AY2" s="3" t="s">
        <v>74</v>
      </c>
      <c r="AZ2" s="3" t="s">
        <v>75</v>
      </c>
      <c r="BB2" s="3" t="s">
        <v>76</v>
      </c>
      <c r="BC2" s="3" t="s">
        <v>77</v>
      </c>
      <c r="BD2" s="3" t="s">
        <v>78</v>
      </c>
    </row>
    <row r="3" spans="1:56" ht="48" customHeight="1" x14ac:dyDescent="0.25">
      <c r="A3" s="7" t="s">
        <v>59</v>
      </c>
      <c r="B3" s="2" t="s">
        <v>79</v>
      </c>
      <c r="C3" s="2" t="s">
        <v>80</v>
      </c>
      <c r="D3" s="2" t="s">
        <v>81</v>
      </c>
      <c r="F3" s="3" t="s">
        <v>59</v>
      </c>
      <c r="G3" s="3" t="s">
        <v>60</v>
      </c>
      <c r="H3" s="3" t="s">
        <v>59</v>
      </c>
      <c r="I3" s="3" t="s">
        <v>59</v>
      </c>
      <c r="J3" s="3" t="s">
        <v>61</v>
      </c>
      <c r="L3" s="2" t="s">
        <v>82</v>
      </c>
      <c r="M3" s="3" t="s">
        <v>83</v>
      </c>
      <c r="O3" s="3" t="s">
        <v>64</v>
      </c>
      <c r="P3" s="3" t="s">
        <v>84</v>
      </c>
      <c r="R3" s="3" t="s">
        <v>67</v>
      </c>
      <c r="S3" s="4">
        <v>4</v>
      </c>
      <c r="T3" s="4">
        <v>4</v>
      </c>
      <c r="U3" s="5" t="s">
        <v>85</v>
      </c>
      <c r="V3" s="5" t="s">
        <v>85</v>
      </c>
      <c r="W3" s="5" t="s">
        <v>86</v>
      </c>
      <c r="X3" s="5" t="s">
        <v>86</v>
      </c>
      <c r="Y3" s="4">
        <v>224</v>
      </c>
      <c r="Z3" s="4">
        <v>170</v>
      </c>
      <c r="AA3" s="4">
        <v>184</v>
      </c>
      <c r="AB3" s="4">
        <v>3</v>
      </c>
      <c r="AC3" s="4">
        <v>3</v>
      </c>
      <c r="AD3" s="4">
        <v>11</v>
      </c>
      <c r="AE3" s="4">
        <v>11</v>
      </c>
      <c r="AF3" s="4">
        <v>1</v>
      </c>
      <c r="AG3" s="4">
        <v>1</v>
      </c>
      <c r="AH3" s="4">
        <v>2</v>
      </c>
      <c r="AI3" s="4">
        <v>2</v>
      </c>
      <c r="AJ3" s="4">
        <v>8</v>
      </c>
      <c r="AK3" s="4">
        <v>8</v>
      </c>
      <c r="AL3" s="4">
        <v>2</v>
      </c>
      <c r="AM3" s="4">
        <v>2</v>
      </c>
      <c r="AN3" s="4">
        <v>0</v>
      </c>
      <c r="AO3" s="4">
        <v>0</v>
      </c>
      <c r="AP3" s="3" t="s">
        <v>59</v>
      </c>
      <c r="AQ3" s="3" t="s">
        <v>59</v>
      </c>
      <c r="AS3" s="6" t="str">
        <f>HYPERLINK("https://creighton-primo.hosted.exlibrisgroup.com/primo-explore/search?tab=default_tab&amp;search_scope=EVERYTHING&amp;vid=01CRU&amp;lang=en_US&amp;offset=0&amp;query=any,contains,991002721789702656","Catalog Record")</f>
        <v>Catalog Record</v>
      </c>
      <c r="AT3" s="6" t="str">
        <f>HYPERLINK("http://www.worldcat.org/oclc/35688152","WorldCat Record")</f>
        <v>WorldCat Record</v>
      </c>
      <c r="AU3" s="3" t="s">
        <v>87</v>
      </c>
      <c r="AV3" s="3" t="s">
        <v>88</v>
      </c>
      <c r="AW3" s="3" t="s">
        <v>89</v>
      </c>
      <c r="AX3" s="3" t="s">
        <v>89</v>
      </c>
      <c r="AY3" s="3" t="s">
        <v>90</v>
      </c>
      <c r="AZ3" s="3" t="s">
        <v>75</v>
      </c>
      <c r="BB3" s="3" t="s">
        <v>91</v>
      </c>
      <c r="BC3" s="3" t="s">
        <v>92</v>
      </c>
      <c r="BD3" s="3" t="s">
        <v>93</v>
      </c>
    </row>
    <row r="4" spans="1:56" ht="48" customHeight="1" x14ac:dyDescent="0.25">
      <c r="A4" s="7" t="s">
        <v>59</v>
      </c>
      <c r="B4" s="2" t="s">
        <v>94</v>
      </c>
      <c r="C4" s="2" t="s">
        <v>95</v>
      </c>
      <c r="D4" s="2" t="s">
        <v>96</v>
      </c>
      <c r="F4" s="3" t="s">
        <v>59</v>
      </c>
      <c r="G4" s="3" t="s">
        <v>60</v>
      </c>
      <c r="H4" s="3" t="s">
        <v>70</v>
      </c>
      <c r="I4" s="3" t="s">
        <v>59</v>
      </c>
      <c r="J4" s="3" t="s">
        <v>61</v>
      </c>
      <c r="L4" s="2" t="s">
        <v>97</v>
      </c>
      <c r="M4" s="3" t="s">
        <v>98</v>
      </c>
      <c r="O4" s="3" t="s">
        <v>64</v>
      </c>
      <c r="P4" s="3" t="s">
        <v>65</v>
      </c>
      <c r="Q4" s="2" t="s">
        <v>99</v>
      </c>
      <c r="R4" s="3" t="s">
        <v>67</v>
      </c>
      <c r="S4" s="4">
        <v>3</v>
      </c>
      <c r="T4" s="4">
        <v>3</v>
      </c>
      <c r="U4" s="5" t="s">
        <v>100</v>
      </c>
      <c r="V4" s="5" t="s">
        <v>100</v>
      </c>
      <c r="W4" s="5" t="s">
        <v>101</v>
      </c>
      <c r="X4" s="5" t="s">
        <v>101</v>
      </c>
      <c r="Y4" s="4">
        <v>666</v>
      </c>
      <c r="Z4" s="4">
        <v>525</v>
      </c>
      <c r="AA4" s="4">
        <v>528</v>
      </c>
      <c r="AB4" s="4">
        <v>5</v>
      </c>
      <c r="AC4" s="4">
        <v>5</v>
      </c>
      <c r="AD4" s="4">
        <v>18</v>
      </c>
      <c r="AE4" s="4">
        <v>18</v>
      </c>
      <c r="AF4" s="4">
        <v>6</v>
      </c>
      <c r="AG4" s="4">
        <v>6</v>
      </c>
      <c r="AH4" s="4">
        <v>5</v>
      </c>
      <c r="AI4" s="4">
        <v>5</v>
      </c>
      <c r="AJ4" s="4">
        <v>9</v>
      </c>
      <c r="AK4" s="4">
        <v>9</v>
      </c>
      <c r="AL4" s="4">
        <v>3</v>
      </c>
      <c r="AM4" s="4">
        <v>3</v>
      </c>
      <c r="AN4" s="4">
        <v>0</v>
      </c>
      <c r="AO4" s="4">
        <v>0</v>
      </c>
      <c r="AP4" s="3" t="s">
        <v>59</v>
      </c>
      <c r="AQ4" s="3" t="s">
        <v>70</v>
      </c>
      <c r="AR4" s="6" t="str">
        <f>HYPERLINK("http://catalog.hathitrust.org/Record/001553776","HathiTrust Record")</f>
        <v>HathiTrust Record</v>
      </c>
      <c r="AS4" s="6" t="str">
        <f>HYPERLINK("https://creighton-primo.hosted.exlibrisgroup.com/primo-explore/search?tab=default_tab&amp;search_scope=EVERYTHING&amp;vid=01CRU&amp;lang=en_US&amp;offset=0&amp;query=any,contains,991001788199702656","Catalog Record")</f>
        <v>Catalog Record</v>
      </c>
      <c r="AT4" s="6" t="str">
        <f>HYPERLINK("http://www.worldcat.org/oclc/118258","WorldCat Record")</f>
        <v>WorldCat Record</v>
      </c>
      <c r="AU4" s="3" t="s">
        <v>102</v>
      </c>
      <c r="AV4" s="3" t="s">
        <v>103</v>
      </c>
      <c r="AW4" s="3" t="s">
        <v>104</v>
      </c>
      <c r="AX4" s="3" t="s">
        <v>104</v>
      </c>
      <c r="AY4" s="3" t="s">
        <v>105</v>
      </c>
      <c r="AZ4" s="3" t="s">
        <v>75</v>
      </c>
      <c r="BC4" s="3" t="s">
        <v>106</v>
      </c>
      <c r="BD4" s="3" t="s">
        <v>107</v>
      </c>
    </row>
    <row r="5" spans="1:56" ht="48" customHeight="1" x14ac:dyDescent="0.25">
      <c r="A5" s="7" t="s">
        <v>59</v>
      </c>
      <c r="B5" s="2" t="s">
        <v>108</v>
      </c>
      <c r="C5" s="2" t="s">
        <v>109</v>
      </c>
      <c r="D5" s="2" t="s">
        <v>110</v>
      </c>
      <c r="F5" s="3" t="s">
        <v>59</v>
      </c>
      <c r="G5" s="3" t="s">
        <v>60</v>
      </c>
      <c r="H5" s="3" t="s">
        <v>59</v>
      </c>
      <c r="I5" s="3" t="s">
        <v>70</v>
      </c>
      <c r="J5" s="3" t="s">
        <v>61</v>
      </c>
      <c r="K5" s="2" t="s">
        <v>111</v>
      </c>
      <c r="L5" s="2" t="s">
        <v>112</v>
      </c>
      <c r="M5" s="3" t="s">
        <v>113</v>
      </c>
      <c r="N5" s="2" t="s">
        <v>114</v>
      </c>
      <c r="O5" s="3" t="s">
        <v>64</v>
      </c>
      <c r="P5" s="3" t="s">
        <v>115</v>
      </c>
      <c r="R5" s="3" t="s">
        <v>67</v>
      </c>
      <c r="S5" s="4">
        <v>5</v>
      </c>
      <c r="T5" s="4">
        <v>5</v>
      </c>
      <c r="U5" s="5" t="s">
        <v>116</v>
      </c>
      <c r="V5" s="5" t="s">
        <v>116</v>
      </c>
      <c r="W5" s="5" t="s">
        <v>117</v>
      </c>
      <c r="X5" s="5" t="s">
        <v>117</v>
      </c>
      <c r="Y5" s="4">
        <v>253</v>
      </c>
      <c r="Z5" s="4">
        <v>196</v>
      </c>
      <c r="AA5" s="4">
        <v>309</v>
      </c>
      <c r="AB5" s="4">
        <v>2</v>
      </c>
      <c r="AC5" s="4">
        <v>4</v>
      </c>
      <c r="AD5" s="4">
        <v>11</v>
      </c>
      <c r="AE5" s="4">
        <v>14</v>
      </c>
      <c r="AF5" s="4">
        <v>6</v>
      </c>
      <c r="AG5" s="4">
        <v>6</v>
      </c>
      <c r="AH5" s="4">
        <v>1</v>
      </c>
      <c r="AI5" s="4">
        <v>3</v>
      </c>
      <c r="AJ5" s="4">
        <v>4</v>
      </c>
      <c r="AK5" s="4">
        <v>5</v>
      </c>
      <c r="AL5" s="4">
        <v>1</v>
      </c>
      <c r="AM5" s="4">
        <v>2</v>
      </c>
      <c r="AN5" s="4">
        <v>0</v>
      </c>
      <c r="AO5" s="4">
        <v>0</v>
      </c>
      <c r="AP5" s="3" t="s">
        <v>59</v>
      </c>
      <c r="AQ5" s="3" t="s">
        <v>70</v>
      </c>
      <c r="AR5" s="6" t="str">
        <f>HYPERLINK("http://catalog.hathitrust.org/Record/000812980","HathiTrust Record")</f>
        <v>HathiTrust Record</v>
      </c>
      <c r="AS5" s="6" t="str">
        <f>HYPERLINK("https://creighton-primo.hosted.exlibrisgroup.com/primo-explore/search?tab=default_tab&amp;search_scope=EVERYTHING&amp;vid=01CRU&amp;lang=en_US&amp;offset=0&amp;query=any,contains,991000922649702656","Catalog Record")</f>
        <v>Catalog Record</v>
      </c>
      <c r="AT5" s="6" t="str">
        <f>HYPERLINK("http://www.worldcat.org/oclc/14213950","WorldCat Record")</f>
        <v>WorldCat Record</v>
      </c>
      <c r="AU5" s="3" t="s">
        <v>118</v>
      </c>
      <c r="AV5" s="3" t="s">
        <v>119</v>
      </c>
      <c r="AW5" s="3" t="s">
        <v>120</v>
      </c>
      <c r="AX5" s="3" t="s">
        <v>120</v>
      </c>
      <c r="AY5" s="3" t="s">
        <v>121</v>
      </c>
      <c r="AZ5" s="3" t="s">
        <v>75</v>
      </c>
      <c r="BB5" s="3" t="s">
        <v>122</v>
      </c>
      <c r="BC5" s="3" t="s">
        <v>123</v>
      </c>
      <c r="BD5" s="3" t="s">
        <v>124</v>
      </c>
    </row>
    <row r="6" spans="1:56" ht="48" customHeight="1" x14ac:dyDescent="0.25">
      <c r="A6" s="7" t="s">
        <v>59</v>
      </c>
      <c r="B6" s="2" t="s">
        <v>125</v>
      </c>
      <c r="C6" s="2" t="s">
        <v>126</v>
      </c>
      <c r="D6" s="2" t="s">
        <v>127</v>
      </c>
      <c r="F6" s="3" t="s">
        <v>59</v>
      </c>
      <c r="G6" s="3" t="s">
        <v>60</v>
      </c>
      <c r="H6" s="3" t="s">
        <v>59</v>
      </c>
      <c r="I6" s="3" t="s">
        <v>59</v>
      </c>
      <c r="J6" s="3" t="s">
        <v>61</v>
      </c>
      <c r="L6" s="2" t="s">
        <v>128</v>
      </c>
      <c r="M6" s="3" t="s">
        <v>129</v>
      </c>
      <c r="O6" s="3" t="s">
        <v>64</v>
      </c>
      <c r="P6" s="3" t="s">
        <v>130</v>
      </c>
      <c r="Q6" s="2" t="s">
        <v>131</v>
      </c>
      <c r="R6" s="3" t="s">
        <v>67</v>
      </c>
      <c r="S6" s="4">
        <v>8</v>
      </c>
      <c r="T6" s="4">
        <v>8</v>
      </c>
      <c r="U6" s="5" t="s">
        <v>132</v>
      </c>
      <c r="V6" s="5" t="s">
        <v>132</v>
      </c>
      <c r="W6" s="5" t="s">
        <v>133</v>
      </c>
      <c r="X6" s="5" t="s">
        <v>133</v>
      </c>
      <c r="Y6" s="4">
        <v>248</v>
      </c>
      <c r="Z6" s="4">
        <v>179</v>
      </c>
      <c r="AA6" s="4">
        <v>184</v>
      </c>
      <c r="AB6" s="4">
        <v>1</v>
      </c>
      <c r="AC6" s="4">
        <v>1</v>
      </c>
      <c r="AD6" s="4">
        <v>6</v>
      </c>
      <c r="AE6" s="4">
        <v>6</v>
      </c>
      <c r="AF6" s="4">
        <v>1</v>
      </c>
      <c r="AG6" s="4">
        <v>1</v>
      </c>
      <c r="AH6" s="4">
        <v>3</v>
      </c>
      <c r="AI6" s="4">
        <v>3</v>
      </c>
      <c r="AJ6" s="4">
        <v>3</v>
      </c>
      <c r="AK6" s="4">
        <v>3</v>
      </c>
      <c r="AL6" s="4">
        <v>0</v>
      </c>
      <c r="AM6" s="4">
        <v>0</v>
      </c>
      <c r="AN6" s="4">
        <v>0</v>
      </c>
      <c r="AO6" s="4">
        <v>0</v>
      </c>
      <c r="AP6" s="3" t="s">
        <v>59</v>
      </c>
      <c r="AQ6" s="3" t="s">
        <v>59</v>
      </c>
      <c r="AS6" s="6" t="str">
        <f>HYPERLINK("https://creighton-primo.hosted.exlibrisgroup.com/primo-explore/search?tab=default_tab&amp;search_scope=EVERYTHING&amp;vid=01CRU&amp;lang=en_US&amp;offset=0&amp;query=any,contains,991001934269702656","Catalog Record")</f>
        <v>Catalog Record</v>
      </c>
      <c r="AT6" s="6" t="str">
        <f>HYPERLINK("http://www.worldcat.org/oclc/24430104","WorldCat Record")</f>
        <v>WorldCat Record</v>
      </c>
      <c r="AU6" s="3" t="s">
        <v>134</v>
      </c>
      <c r="AV6" s="3" t="s">
        <v>135</v>
      </c>
      <c r="AW6" s="3" t="s">
        <v>136</v>
      </c>
      <c r="AX6" s="3" t="s">
        <v>136</v>
      </c>
      <c r="AY6" s="3" t="s">
        <v>137</v>
      </c>
      <c r="AZ6" s="3" t="s">
        <v>75</v>
      </c>
      <c r="BB6" s="3" t="s">
        <v>138</v>
      </c>
      <c r="BC6" s="3" t="s">
        <v>139</v>
      </c>
      <c r="BD6" s="3" t="s">
        <v>140</v>
      </c>
    </row>
    <row r="7" spans="1:56" ht="48" customHeight="1" x14ac:dyDescent="0.25">
      <c r="A7" s="7" t="s">
        <v>59</v>
      </c>
      <c r="B7" s="2" t="s">
        <v>141</v>
      </c>
      <c r="C7" s="2" t="s">
        <v>142</v>
      </c>
      <c r="D7" s="2" t="s">
        <v>143</v>
      </c>
      <c r="F7" s="3" t="s">
        <v>59</v>
      </c>
      <c r="G7" s="3" t="s">
        <v>60</v>
      </c>
      <c r="H7" s="3" t="s">
        <v>70</v>
      </c>
      <c r="I7" s="3" t="s">
        <v>59</v>
      </c>
      <c r="J7" s="3" t="s">
        <v>61</v>
      </c>
      <c r="L7" s="2" t="s">
        <v>144</v>
      </c>
      <c r="M7" s="3" t="s">
        <v>145</v>
      </c>
      <c r="O7" s="3" t="s">
        <v>64</v>
      </c>
      <c r="P7" s="3" t="s">
        <v>130</v>
      </c>
      <c r="Q7" s="2" t="s">
        <v>146</v>
      </c>
      <c r="R7" s="3" t="s">
        <v>67</v>
      </c>
      <c r="S7" s="4">
        <v>4</v>
      </c>
      <c r="T7" s="4">
        <v>5</v>
      </c>
      <c r="U7" s="5" t="s">
        <v>147</v>
      </c>
      <c r="V7" s="5" t="s">
        <v>147</v>
      </c>
      <c r="W7" s="5" t="s">
        <v>148</v>
      </c>
      <c r="X7" s="5" t="s">
        <v>148</v>
      </c>
      <c r="Y7" s="4">
        <v>193</v>
      </c>
      <c r="Z7" s="4">
        <v>130</v>
      </c>
      <c r="AA7" s="4">
        <v>132</v>
      </c>
      <c r="AB7" s="4">
        <v>2</v>
      </c>
      <c r="AC7" s="4">
        <v>2</v>
      </c>
      <c r="AD7" s="4">
        <v>1</v>
      </c>
      <c r="AE7" s="4">
        <v>1</v>
      </c>
      <c r="AF7" s="4">
        <v>0</v>
      </c>
      <c r="AG7" s="4">
        <v>0</v>
      </c>
      <c r="AH7" s="4">
        <v>0</v>
      </c>
      <c r="AI7" s="4">
        <v>0</v>
      </c>
      <c r="AJ7" s="4">
        <v>1</v>
      </c>
      <c r="AK7" s="4">
        <v>1</v>
      </c>
      <c r="AL7" s="4">
        <v>0</v>
      </c>
      <c r="AM7" s="4">
        <v>0</v>
      </c>
      <c r="AN7" s="4">
        <v>0</v>
      </c>
      <c r="AO7" s="4">
        <v>0</v>
      </c>
      <c r="AP7" s="3" t="s">
        <v>59</v>
      </c>
      <c r="AQ7" s="3" t="s">
        <v>70</v>
      </c>
      <c r="AR7" s="6" t="str">
        <f>HYPERLINK("http://catalog.hathitrust.org/Record/000089628","HathiTrust Record")</f>
        <v>HathiTrust Record</v>
      </c>
      <c r="AS7" s="6" t="str">
        <f>HYPERLINK("https://creighton-primo.hosted.exlibrisgroup.com/primo-explore/search?tab=default_tab&amp;search_scope=EVERYTHING&amp;vid=01CRU&amp;lang=en_US&amp;offset=0&amp;query=any,contains,991001790709702656","Catalog Record")</f>
        <v>Catalog Record</v>
      </c>
      <c r="AT7" s="6" t="str">
        <f>HYPERLINK("http://www.worldcat.org/oclc/3542699","WorldCat Record")</f>
        <v>WorldCat Record</v>
      </c>
      <c r="AU7" s="3" t="s">
        <v>149</v>
      </c>
      <c r="AV7" s="3" t="s">
        <v>150</v>
      </c>
      <c r="AW7" s="3" t="s">
        <v>151</v>
      </c>
      <c r="AX7" s="3" t="s">
        <v>151</v>
      </c>
      <c r="AY7" s="3" t="s">
        <v>152</v>
      </c>
      <c r="AZ7" s="3" t="s">
        <v>75</v>
      </c>
      <c r="BB7" s="3" t="s">
        <v>153</v>
      </c>
      <c r="BC7" s="3" t="s">
        <v>154</v>
      </c>
      <c r="BD7" s="3" t="s">
        <v>155</v>
      </c>
    </row>
    <row r="8" spans="1:56" ht="48" customHeight="1" x14ac:dyDescent="0.25">
      <c r="A8" s="7" t="s">
        <v>59</v>
      </c>
      <c r="B8" s="2" t="s">
        <v>156</v>
      </c>
      <c r="C8" s="2" t="s">
        <v>157</v>
      </c>
      <c r="D8" s="2" t="s">
        <v>158</v>
      </c>
      <c r="E8" s="3" t="s">
        <v>159</v>
      </c>
      <c r="F8" s="3" t="s">
        <v>59</v>
      </c>
      <c r="G8" s="3" t="s">
        <v>60</v>
      </c>
      <c r="H8" s="3" t="s">
        <v>59</v>
      </c>
      <c r="I8" s="3" t="s">
        <v>59</v>
      </c>
      <c r="J8" s="3" t="s">
        <v>61</v>
      </c>
      <c r="L8" s="2" t="s">
        <v>160</v>
      </c>
      <c r="M8" s="3" t="s">
        <v>161</v>
      </c>
      <c r="O8" s="3" t="s">
        <v>64</v>
      </c>
      <c r="P8" s="3" t="s">
        <v>130</v>
      </c>
      <c r="R8" s="3" t="s">
        <v>67</v>
      </c>
      <c r="S8" s="4">
        <v>4</v>
      </c>
      <c r="T8" s="4">
        <v>4</v>
      </c>
      <c r="U8" s="5" t="s">
        <v>162</v>
      </c>
      <c r="V8" s="5" t="s">
        <v>162</v>
      </c>
      <c r="W8" s="5" t="s">
        <v>163</v>
      </c>
      <c r="X8" s="5" t="s">
        <v>163</v>
      </c>
      <c r="Y8" s="4">
        <v>266</v>
      </c>
      <c r="Z8" s="4">
        <v>209</v>
      </c>
      <c r="AA8" s="4">
        <v>249</v>
      </c>
      <c r="AB8" s="4">
        <v>2</v>
      </c>
      <c r="AC8" s="4">
        <v>3</v>
      </c>
      <c r="AD8" s="4">
        <v>8</v>
      </c>
      <c r="AE8" s="4">
        <v>12</v>
      </c>
      <c r="AF8" s="4">
        <v>0</v>
      </c>
      <c r="AG8" s="4">
        <v>2</v>
      </c>
      <c r="AH8" s="4">
        <v>4</v>
      </c>
      <c r="AI8" s="4">
        <v>6</v>
      </c>
      <c r="AJ8" s="4">
        <v>6</v>
      </c>
      <c r="AK8" s="4">
        <v>6</v>
      </c>
      <c r="AL8" s="4">
        <v>1</v>
      </c>
      <c r="AM8" s="4">
        <v>2</v>
      </c>
      <c r="AN8" s="4">
        <v>0</v>
      </c>
      <c r="AO8" s="4">
        <v>0</v>
      </c>
      <c r="AP8" s="3" t="s">
        <v>59</v>
      </c>
      <c r="AQ8" s="3" t="s">
        <v>70</v>
      </c>
      <c r="AR8" s="6" t="str">
        <f>HYPERLINK("http://catalog.hathitrust.org/Record/008331246","HathiTrust Record")</f>
        <v>HathiTrust Record</v>
      </c>
      <c r="AS8" s="6" t="str">
        <f>HYPERLINK("https://creighton-primo.hosted.exlibrisgroup.com/primo-explore/search?tab=default_tab&amp;search_scope=EVERYTHING&amp;vid=01CRU&amp;lang=en_US&amp;offset=0&amp;query=any,contains,991005015199702656","Catalog Record")</f>
        <v>Catalog Record</v>
      </c>
      <c r="AT8" s="6" t="str">
        <f>HYPERLINK("http://www.worldcat.org/oclc/6485058","WorldCat Record")</f>
        <v>WorldCat Record</v>
      </c>
      <c r="AU8" s="3" t="s">
        <v>164</v>
      </c>
      <c r="AV8" s="3" t="s">
        <v>165</v>
      </c>
      <c r="AW8" s="3" t="s">
        <v>166</v>
      </c>
      <c r="AX8" s="3" t="s">
        <v>166</v>
      </c>
      <c r="AY8" s="3" t="s">
        <v>167</v>
      </c>
      <c r="AZ8" s="3" t="s">
        <v>75</v>
      </c>
      <c r="BB8" s="3" t="s">
        <v>168</v>
      </c>
      <c r="BC8" s="3" t="s">
        <v>169</v>
      </c>
      <c r="BD8" s="3" t="s">
        <v>170</v>
      </c>
    </row>
    <row r="9" spans="1:56" ht="48" customHeight="1" x14ac:dyDescent="0.25">
      <c r="A9" s="7" t="s">
        <v>59</v>
      </c>
      <c r="B9" s="2" t="s">
        <v>171</v>
      </c>
      <c r="C9" s="2" t="s">
        <v>172</v>
      </c>
      <c r="D9" s="2" t="s">
        <v>173</v>
      </c>
      <c r="F9" s="3" t="s">
        <v>59</v>
      </c>
      <c r="G9" s="3" t="s">
        <v>60</v>
      </c>
      <c r="H9" s="3" t="s">
        <v>59</v>
      </c>
      <c r="I9" s="3" t="s">
        <v>59</v>
      </c>
      <c r="J9" s="3" t="s">
        <v>61</v>
      </c>
      <c r="L9" s="2" t="s">
        <v>174</v>
      </c>
      <c r="M9" s="3" t="s">
        <v>175</v>
      </c>
      <c r="O9" s="3" t="s">
        <v>64</v>
      </c>
      <c r="P9" s="3" t="s">
        <v>176</v>
      </c>
      <c r="R9" s="3" t="s">
        <v>67</v>
      </c>
      <c r="S9" s="4">
        <v>9</v>
      </c>
      <c r="T9" s="4">
        <v>9</v>
      </c>
      <c r="U9" s="5" t="s">
        <v>177</v>
      </c>
      <c r="V9" s="5" t="s">
        <v>177</v>
      </c>
      <c r="W9" s="5" t="s">
        <v>178</v>
      </c>
      <c r="X9" s="5" t="s">
        <v>178</v>
      </c>
      <c r="Y9" s="4">
        <v>187</v>
      </c>
      <c r="Z9" s="4">
        <v>129</v>
      </c>
      <c r="AA9" s="4">
        <v>183</v>
      </c>
      <c r="AB9" s="4">
        <v>1</v>
      </c>
      <c r="AC9" s="4">
        <v>1</v>
      </c>
      <c r="AD9" s="4">
        <v>2</v>
      </c>
      <c r="AE9" s="4">
        <v>5</v>
      </c>
      <c r="AF9" s="4">
        <v>0</v>
      </c>
      <c r="AG9" s="4">
        <v>1</v>
      </c>
      <c r="AH9" s="4">
        <v>1</v>
      </c>
      <c r="AI9" s="4">
        <v>2</v>
      </c>
      <c r="AJ9" s="4">
        <v>1</v>
      </c>
      <c r="AK9" s="4">
        <v>2</v>
      </c>
      <c r="AL9" s="4">
        <v>0</v>
      </c>
      <c r="AM9" s="4">
        <v>0</v>
      </c>
      <c r="AN9" s="4">
        <v>0</v>
      </c>
      <c r="AO9" s="4">
        <v>0</v>
      </c>
      <c r="AP9" s="3" t="s">
        <v>59</v>
      </c>
      <c r="AQ9" s="3" t="s">
        <v>70</v>
      </c>
      <c r="AR9" s="6" t="str">
        <f>HYPERLINK("http://catalog.hathitrust.org/Record/004008196","HathiTrust Record")</f>
        <v>HathiTrust Record</v>
      </c>
      <c r="AS9" s="6" t="str">
        <f>HYPERLINK("https://creighton-primo.hosted.exlibrisgroup.com/primo-explore/search?tab=default_tab&amp;search_scope=EVERYTHING&amp;vid=01CRU&amp;lang=en_US&amp;offset=0&amp;query=any,contains,991002988049702656","Catalog Record")</f>
        <v>Catalog Record</v>
      </c>
      <c r="AT9" s="6" t="str">
        <f>HYPERLINK("http://www.worldcat.org/oclc/40292358","WorldCat Record")</f>
        <v>WorldCat Record</v>
      </c>
      <c r="AU9" s="3" t="s">
        <v>179</v>
      </c>
      <c r="AV9" s="3" t="s">
        <v>180</v>
      </c>
      <c r="AW9" s="3" t="s">
        <v>181</v>
      </c>
      <c r="AX9" s="3" t="s">
        <v>181</v>
      </c>
      <c r="AY9" s="3" t="s">
        <v>182</v>
      </c>
      <c r="AZ9" s="3" t="s">
        <v>75</v>
      </c>
      <c r="BB9" s="3" t="s">
        <v>183</v>
      </c>
      <c r="BC9" s="3" t="s">
        <v>184</v>
      </c>
      <c r="BD9" s="3" t="s">
        <v>185</v>
      </c>
    </row>
    <row r="10" spans="1:56" ht="48" customHeight="1" x14ac:dyDescent="0.25">
      <c r="A10" s="7" t="s">
        <v>59</v>
      </c>
      <c r="B10" s="2" t="s">
        <v>186</v>
      </c>
      <c r="C10" s="2" t="s">
        <v>187</v>
      </c>
      <c r="D10" s="2" t="s">
        <v>188</v>
      </c>
      <c r="F10" s="3" t="s">
        <v>59</v>
      </c>
      <c r="G10" s="3" t="s">
        <v>60</v>
      </c>
      <c r="H10" s="3" t="s">
        <v>59</v>
      </c>
      <c r="I10" s="3" t="s">
        <v>59</v>
      </c>
      <c r="J10" s="3" t="s">
        <v>61</v>
      </c>
      <c r="L10" s="2" t="s">
        <v>189</v>
      </c>
      <c r="M10" s="3" t="s">
        <v>190</v>
      </c>
      <c r="O10" s="3" t="s">
        <v>64</v>
      </c>
      <c r="P10" s="3" t="s">
        <v>191</v>
      </c>
      <c r="Q10" s="2" t="s">
        <v>192</v>
      </c>
      <c r="R10" s="3" t="s">
        <v>67</v>
      </c>
      <c r="S10" s="4">
        <v>4</v>
      </c>
      <c r="T10" s="4">
        <v>4</v>
      </c>
      <c r="U10" s="5" t="s">
        <v>193</v>
      </c>
      <c r="V10" s="5" t="s">
        <v>193</v>
      </c>
      <c r="W10" s="5" t="s">
        <v>148</v>
      </c>
      <c r="X10" s="5" t="s">
        <v>148</v>
      </c>
      <c r="Y10" s="4">
        <v>211</v>
      </c>
      <c r="Z10" s="4">
        <v>165</v>
      </c>
      <c r="AA10" s="4">
        <v>214</v>
      </c>
      <c r="AB10" s="4">
        <v>1</v>
      </c>
      <c r="AC10" s="4">
        <v>2</v>
      </c>
      <c r="AD10" s="4">
        <v>6</v>
      </c>
      <c r="AE10" s="4">
        <v>9</v>
      </c>
      <c r="AF10" s="4">
        <v>2</v>
      </c>
      <c r="AG10" s="4">
        <v>3</v>
      </c>
      <c r="AH10" s="4">
        <v>4</v>
      </c>
      <c r="AI10" s="4">
        <v>6</v>
      </c>
      <c r="AJ10" s="4">
        <v>4</v>
      </c>
      <c r="AK10" s="4">
        <v>4</v>
      </c>
      <c r="AL10" s="4">
        <v>0</v>
      </c>
      <c r="AM10" s="4">
        <v>1</v>
      </c>
      <c r="AN10" s="4">
        <v>0</v>
      </c>
      <c r="AO10" s="4">
        <v>0</v>
      </c>
      <c r="AP10" s="3" t="s">
        <v>59</v>
      </c>
      <c r="AQ10" s="3" t="s">
        <v>70</v>
      </c>
      <c r="AR10" s="6" t="str">
        <f>HYPERLINK("http://catalog.hathitrust.org/Record/000447611","HathiTrust Record")</f>
        <v>HathiTrust Record</v>
      </c>
      <c r="AS10" s="6" t="str">
        <f>HYPERLINK("https://creighton-primo.hosted.exlibrisgroup.com/primo-explore/search?tab=default_tab&amp;search_scope=EVERYTHING&amp;vid=01CRU&amp;lang=en_US&amp;offset=0&amp;query=any,contains,991000701789702656","Catalog Record")</f>
        <v>Catalog Record</v>
      </c>
      <c r="AT10" s="6" t="str">
        <f>HYPERLINK("http://www.worldcat.org/oclc/12550531","WorldCat Record")</f>
        <v>WorldCat Record</v>
      </c>
      <c r="AU10" s="3" t="s">
        <v>194</v>
      </c>
      <c r="AV10" s="3" t="s">
        <v>195</v>
      </c>
      <c r="AW10" s="3" t="s">
        <v>196</v>
      </c>
      <c r="AX10" s="3" t="s">
        <v>196</v>
      </c>
      <c r="AY10" s="3" t="s">
        <v>197</v>
      </c>
      <c r="AZ10" s="3" t="s">
        <v>75</v>
      </c>
      <c r="BB10" s="3" t="s">
        <v>198</v>
      </c>
      <c r="BC10" s="3" t="s">
        <v>199</v>
      </c>
      <c r="BD10" s="3" t="s">
        <v>200</v>
      </c>
    </row>
    <row r="11" spans="1:56" ht="48" customHeight="1" x14ac:dyDescent="0.25">
      <c r="A11" s="7" t="s">
        <v>59</v>
      </c>
      <c r="B11" s="2" t="s">
        <v>201</v>
      </c>
      <c r="C11" s="2" t="s">
        <v>202</v>
      </c>
      <c r="D11" s="2" t="s">
        <v>203</v>
      </c>
      <c r="F11" s="3" t="s">
        <v>59</v>
      </c>
      <c r="G11" s="3" t="s">
        <v>60</v>
      </c>
      <c r="H11" s="3" t="s">
        <v>70</v>
      </c>
      <c r="I11" s="3" t="s">
        <v>59</v>
      </c>
      <c r="J11" s="3" t="s">
        <v>61</v>
      </c>
      <c r="K11" s="2" t="s">
        <v>204</v>
      </c>
      <c r="L11" s="2" t="s">
        <v>205</v>
      </c>
      <c r="M11" s="3" t="s">
        <v>113</v>
      </c>
      <c r="O11" s="3" t="s">
        <v>64</v>
      </c>
      <c r="P11" s="3" t="s">
        <v>191</v>
      </c>
      <c r="R11" s="3" t="s">
        <v>67</v>
      </c>
      <c r="S11" s="4">
        <v>5</v>
      </c>
      <c r="T11" s="4">
        <v>5</v>
      </c>
      <c r="U11" s="5" t="s">
        <v>206</v>
      </c>
      <c r="V11" s="5" t="s">
        <v>206</v>
      </c>
      <c r="W11" s="5" t="s">
        <v>207</v>
      </c>
      <c r="X11" s="5" t="s">
        <v>207</v>
      </c>
      <c r="Y11" s="4">
        <v>318</v>
      </c>
      <c r="Z11" s="4">
        <v>244</v>
      </c>
      <c r="AA11" s="4">
        <v>247</v>
      </c>
      <c r="AB11" s="4">
        <v>4</v>
      </c>
      <c r="AC11" s="4">
        <v>4</v>
      </c>
      <c r="AD11" s="4">
        <v>10</v>
      </c>
      <c r="AE11" s="4">
        <v>10</v>
      </c>
      <c r="AF11" s="4">
        <v>4</v>
      </c>
      <c r="AG11" s="4">
        <v>4</v>
      </c>
      <c r="AH11" s="4">
        <v>2</v>
      </c>
      <c r="AI11" s="4">
        <v>2</v>
      </c>
      <c r="AJ11" s="4">
        <v>3</v>
      </c>
      <c r="AK11" s="4">
        <v>3</v>
      </c>
      <c r="AL11" s="4">
        <v>2</v>
      </c>
      <c r="AM11" s="4">
        <v>2</v>
      </c>
      <c r="AN11" s="4">
        <v>0</v>
      </c>
      <c r="AO11" s="4">
        <v>0</v>
      </c>
      <c r="AP11" s="3" t="s">
        <v>59</v>
      </c>
      <c r="AQ11" s="3" t="s">
        <v>59</v>
      </c>
      <c r="AS11" s="6" t="str">
        <f>HYPERLINK("https://creighton-primo.hosted.exlibrisgroup.com/primo-explore/search?tab=default_tab&amp;search_scope=EVERYTHING&amp;vid=01CRU&amp;lang=en_US&amp;offset=0&amp;query=any,contains,991000779899702656","Catalog Record")</f>
        <v>Catalog Record</v>
      </c>
      <c r="AT11" s="6" t="str">
        <f>HYPERLINK("http://www.worldcat.org/oclc/13094506","WorldCat Record")</f>
        <v>WorldCat Record</v>
      </c>
      <c r="AU11" s="3" t="s">
        <v>208</v>
      </c>
      <c r="AV11" s="3" t="s">
        <v>209</v>
      </c>
      <c r="AW11" s="3" t="s">
        <v>210</v>
      </c>
      <c r="AX11" s="3" t="s">
        <v>210</v>
      </c>
      <c r="AY11" s="3" t="s">
        <v>211</v>
      </c>
      <c r="AZ11" s="3" t="s">
        <v>75</v>
      </c>
      <c r="BB11" s="3" t="s">
        <v>212</v>
      </c>
      <c r="BC11" s="3" t="s">
        <v>213</v>
      </c>
      <c r="BD11" s="3" t="s">
        <v>214</v>
      </c>
    </row>
    <row r="12" spans="1:56" ht="48" customHeight="1" x14ac:dyDescent="0.25">
      <c r="A12" s="7" t="s">
        <v>59</v>
      </c>
      <c r="B12" s="2" t="s">
        <v>215</v>
      </c>
      <c r="C12" s="2" t="s">
        <v>216</v>
      </c>
      <c r="D12" s="2" t="s">
        <v>217</v>
      </c>
      <c r="F12" s="3" t="s">
        <v>59</v>
      </c>
      <c r="G12" s="3" t="s">
        <v>60</v>
      </c>
      <c r="H12" s="3" t="s">
        <v>70</v>
      </c>
      <c r="I12" s="3" t="s">
        <v>59</v>
      </c>
      <c r="J12" s="3" t="s">
        <v>61</v>
      </c>
      <c r="L12" s="2" t="s">
        <v>218</v>
      </c>
      <c r="M12" s="3" t="s">
        <v>219</v>
      </c>
      <c r="O12" s="3" t="s">
        <v>64</v>
      </c>
      <c r="P12" s="3" t="s">
        <v>191</v>
      </c>
      <c r="R12" s="3" t="s">
        <v>67</v>
      </c>
      <c r="S12" s="4">
        <v>10</v>
      </c>
      <c r="T12" s="4">
        <v>10</v>
      </c>
      <c r="U12" s="5" t="s">
        <v>220</v>
      </c>
      <c r="V12" s="5" t="s">
        <v>220</v>
      </c>
      <c r="W12" s="5" t="s">
        <v>221</v>
      </c>
      <c r="X12" s="5" t="s">
        <v>221</v>
      </c>
      <c r="Y12" s="4">
        <v>63</v>
      </c>
      <c r="Z12" s="4">
        <v>44</v>
      </c>
      <c r="AA12" s="4">
        <v>44</v>
      </c>
      <c r="AB12" s="4">
        <v>2</v>
      </c>
      <c r="AC12" s="4">
        <v>2</v>
      </c>
      <c r="AD12" s="4">
        <v>1</v>
      </c>
      <c r="AE12" s="4">
        <v>1</v>
      </c>
      <c r="AF12" s="4">
        <v>0</v>
      </c>
      <c r="AG12" s="4">
        <v>0</v>
      </c>
      <c r="AH12" s="4">
        <v>1</v>
      </c>
      <c r="AI12" s="4">
        <v>1</v>
      </c>
      <c r="AJ12" s="4">
        <v>0</v>
      </c>
      <c r="AK12" s="4">
        <v>0</v>
      </c>
      <c r="AL12" s="4">
        <v>0</v>
      </c>
      <c r="AM12" s="4">
        <v>0</v>
      </c>
      <c r="AN12" s="4">
        <v>0</v>
      </c>
      <c r="AO12" s="4">
        <v>0</v>
      </c>
      <c r="AP12" s="3" t="s">
        <v>59</v>
      </c>
      <c r="AQ12" s="3" t="s">
        <v>59</v>
      </c>
      <c r="AS12" s="6" t="str">
        <f>HYPERLINK("https://creighton-primo.hosted.exlibrisgroup.com/primo-explore/search?tab=default_tab&amp;search_scope=EVERYTHING&amp;vid=01CRU&amp;lang=en_US&amp;offset=0&amp;query=any,contains,991001687519702656","Catalog Record")</f>
        <v>Catalog Record</v>
      </c>
      <c r="AT12" s="6" t="str">
        <f>HYPERLINK("http://www.worldcat.org/oclc/21408955","WorldCat Record")</f>
        <v>WorldCat Record</v>
      </c>
      <c r="AU12" s="3" t="s">
        <v>222</v>
      </c>
      <c r="AV12" s="3" t="s">
        <v>223</v>
      </c>
      <c r="AW12" s="3" t="s">
        <v>224</v>
      </c>
      <c r="AX12" s="3" t="s">
        <v>224</v>
      </c>
      <c r="AY12" s="3" t="s">
        <v>225</v>
      </c>
      <c r="AZ12" s="3" t="s">
        <v>75</v>
      </c>
      <c r="BB12" s="3" t="s">
        <v>226</v>
      </c>
      <c r="BC12" s="3" t="s">
        <v>227</v>
      </c>
      <c r="BD12" s="3" t="s">
        <v>228</v>
      </c>
    </row>
    <row r="13" spans="1:56" ht="48" customHeight="1" x14ac:dyDescent="0.25">
      <c r="A13" s="7" t="s">
        <v>59</v>
      </c>
      <c r="B13" s="2" t="s">
        <v>229</v>
      </c>
      <c r="C13" s="2" t="s">
        <v>230</v>
      </c>
      <c r="D13" s="2" t="s">
        <v>231</v>
      </c>
      <c r="F13" s="3" t="s">
        <v>59</v>
      </c>
      <c r="G13" s="3" t="s">
        <v>60</v>
      </c>
      <c r="H13" s="3" t="s">
        <v>59</v>
      </c>
      <c r="I13" s="3" t="s">
        <v>59</v>
      </c>
      <c r="J13" s="3" t="s">
        <v>61</v>
      </c>
      <c r="K13" s="2" t="s">
        <v>232</v>
      </c>
      <c r="L13" s="2" t="s">
        <v>233</v>
      </c>
      <c r="M13" s="3" t="s">
        <v>234</v>
      </c>
      <c r="O13" s="3" t="s">
        <v>64</v>
      </c>
      <c r="P13" s="3" t="s">
        <v>130</v>
      </c>
      <c r="R13" s="3" t="s">
        <v>67</v>
      </c>
      <c r="S13" s="4">
        <v>7</v>
      </c>
      <c r="T13" s="4">
        <v>7</v>
      </c>
      <c r="U13" s="5" t="s">
        <v>235</v>
      </c>
      <c r="V13" s="5" t="s">
        <v>235</v>
      </c>
      <c r="W13" s="5" t="s">
        <v>236</v>
      </c>
      <c r="X13" s="5" t="s">
        <v>236</v>
      </c>
      <c r="Y13" s="4">
        <v>303</v>
      </c>
      <c r="Z13" s="4">
        <v>238</v>
      </c>
      <c r="AA13" s="4">
        <v>255</v>
      </c>
      <c r="AB13" s="4">
        <v>1</v>
      </c>
      <c r="AC13" s="4">
        <v>1</v>
      </c>
      <c r="AD13" s="4">
        <v>12</v>
      </c>
      <c r="AE13" s="4">
        <v>12</v>
      </c>
      <c r="AF13" s="4">
        <v>3</v>
      </c>
      <c r="AG13" s="4">
        <v>3</v>
      </c>
      <c r="AH13" s="4">
        <v>5</v>
      </c>
      <c r="AI13" s="4">
        <v>5</v>
      </c>
      <c r="AJ13" s="4">
        <v>6</v>
      </c>
      <c r="AK13" s="4">
        <v>6</v>
      </c>
      <c r="AL13" s="4">
        <v>0</v>
      </c>
      <c r="AM13" s="4">
        <v>0</v>
      </c>
      <c r="AN13" s="4">
        <v>0</v>
      </c>
      <c r="AO13" s="4">
        <v>0</v>
      </c>
      <c r="AP13" s="3" t="s">
        <v>59</v>
      </c>
      <c r="AQ13" s="3" t="s">
        <v>70</v>
      </c>
      <c r="AR13" s="6" t="str">
        <f>HYPERLINK("http://catalog.hathitrust.org/Record/001950883","HathiTrust Record")</f>
        <v>HathiTrust Record</v>
      </c>
      <c r="AS13" s="6" t="str">
        <f>HYPERLINK("https://creighton-primo.hosted.exlibrisgroup.com/primo-explore/search?tab=default_tab&amp;search_scope=EVERYTHING&amp;vid=01CRU&amp;lang=en_US&amp;offset=0&amp;query=any,contains,991004451899702656","Catalog Record")</f>
        <v>Catalog Record</v>
      </c>
      <c r="AT13" s="6" t="str">
        <f>HYPERLINK("http://www.worldcat.org/oclc/19886857","WorldCat Record")</f>
        <v>WorldCat Record</v>
      </c>
      <c r="AU13" s="3" t="s">
        <v>237</v>
      </c>
      <c r="AV13" s="3" t="s">
        <v>238</v>
      </c>
      <c r="AW13" s="3" t="s">
        <v>239</v>
      </c>
      <c r="AX13" s="3" t="s">
        <v>239</v>
      </c>
      <c r="AY13" s="3" t="s">
        <v>240</v>
      </c>
      <c r="AZ13" s="3" t="s">
        <v>75</v>
      </c>
      <c r="BB13" s="3" t="s">
        <v>241</v>
      </c>
      <c r="BC13" s="3" t="s">
        <v>242</v>
      </c>
      <c r="BD13" s="3" t="s">
        <v>243</v>
      </c>
    </row>
    <row r="14" spans="1:56" ht="48" customHeight="1" x14ac:dyDescent="0.25">
      <c r="A14" s="7" t="s">
        <v>59</v>
      </c>
      <c r="B14" s="2" t="s">
        <v>244</v>
      </c>
      <c r="C14" s="2" t="s">
        <v>245</v>
      </c>
      <c r="D14" s="2" t="s">
        <v>246</v>
      </c>
      <c r="F14" s="3" t="s">
        <v>59</v>
      </c>
      <c r="G14" s="3" t="s">
        <v>60</v>
      </c>
      <c r="H14" s="3" t="s">
        <v>59</v>
      </c>
      <c r="I14" s="3" t="s">
        <v>59</v>
      </c>
      <c r="J14" s="3" t="s">
        <v>61</v>
      </c>
      <c r="L14" s="2" t="s">
        <v>247</v>
      </c>
      <c r="M14" s="3" t="s">
        <v>248</v>
      </c>
      <c r="O14" s="3" t="s">
        <v>64</v>
      </c>
      <c r="P14" s="3" t="s">
        <v>84</v>
      </c>
      <c r="R14" s="3" t="s">
        <v>67</v>
      </c>
      <c r="S14" s="4">
        <v>7</v>
      </c>
      <c r="T14" s="4">
        <v>7</v>
      </c>
      <c r="U14" s="5" t="s">
        <v>249</v>
      </c>
      <c r="V14" s="5" t="s">
        <v>249</v>
      </c>
      <c r="W14" s="5" t="s">
        <v>250</v>
      </c>
      <c r="X14" s="5" t="s">
        <v>250</v>
      </c>
      <c r="Y14" s="4">
        <v>468</v>
      </c>
      <c r="Z14" s="4">
        <v>351</v>
      </c>
      <c r="AA14" s="4">
        <v>362</v>
      </c>
      <c r="AB14" s="4">
        <v>4</v>
      </c>
      <c r="AC14" s="4">
        <v>4</v>
      </c>
      <c r="AD14" s="4">
        <v>12</v>
      </c>
      <c r="AE14" s="4">
        <v>12</v>
      </c>
      <c r="AF14" s="4">
        <v>3</v>
      </c>
      <c r="AG14" s="4">
        <v>3</v>
      </c>
      <c r="AH14" s="4">
        <v>3</v>
      </c>
      <c r="AI14" s="4">
        <v>3</v>
      </c>
      <c r="AJ14" s="4">
        <v>7</v>
      </c>
      <c r="AK14" s="4">
        <v>7</v>
      </c>
      <c r="AL14" s="4">
        <v>3</v>
      </c>
      <c r="AM14" s="4">
        <v>3</v>
      </c>
      <c r="AN14" s="4">
        <v>0</v>
      </c>
      <c r="AO14" s="4">
        <v>0</v>
      </c>
      <c r="AP14" s="3" t="s">
        <v>59</v>
      </c>
      <c r="AQ14" s="3" t="s">
        <v>70</v>
      </c>
      <c r="AR14" s="6" t="str">
        <f>HYPERLINK("http://catalog.hathitrust.org/Record/000733662","HathiTrust Record")</f>
        <v>HathiTrust Record</v>
      </c>
      <c r="AS14" s="6" t="str">
        <f>HYPERLINK("https://creighton-primo.hosted.exlibrisgroup.com/primo-explore/search?tab=default_tab&amp;search_scope=EVERYTHING&amp;vid=01CRU&amp;lang=en_US&amp;offset=0&amp;query=any,contains,991004905789702656","Catalog Record")</f>
        <v>Catalog Record</v>
      </c>
      <c r="AT14" s="6" t="str">
        <f>HYPERLINK("http://www.worldcat.org/oclc/5946633","WorldCat Record")</f>
        <v>WorldCat Record</v>
      </c>
      <c r="AU14" s="3" t="s">
        <v>251</v>
      </c>
      <c r="AV14" s="3" t="s">
        <v>252</v>
      </c>
      <c r="AW14" s="3" t="s">
        <v>253</v>
      </c>
      <c r="AX14" s="3" t="s">
        <v>253</v>
      </c>
      <c r="AY14" s="3" t="s">
        <v>254</v>
      </c>
      <c r="AZ14" s="3" t="s">
        <v>75</v>
      </c>
      <c r="BB14" s="3" t="s">
        <v>255</v>
      </c>
      <c r="BC14" s="3" t="s">
        <v>256</v>
      </c>
      <c r="BD14" s="3" t="s">
        <v>257</v>
      </c>
    </row>
    <row r="15" spans="1:56" ht="48" customHeight="1" x14ac:dyDescent="0.25">
      <c r="A15" s="7" t="s">
        <v>59</v>
      </c>
      <c r="B15" s="2" t="s">
        <v>258</v>
      </c>
      <c r="C15" s="2" t="s">
        <v>259</v>
      </c>
      <c r="D15" s="2" t="s">
        <v>260</v>
      </c>
      <c r="F15" s="3" t="s">
        <v>59</v>
      </c>
      <c r="G15" s="3" t="s">
        <v>60</v>
      </c>
      <c r="H15" s="3" t="s">
        <v>59</v>
      </c>
      <c r="I15" s="3" t="s">
        <v>59</v>
      </c>
      <c r="J15" s="3" t="s">
        <v>61</v>
      </c>
      <c r="K15" s="2" t="s">
        <v>261</v>
      </c>
      <c r="L15" s="2" t="s">
        <v>262</v>
      </c>
      <c r="M15" s="3" t="s">
        <v>263</v>
      </c>
      <c r="O15" s="3" t="s">
        <v>64</v>
      </c>
      <c r="P15" s="3" t="s">
        <v>264</v>
      </c>
      <c r="R15" s="3" t="s">
        <v>67</v>
      </c>
      <c r="S15" s="4">
        <v>2</v>
      </c>
      <c r="T15" s="4">
        <v>2</v>
      </c>
      <c r="U15" s="5" t="s">
        <v>249</v>
      </c>
      <c r="V15" s="5" t="s">
        <v>249</v>
      </c>
      <c r="W15" s="5" t="s">
        <v>265</v>
      </c>
      <c r="X15" s="5" t="s">
        <v>265</v>
      </c>
      <c r="Y15" s="4">
        <v>243</v>
      </c>
      <c r="Z15" s="4">
        <v>226</v>
      </c>
      <c r="AA15" s="4">
        <v>359</v>
      </c>
      <c r="AB15" s="4">
        <v>2</v>
      </c>
      <c r="AC15" s="4">
        <v>3</v>
      </c>
      <c r="AD15" s="4">
        <v>8</v>
      </c>
      <c r="AE15" s="4">
        <v>12</v>
      </c>
      <c r="AF15" s="4">
        <v>4</v>
      </c>
      <c r="AG15" s="4">
        <v>5</v>
      </c>
      <c r="AH15" s="4">
        <v>1</v>
      </c>
      <c r="AI15" s="4">
        <v>2</v>
      </c>
      <c r="AJ15" s="4">
        <v>2</v>
      </c>
      <c r="AK15" s="4">
        <v>5</v>
      </c>
      <c r="AL15" s="4">
        <v>1</v>
      </c>
      <c r="AM15" s="4">
        <v>2</v>
      </c>
      <c r="AN15" s="4">
        <v>0</v>
      </c>
      <c r="AO15" s="4">
        <v>0</v>
      </c>
      <c r="AP15" s="3" t="s">
        <v>59</v>
      </c>
      <c r="AQ15" s="3" t="s">
        <v>59</v>
      </c>
      <c r="AR15" s="6" t="str">
        <f>HYPERLINK("http://catalog.hathitrust.org/Record/001553848","HathiTrust Record")</f>
        <v>HathiTrust Record</v>
      </c>
      <c r="AS15" s="6" t="str">
        <f>HYPERLINK("https://creighton-primo.hosted.exlibrisgroup.com/primo-explore/search?tab=default_tab&amp;search_scope=EVERYTHING&amp;vid=01CRU&amp;lang=en_US&amp;offset=0&amp;query=any,contains,991003403239702656","Catalog Record")</f>
        <v>Catalog Record</v>
      </c>
      <c r="AT15" s="6" t="str">
        <f>HYPERLINK("http://www.worldcat.org/oclc/942710","WorldCat Record")</f>
        <v>WorldCat Record</v>
      </c>
      <c r="AU15" s="3" t="s">
        <v>266</v>
      </c>
      <c r="AV15" s="3" t="s">
        <v>267</v>
      </c>
      <c r="AW15" s="3" t="s">
        <v>268</v>
      </c>
      <c r="AX15" s="3" t="s">
        <v>268</v>
      </c>
      <c r="AY15" s="3" t="s">
        <v>269</v>
      </c>
      <c r="AZ15" s="3" t="s">
        <v>75</v>
      </c>
      <c r="BC15" s="3" t="s">
        <v>270</v>
      </c>
      <c r="BD15" s="3" t="s">
        <v>271</v>
      </c>
    </row>
    <row r="16" spans="1:56" ht="48" customHeight="1" x14ac:dyDescent="0.25">
      <c r="A16" s="7" t="s">
        <v>59</v>
      </c>
      <c r="B16" s="2" t="s">
        <v>272</v>
      </c>
      <c r="C16" s="2" t="s">
        <v>273</v>
      </c>
      <c r="D16" s="2" t="s">
        <v>274</v>
      </c>
      <c r="F16" s="3" t="s">
        <v>59</v>
      </c>
      <c r="G16" s="3" t="s">
        <v>60</v>
      </c>
      <c r="H16" s="3" t="s">
        <v>59</v>
      </c>
      <c r="I16" s="3" t="s">
        <v>59</v>
      </c>
      <c r="J16" s="3" t="s">
        <v>61</v>
      </c>
      <c r="K16" s="2" t="s">
        <v>275</v>
      </c>
      <c r="L16" s="2" t="s">
        <v>276</v>
      </c>
      <c r="M16" s="3" t="s">
        <v>277</v>
      </c>
      <c r="O16" s="3" t="s">
        <v>64</v>
      </c>
      <c r="P16" s="3" t="s">
        <v>278</v>
      </c>
      <c r="Q16" s="2" t="s">
        <v>279</v>
      </c>
      <c r="R16" s="3" t="s">
        <v>67</v>
      </c>
      <c r="S16" s="4">
        <v>2</v>
      </c>
      <c r="T16" s="4">
        <v>2</v>
      </c>
      <c r="U16" s="5" t="s">
        <v>280</v>
      </c>
      <c r="V16" s="5" t="s">
        <v>280</v>
      </c>
      <c r="W16" s="5" t="s">
        <v>101</v>
      </c>
      <c r="X16" s="5" t="s">
        <v>101</v>
      </c>
      <c r="Y16" s="4">
        <v>125</v>
      </c>
      <c r="Z16" s="4">
        <v>120</v>
      </c>
      <c r="AA16" s="4">
        <v>160</v>
      </c>
      <c r="AB16" s="4">
        <v>2</v>
      </c>
      <c r="AC16" s="4">
        <v>3</v>
      </c>
      <c r="AD16" s="4">
        <v>6</v>
      </c>
      <c r="AE16" s="4">
        <v>8</v>
      </c>
      <c r="AF16" s="4">
        <v>1</v>
      </c>
      <c r="AG16" s="4">
        <v>2</v>
      </c>
      <c r="AH16" s="4">
        <v>2</v>
      </c>
      <c r="AI16" s="4">
        <v>2</v>
      </c>
      <c r="AJ16" s="4">
        <v>2</v>
      </c>
      <c r="AK16" s="4">
        <v>2</v>
      </c>
      <c r="AL16" s="4">
        <v>1</v>
      </c>
      <c r="AM16" s="4">
        <v>2</v>
      </c>
      <c r="AN16" s="4">
        <v>0</v>
      </c>
      <c r="AO16" s="4">
        <v>0</v>
      </c>
      <c r="AP16" s="3" t="s">
        <v>59</v>
      </c>
      <c r="AQ16" s="3" t="s">
        <v>59</v>
      </c>
      <c r="AS16" s="6" t="str">
        <f>HYPERLINK("https://creighton-primo.hosted.exlibrisgroup.com/primo-explore/search?tab=default_tab&amp;search_scope=EVERYTHING&amp;vid=01CRU&amp;lang=en_US&amp;offset=0&amp;query=any,contains,991004242079702656","Catalog Record")</f>
        <v>Catalog Record</v>
      </c>
      <c r="AT16" s="6" t="str">
        <f>HYPERLINK("http://www.worldcat.org/oclc/2789313","WorldCat Record")</f>
        <v>WorldCat Record</v>
      </c>
      <c r="AU16" s="3" t="s">
        <v>281</v>
      </c>
      <c r="AV16" s="3" t="s">
        <v>282</v>
      </c>
      <c r="AW16" s="3" t="s">
        <v>283</v>
      </c>
      <c r="AX16" s="3" t="s">
        <v>283</v>
      </c>
      <c r="AY16" s="3" t="s">
        <v>284</v>
      </c>
      <c r="AZ16" s="3" t="s">
        <v>75</v>
      </c>
      <c r="BC16" s="3" t="s">
        <v>285</v>
      </c>
      <c r="BD16" s="3" t="s">
        <v>286</v>
      </c>
    </row>
    <row r="17" spans="1:56" ht="48" customHeight="1" x14ac:dyDescent="0.25">
      <c r="A17" s="7" t="s">
        <v>59</v>
      </c>
      <c r="B17" s="2" t="s">
        <v>287</v>
      </c>
      <c r="C17" s="2" t="s">
        <v>288</v>
      </c>
      <c r="D17" s="2" t="s">
        <v>289</v>
      </c>
      <c r="F17" s="3" t="s">
        <v>59</v>
      </c>
      <c r="G17" s="3" t="s">
        <v>60</v>
      </c>
      <c r="H17" s="3" t="s">
        <v>59</v>
      </c>
      <c r="I17" s="3" t="s">
        <v>59</v>
      </c>
      <c r="J17" s="3" t="s">
        <v>61</v>
      </c>
      <c r="K17" s="2" t="s">
        <v>290</v>
      </c>
      <c r="L17" s="2" t="s">
        <v>291</v>
      </c>
      <c r="M17" s="3" t="s">
        <v>190</v>
      </c>
      <c r="N17" s="2" t="s">
        <v>114</v>
      </c>
      <c r="O17" s="3" t="s">
        <v>64</v>
      </c>
      <c r="P17" s="3" t="s">
        <v>130</v>
      </c>
      <c r="Q17" s="2" t="s">
        <v>292</v>
      </c>
      <c r="R17" s="3" t="s">
        <v>67</v>
      </c>
      <c r="S17" s="4">
        <v>5</v>
      </c>
      <c r="T17" s="4">
        <v>5</v>
      </c>
      <c r="U17" s="5" t="s">
        <v>293</v>
      </c>
      <c r="V17" s="5" t="s">
        <v>293</v>
      </c>
      <c r="W17" s="5" t="s">
        <v>250</v>
      </c>
      <c r="X17" s="5" t="s">
        <v>250</v>
      </c>
      <c r="Y17" s="4">
        <v>223</v>
      </c>
      <c r="Z17" s="4">
        <v>159</v>
      </c>
      <c r="AA17" s="4">
        <v>319</v>
      </c>
      <c r="AB17" s="4">
        <v>2</v>
      </c>
      <c r="AC17" s="4">
        <v>2</v>
      </c>
      <c r="AD17" s="4">
        <v>6</v>
      </c>
      <c r="AE17" s="4">
        <v>10</v>
      </c>
      <c r="AF17" s="4">
        <v>1</v>
      </c>
      <c r="AG17" s="4">
        <v>2</v>
      </c>
      <c r="AH17" s="4">
        <v>2</v>
      </c>
      <c r="AI17" s="4">
        <v>4</v>
      </c>
      <c r="AJ17" s="4">
        <v>4</v>
      </c>
      <c r="AK17" s="4">
        <v>6</v>
      </c>
      <c r="AL17" s="4">
        <v>1</v>
      </c>
      <c r="AM17" s="4">
        <v>1</v>
      </c>
      <c r="AN17" s="4">
        <v>0</v>
      </c>
      <c r="AO17" s="4">
        <v>0</v>
      </c>
      <c r="AP17" s="3" t="s">
        <v>59</v>
      </c>
      <c r="AQ17" s="3" t="s">
        <v>70</v>
      </c>
      <c r="AR17" s="6" t="str">
        <f>HYPERLINK("http://catalog.hathitrust.org/Record/000433757","HathiTrust Record")</f>
        <v>HathiTrust Record</v>
      </c>
      <c r="AS17" s="6" t="str">
        <f>HYPERLINK("https://creighton-primo.hosted.exlibrisgroup.com/primo-explore/search?tab=default_tab&amp;search_scope=EVERYTHING&amp;vid=01CRU&amp;lang=en_US&amp;offset=0&amp;query=any,contains,991000785569702656","Catalog Record")</f>
        <v>Catalog Record</v>
      </c>
      <c r="AT17" s="6" t="str">
        <f>HYPERLINK("http://www.worldcat.org/oclc/13124306","WorldCat Record")</f>
        <v>WorldCat Record</v>
      </c>
      <c r="AU17" s="3" t="s">
        <v>294</v>
      </c>
      <c r="AV17" s="3" t="s">
        <v>295</v>
      </c>
      <c r="AW17" s="3" t="s">
        <v>296</v>
      </c>
      <c r="AX17" s="3" t="s">
        <v>296</v>
      </c>
      <c r="AY17" s="3" t="s">
        <v>297</v>
      </c>
      <c r="AZ17" s="3" t="s">
        <v>75</v>
      </c>
      <c r="BB17" s="3" t="s">
        <v>298</v>
      </c>
      <c r="BC17" s="3" t="s">
        <v>299</v>
      </c>
      <c r="BD17" s="3" t="s">
        <v>300</v>
      </c>
    </row>
    <row r="18" spans="1:56" ht="48" customHeight="1" x14ac:dyDescent="0.25">
      <c r="A18" s="7" t="s">
        <v>59</v>
      </c>
      <c r="B18" s="2" t="s">
        <v>301</v>
      </c>
      <c r="C18" s="2" t="s">
        <v>302</v>
      </c>
      <c r="D18" s="2" t="s">
        <v>303</v>
      </c>
      <c r="F18" s="3" t="s">
        <v>59</v>
      </c>
      <c r="G18" s="3" t="s">
        <v>60</v>
      </c>
      <c r="H18" s="3" t="s">
        <v>59</v>
      </c>
      <c r="I18" s="3" t="s">
        <v>59</v>
      </c>
      <c r="J18" s="3" t="s">
        <v>61</v>
      </c>
      <c r="L18" s="2" t="s">
        <v>304</v>
      </c>
      <c r="M18" s="3" t="s">
        <v>219</v>
      </c>
      <c r="O18" s="3" t="s">
        <v>64</v>
      </c>
      <c r="P18" s="3" t="s">
        <v>130</v>
      </c>
      <c r="R18" s="3" t="s">
        <v>67</v>
      </c>
      <c r="S18" s="4">
        <v>4</v>
      </c>
      <c r="T18" s="4">
        <v>4</v>
      </c>
      <c r="U18" s="5" t="s">
        <v>305</v>
      </c>
      <c r="V18" s="5" t="s">
        <v>305</v>
      </c>
      <c r="W18" s="5" t="s">
        <v>306</v>
      </c>
      <c r="X18" s="5" t="s">
        <v>306</v>
      </c>
      <c r="Y18" s="4">
        <v>113</v>
      </c>
      <c r="Z18" s="4">
        <v>83</v>
      </c>
      <c r="AA18" s="4">
        <v>103</v>
      </c>
      <c r="AB18" s="4">
        <v>1</v>
      </c>
      <c r="AC18" s="4">
        <v>1</v>
      </c>
      <c r="AD18" s="4">
        <v>2</v>
      </c>
      <c r="AE18" s="4">
        <v>2</v>
      </c>
      <c r="AF18" s="4">
        <v>0</v>
      </c>
      <c r="AG18" s="4">
        <v>0</v>
      </c>
      <c r="AH18" s="4">
        <v>2</v>
      </c>
      <c r="AI18" s="4">
        <v>2</v>
      </c>
      <c r="AJ18" s="4">
        <v>1</v>
      </c>
      <c r="AK18" s="4">
        <v>1</v>
      </c>
      <c r="AL18" s="4">
        <v>0</v>
      </c>
      <c r="AM18" s="4">
        <v>0</v>
      </c>
      <c r="AN18" s="4">
        <v>0</v>
      </c>
      <c r="AO18" s="4">
        <v>0</v>
      </c>
      <c r="AP18" s="3" t="s">
        <v>59</v>
      </c>
      <c r="AQ18" s="3" t="s">
        <v>70</v>
      </c>
      <c r="AR18" s="6" t="str">
        <f>HYPERLINK("http://catalog.hathitrust.org/Record/002226255","HathiTrust Record")</f>
        <v>HathiTrust Record</v>
      </c>
      <c r="AS18" s="6" t="str">
        <f>HYPERLINK("https://creighton-primo.hosted.exlibrisgroup.com/primo-explore/search?tab=default_tab&amp;search_scope=EVERYTHING&amp;vid=01CRU&amp;lang=en_US&amp;offset=0&amp;query=any,contains,991002016539702656","Catalog Record")</f>
        <v>Catalog Record</v>
      </c>
      <c r="AT18" s="6" t="str">
        <f>HYPERLINK("http://www.worldcat.org/oclc/25632581","WorldCat Record")</f>
        <v>WorldCat Record</v>
      </c>
      <c r="AU18" s="3" t="s">
        <v>307</v>
      </c>
      <c r="AV18" s="3" t="s">
        <v>308</v>
      </c>
      <c r="AW18" s="3" t="s">
        <v>309</v>
      </c>
      <c r="AX18" s="3" t="s">
        <v>309</v>
      </c>
      <c r="AY18" s="3" t="s">
        <v>310</v>
      </c>
      <c r="AZ18" s="3" t="s">
        <v>75</v>
      </c>
      <c r="BB18" s="3" t="s">
        <v>311</v>
      </c>
      <c r="BC18" s="3" t="s">
        <v>312</v>
      </c>
      <c r="BD18" s="3" t="s">
        <v>313</v>
      </c>
    </row>
    <row r="19" spans="1:56" ht="48" customHeight="1" x14ac:dyDescent="0.25">
      <c r="A19" s="7" t="s">
        <v>59</v>
      </c>
      <c r="B19" s="2" t="s">
        <v>314</v>
      </c>
      <c r="C19" s="2" t="s">
        <v>315</v>
      </c>
      <c r="D19" s="2" t="s">
        <v>316</v>
      </c>
      <c r="F19" s="3" t="s">
        <v>59</v>
      </c>
      <c r="G19" s="3" t="s">
        <v>60</v>
      </c>
      <c r="H19" s="3" t="s">
        <v>70</v>
      </c>
      <c r="I19" s="3" t="s">
        <v>59</v>
      </c>
      <c r="J19" s="3" t="s">
        <v>61</v>
      </c>
      <c r="K19" s="2" t="s">
        <v>317</v>
      </c>
      <c r="L19" s="2" t="s">
        <v>318</v>
      </c>
      <c r="M19" s="3" t="s">
        <v>319</v>
      </c>
      <c r="O19" s="3" t="s">
        <v>64</v>
      </c>
      <c r="P19" s="3" t="s">
        <v>264</v>
      </c>
      <c r="R19" s="3" t="s">
        <v>67</v>
      </c>
      <c r="S19" s="4">
        <v>13</v>
      </c>
      <c r="T19" s="4">
        <v>13</v>
      </c>
      <c r="U19" s="5" t="s">
        <v>320</v>
      </c>
      <c r="V19" s="5" t="s">
        <v>320</v>
      </c>
      <c r="W19" s="5" t="s">
        <v>250</v>
      </c>
      <c r="X19" s="5" t="s">
        <v>250</v>
      </c>
      <c r="Y19" s="4">
        <v>440</v>
      </c>
      <c r="Z19" s="4">
        <v>364</v>
      </c>
      <c r="AA19" s="4">
        <v>366</v>
      </c>
      <c r="AB19" s="4">
        <v>4</v>
      </c>
      <c r="AC19" s="4">
        <v>4</v>
      </c>
      <c r="AD19" s="4">
        <v>16</v>
      </c>
      <c r="AE19" s="4">
        <v>16</v>
      </c>
      <c r="AF19" s="4">
        <v>6</v>
      </c>
      <c r="AG19" s="4">
        <v>6</v>
      </c>
      <c r="AH19" s="4">
        <v>5</v>
      </c>
      <c r="AI19" s="4">
        <v>5</v>
      </c>
      <c r="AJ19" s="4">
        <v>8</v>
      </c>
      <c r="AK19" s="4">
        <v>8</v>
      </c>
      <c r="AL19" s="4">
        <v>2</v>
      </c>
      <c r="AM19" s="4">
        <v>2</v>
      </c>
      <c r="AN19" s="4">
        <v>0</v>
      </c>
      <c r="AO19" s="4">
        <v>0</v>
      </c>
      <c r="AP19" s="3" t="s">
        <v>59</v>
      </c>
      <c r="AQ19" s="3" t="s">
        <v>70</v>
      </c>
      <c r="AR19" s="6" t="str">
        <f>HYPERLINK("http://catalog.hathitrust.org/Record/000558887","HathiTrust Record")</f>
        <v>HathiTrust Record</v>
      </c>
      <c r="AS19" s="6" t="str">
        <f>HYPERLINK("https://creighton-primo.hosted.exlibrisgroup.com/primo-explore/search?tab=default_tab&amp;search_scope=EVERYTHING&amp;vid=01CRU&amp;lang=en_US&amp;offset=0&amp;query=any,contains,991000299209702656","Catalog Record")</f>
        <v>Catalog Record</v>
      </c>
      <c r="AT19" s="6" t="str">
        <f>HYPERLINK("http://www.worldcat.org/oclc/10020345","WorldCat Record")</f>
        <v>WorldCat Record</v>
      </c>
      <c r="AU19" s="3" t="s">
        <v>321</v>
      </c>
      <c r="AV19" s="3" t="s">
        <v>322</v>
      </c>
      <c r="AW19" s="3" t="s">
        <v>323</v>
      </c>
      <c r="AX19" s="3" t="s">
        <v>323</v>
      </c>
      <c r="AY19" s="3" t="s">
        <v>324</v>
      </c>
      <c r="AZ19" s="3" t="s">
        <v>75</v>
      </c>
      <c r="BB19" s="3" t="s">
        <v>325</v>
      </c>
      <c r="BC19" s="3" t="s">
        <v>326</v>
      </c>
      <c r="BD19" s="3" t="s">
        <v>327</v>
      </c>
    </row>
    <row r="20" spans="1:56" ht="48" customHeight="1" x14ac:dyDescent="0.25">
      <c r="A20" s="7" t="s">
        <v>59</v>
      </c>
      <c r="B20" s="2" t="s">
        <v>328</v>
      </c>
      <c r="C20" s="2" t="s">
        <v>329</v>
      </c>
      <c r="D20" s="2" t="s">
        <v>330</v>
      </c>
      <c r="F20" s="3" t="s">
        <v>59</v>
      </c>
      <c r="G20" s="3" t="s">
        <v>60</v>
      </c>
      <c r="H20" s="3" t="s">
        <v>70</v>
      </c>
      <c r="I20" s="3" t="s">
        <v>59</v>
      </c>
      <c r="J20" s="3" t="s">
        <v>61</v>
      </c>
      <c r="K20" s="2" t="s">
        <v>331</v>
      </c>
      <c r="L20" s="2" t="s">
        <v>332</v>
      </c>
      <c r="M20" s="3" t="s">
        <v>333</v>
      </c>
      <c r="O20" s="3" t="s">
        <v>64</v>
      </c>
      <c r="P20" s="3" t="s">
        <v>84</v>
      </c>
      <c r="R20" s="3" t="s">
        <v>67</v>
      </c>
      <c r="S20" s="4">
        <v>2</v>
      </c>
      <c r="T20" s="4">
        <v>16</v>
      </c>
      <c r="U20" s="5" t="s">
        <v>334</v>
      </c>
      <c r="V20" s="5" t="s">
        <v>334</v>
      </c>
      <c r="W20" s="5" t="s">
        <v>335</v>
      </c>
      <c r="X20" s="5" t="s">
        <v>335</v>
      </c>
      <c r="Y20" s="4">
        <v>271</v>
      </c>
      <c r="Z20" s="4">
        <v>171</v>
      </c>
      <c r="AA20" s="4">
        <v>176</v>
      </c>
      <c r="AB20" s="4">
        <v>3</v>
      </c>
      <c r="AC20" s="4">
        <v>3</v>
      </c>
      <c r="AD20" s="4">
        <v>7</v>
      </c>
      <c r="AE20" s="4">
        <v>7</v>
      </c>
      <c r="AF20" s="4">
        <v>2</v>
      </c>
      <c r="AG20" s="4">
        <v>2</v>
      </c>
      <c r="AH20" s="4">
        <v>4</v>
      </c>
      <c r="AI20" s="4">
        <v>4</v>
      </c>
      <c r="AJ20" s="4">
        <v>2</v>
      </c>
      <c r="AK20" s="4">
        <v>2</v>
      </c>
      <c r="AL20" s="4">
        <v>1</v>
      </c>
      <c r="AM20" s="4">
        <v>1</v>
      </c>
      <c r="AN20" s="4">
        <v>0</v>
      </c>
      <c r="AO20" s="4">
        <v>0</v>
      </c>
      <c r="AP20" s="3" t="s">
        <v>59</v>
      </c>
      <c r="AQ20" s="3" t="s">
        <v>59</v>
      </c>
      <c r="AS20" s="6" t="str">
        <f>HYPERLINK("https://creighton-primo.hosted.exlibrisgroup.com/primo-explore/search?tab=default_tab&amp;search_scope=EVERYTHING&amp;vid=01CRU&amp;lang=en_US&amp;offset=0&amp;query=any,contains,991001778329702656","Catalog Record")</f>
        <v>Catalog Record</v>
      </c>
      <c r="AT20" s="6" t="str">
        <f>HYPERLINK("http://www.worldcat.org/oclc/12664798","WorldCat Record")</f>
        <v>WorldCat Record</v>
      </c>
      <c r="AU20" s="3" t="s">
        <v>336</v>
      </c>
      <c r="AV20" s="3" t="s">
        <v>337</v>
      </c>
      <c r="AW20" s="3" t="s">
        <v>338</v>
      </c>
      <c r="AX20" s="3" t="s">
        <v>338</v>
      </c>
      <c r="AY20" s="3" t="s">
        <v>339</v>
      </c>
      <c r="AZ20" s="3" t="s">
        <v>75</v>
      </c>
      <c r="BB20" s="3" t="s">
        <v>340</v>
      </c>
      <c r="BC20" s="3" t="s">
        <v>341</v>
      </c>
      <c r="BD20" s="3" t="s">
        <v>342</v>
      </c>
    </row>
    <row r="21" spans="1:56" ht="48" customHeight="1" x14ac:dyDescent="0.25">
      <c r="A21" s="7" t="s">
        <v>59</v>
      </c>
      <c r="B21" s="2" t="s">
        <v>343</v>
      </c>
      <c r="C21" s="2" t="s">
        <v>344</v>
      </c>
      <c r="D21" s="2" t="s">
        <v>345</v>
      </c>
      <c r="F21" s="3" t="s">
        <v>59</v>
      </c>
      <c r="G21" s="3" t="s">
        <v>60</v>
      </c>
      <c r="H21" s="3" t="s">
        <v>59</v>
      </c>
      <c r="I21" s="3" t="s">
        <v>59</v>
      </c>
      <c r="J21" s="3" t="s">
        <v>61</v>
      </c>
      <c r="K21" s="2" t="s">
        <v>346</v>
      </c>
      <c r="L21" s="2" t="s">
        <v>347</v>
      </c>
      <c r="M21" s="3" t="s">
        <v>348</v>
      </c>
      <c r="O21" s="3" t="s">
        <v>64</v>
      </c>
      <c r="P21" s="3" t="s">
        <v>84</v>
      </c>
      <c r="R21" s="3" t="s">
        <v>67</v>
      </c>
      <c r="S21" s="4">
        <v>9</v>
      </c>
      <c r="T21" s="4">
        <v>9</v>
      </c>
      <c r="U21" s="5" t="s">
        <v>349</v>
      </c>
      <c r="V21" s="5" t="s">
        <v>349</v>
      </c>
      <c r="W21" s="5" t="s">
        <v>350</v>
      </c>
      <c r="X21" s="5" t="s">
        <v>350</v>
      </c>
      <c r="Y21" s="4">
        <v>215</v>
      </c>
      <c r="Z21" s="4">
        <v>161</v>
      </c>
      <c r="AA21" s="4">
        <v>174</v>
      </c>
      <c r="AB21" s="4">
        <v>1</v>
      </c>
      <c r="AC21" s="4">
        <v>1</v>
      </c>
      <c r="AD21" s="4">
        <v>5</v>
      </c>
      <c r="AE21" s="4">
        <v>5</v>
      </c>
      <c r="AF21" s="4">
        <v>3</v>
      </c>
      <c r="AG21" s="4">
        <v>3</v>
      </c>
      <c r="AH21" s="4">
        <v>1</v>
      </c>
      <c r="AI21" s="4">
        <v>1</v>
      </c>
      <c r="AJ21" s="4">
        <v>3</v>
      </c>
      <c r="AK21" s="4">
        <v>3</v>
      </c>
      <c r="AL21" s="4">
        <v>0</v>
      </c>
      <c r="AM21" s="4">
        <v>0</v>
      </c>
      <c r="AN21" s="4">
        <v>0</v>
      </c>
      <c r="AO21" s="4">
        <v>0</v>
      </c>
      <c r="AP21" s="3" t="s">
        <v>59</v>
      </c>
      <c r="AQ21" s="3" t="s">
        <v>59</v>
      </c>
      <c r="AS21" s="6" t="str">
        <f>HYPERLINK("https://creighton-primo.hosted.exlibrisgroup.com/primo-explore/search?tab=default_tab&amp;search_scope=EVERYTHING&amp;vid=01CRU&amp;lang=en_US&amp;offset=0&amp;query=any,contains,991002078429702656","Catalog Record")</f>
        <v>Catalog Record</v>
      </c>
      <c r="AT21" s="6" t="str">
        <f>HYPERLINK("http://www.worldcat.org/oclc/26636322","WorldCat Record")</f>
        <v>WorldCat Record</v>
      </c>
      <c r="AU21" s="3" t="s">
        <v>351</v>
      </c>
      <c r="AV21" s="3" t="s">
        <v>352</v>
      </c>
      <c r="AW21" s="3" t="s">
        <v>353</v>
      </c>
      <c r="AX21" s="3" t="s">
        <v>353</v>
      </c>
      <c r="AY21" s="3" t="s">
        <v>354</v>
      </c>
      <c r="AZ21" s="3" t="s">
        <v>75</v>
      </c>
      <c r="BB21" s="3" t="s">
        <v>355</v>
      </c>
      <c r="BC21" s="3" t="s">
        <v>356</v>
      </c>
      <c r="BD21" s="3" t="s">
        <v>357</v>
      </c>
    </row>
    <row r="22" spans="1:56" ht="48" customHeight="1" x14ac:dyDescent="0.25">
      <c r="A22" s="7" t="s">
        <v>59</v>
      </c>
      <c r="B22" s="2" t="s">
        <v>358</v>
      </c>
      <c r="C22" s="2" t="s">
        <v>359</v>
      </c>
      <c r="D22" s="2" t="s">
        <v>360</v>
      </c>
      <c r="F22" s="3" t="s">
        <v>59</v>
      </c>
      <c r="G22" s="3" t="s">
        <v>60</v>
      </c>
      <c r="H22" s="3" t="s">
        <v>59</v>
      </c>
      <c r="I22" s="3" t="s">
        <v>59</v>
      </c>
      <c r="J22" s="3" t="s">
        <v>61</v>
      </c>
      <c r="K22" s="2" t="s">
        <v>361</v>
      </c>
      <c r="L22" s="2" t="s">
        <v>362</v>
      </c>
      <c r="M22" s="3" t="s">
        <v>363</v>
      </c>
      <c r="O22" s="3" t="s">
        <v>64</v>
      </c>
      <c r="P22" s="3" t="s">
        <v>130</v>
      </c>
      <c r="R22" s="3" t="s">
        <v>67</v>
      </c>
      <c r="S22" s="4">
        <v>7</v>
      </c>
      <c r="T22" s="4">
        <v>7</v>
      </c>
      <c r="U22" s="5" t="s">
        <v>334</v>
      </c>
      <c r="V22" s="5" t="s">
        <v>334</v>
      </c>
      <c r="W22" s="5" t="s">
        <v>148</v>
      </c>
      <c r="X22" s="5" t="s">
        <v>148</v>
      </c>
      <c r="Y22" s="4">
        <v>269</v>
      </c>
      <c r="Z22" s="4">
        <v>196</v>
      </c>
      <c r="AA22" s="4">
        <v>215</v>
      </c>
      <c r="AB22" s="4">
        <v>1</v>
      </c>
      <c r="AC22" s="4">
        <v>1</v>
      </c>
      <c r="AD22" s="4">
        <v>4</v>
      </c>
      <c r="AE22" s="4">
        <v>5</v>
      </c>
      <c r="AF22" s="4">
        <v>1</v>
      </c>
      <c r="AG22" s="4">
        <v>2</v>
      </c>
      <c r="AH22" s="4">
        <v>3</v>
      </c>
      <c r="AI22" s="4">
        <v>4</v>
      </c>
      <c r="AJ22" s="4">
        <v>2</v>
      </c>
      <c r="AK22" s="4">
        <v>2</v>
      </c>
      <c r="AL22" s="4">
        <v>0</v>
      </c>
      <c r="AM22" s="4">
        <v>0</v>
      </c>
      <c r="AN22" s="4">
        <v>0</v>
      </c>
      <c r="AO22" s="4">
        <v>0</v>
      </c>
      <c r="AP22" s="3" t="s">
        <v>59</v>
      </c>
      <c r="AQ22" s="3" t="s">
        <v>70</v>
      </c>
      <c r="AR22" s="6" t="str">
        <f>HYPERLINK("http://catalog.hathitrust.org/Record/000198272","HathiTrust Record")</f>
        <v>HathiTrust Record</v>
      </c>
      <c r="AS22" s="6" t="str">
        <f>HYPERLINK("https://creighton-primo.hosted.exlibrisgroup.com/primo-explore/search?tab=default_tab&amp;search_scope=EVERYTHING&amp;vid=01CRU&amp;lang=en_US&amp;offset=0&amp;query=any,contains,991005249869702656","Catalog Record")</f>
        <v>Catalog Record</v>
      </c>
      <c r="AT22" s="6" t="str">
        <f>HYPERLINK("http://www.worldcat.org/oclc/8476980","WorldCat Record")</f>
        <v>WorldCat Record</v>
      </c>
      <c r="AU22" s="3" t="s">
        <v>364</v>
      </c>
      <c r="AV22" s="3" t="s">
        <v>365</v>
      </c>
      <c r="AW22" s="3" t="s">
        <v>366</v>
      </c>
      <c r="AX22" s="3" t="s">
        <v>366</v>
      </c>
      <c r="AY22" s="3" t="s">
        <v>367</v>
      </c>
      <c r="AZ22" s="3" t="s">
        <v>75</v>
      </c>
      <c r="BB22" s="3" t="s">
        <v>368</v>
      </c>
      <c r="BC22" s="3" t="s">
        <v>369</v>
      </c>
      <c r="BD22" s="3" t="s">
        <v>370</v>
      </c>
    </row>
    <row r="23" spans="1:56" ht="48" customHeight="1" x14ac:dyDescent="0.25">
      <c r="A23" s="7" t="s">
        <v>59</v>
      </c>
      <c r="B23" s="2" t="s">
        <v>371</v>
      </c>
      <c r="C23" s="2" t="s">
        <v>372</v>
      </c>
      <c r="D23" s="2" t="s">
        <v>373</v>
      </c>
      <c r="F23" s="3" t="s">
        <v>59</v>
      </c>
      <c r="G23" s="3" t="s">
        <v>60</v>
      </c>
      <c r="H23" s="3" t="s">
        <v>59</v>
      </c>
      <c r="I23" s="3" t="s">
        <v>59</v>
      </c>
      <c r="J23" s="3" t="s">
        <v>61</v>
      </c>
      <c r="K23" s="2" t="s">
        <v>374</v>
      </c>
      <c r="L23" s="2" t="s">
        <v>375</v>
      </c>
      <c r="M23" s="3" t="s">
        <v>376</v>
      </c>
      <c r="O23" s="3" t="s">
        <v>64</v>
      </c>
      <c r="P23" s="3" t="s">
        <v>278</v>
      </c>
      <c r="R23" s="3" t="s">
        <v>67</v>
      </c>
      <c r="S23" s="4">
        <v>4</v>
      </c>
      <c r="T23" s="4">
        <v>4</v>
      </c>
      <c r="U23" s="5" t="s">
        <v>377</v>
      </c>
      <c r="V23" s="5" t="s">
        <v>377</v>
      </c>
      <c r="W23" s="5" t="s">
        <v>335</v>
      </c>
      <c r="X23" s="5" t="s">
        <v>335</v>
      </c>
      <c r="Y23" s="4">
        <v>152</v>
      </c>
      <c r="Z23" s="4">
        <v>136</v>
      </c>
      <c r="AA23" s="4">
        <v>230</v>
      </c>
      <c r="AB23" s="4">
        <v>3</v>
      </c>
      <c r="AC23" s="4">
        <v>3</v>
      </c>
      <c r="AD23" s="4">
        <v>7</v>
      </c>
      <c r="AE23" s="4">
        <v>7</v>
      </c>
      <c r="AF23" s="4">
        <v>2</v>
      </c>
      <c r="AG23" s="4">
        <v>2</v>
      </c>
      <c r="AH23" s="4">
        <v>0</v>
      </c>
      <c r="AI23" s="4">
        <v>0</v>
      </c>
      <c r="AJ23" s="4">
        <v>4</v>
      </c>
      <c r="AK23" s="4">
        <v>4</v>
      </c>
      <c r="AL23" s="4">
        <v>2</v>
      </c>
      <c r="AM23" s="4">
        <v>2</v>
      </c>
      <c r="AN23" s="4">
        <v>0</v>
      </c>
      <c r="AO23" s="4">
        <v>0</v>
      </c>
      <c r="AP23" s="3" t="s">
        <v>59</v>
      </c>
      <c r="AQ23" s="3" t="s">
        <v>59</v>
      </c>
      <c r="AS23" s="6" t="str">
        <f>HYPERLINK("https://creighton-primo.hosted.exlibrisgroup.com/primo-explore/search?tab=default_tab&amp;search_scope=EVERYTHING&amp;vid=01CRU&amp;lang=en_US&amp;offset=0&amp;query=any,contains,991002663089702656","Catalog Record")</f>
        <v>Catalog Record</v>
      </c>
      <c r="AT23" s="6" t="str">
        <f>HYPERLINK("http://www.worldcat.org/oclc/392116","WorldCat Record")</f>
        <v>WorldCat Record</v>
      </c>
      <c r="AU23" s="3" t="s">
        <v>378</v>
      </c>
      <c r="AV23" s="3" t="s">
        <v>379</v>
      </c>
      <c r="AW23" s="3" t="s">
        <v>380</v>
      </c>
      <c r="AX23" s="3" t="s">
        <v>380</v>
      </c>
      <c r="AY23" s="3" t="s">
        <v>381</v>
      </c>
      <c r="AZ23" s="3" t="s">
        <v>75</v>
      </c>
      <c r="BC23" s="3" t="s">
        <v>382</v>
      </c>
      <c r="BD23" s="3" t="s">
        <v>383</v>
      </c>
    </row>
    <row r="24" spans="1:56" ht="48" customHeight="1" x14ac:dyDescent="0.25">
      <c r="A24" s="7" t="s">
        <v>59</v>
      </c>
      <c r="B24" s="2" t="s">
        <v>384</v>
      </c>
      <c r="C24" s="2" t="s">
        <v>385</v>
      </c>
      <c r="D24" s="2" t="s">
        <v>386</v>
      </c>
      <c r="F24" s="3" t="s">
        <v>59</v>
      </c>
      <c r="G24" s="3" t="s">
        <v>60</v>
      </c>
      <c r="H24" s="3" t="s">
        <v>59</v>
      </c>
      <c r="I24" s="3" t="s">
        <v>59</v>
      </c>
      <c r="J24" s="3" t="s">
        <v>61</v>
      </c>
      <c r="K24" s="2" t="s">
        <v>387</v>
      </c>
      <c r="L24" s="2" t="s">
        <v>388</v>
      </c>
      <c r="M24" s="3" t="s">
        <v>190</v>
      </c>
      <c r="O24" s="3" t="s">
        <v>64</v>
      </c>
      <c r="P24" s="3" t="s">
        <v>389</v>
      </c>
      <c r="Q24" s="2" t="s">
        <v>390</v>
      </c>
      <c r="R24" s="3" t="s">
        <v>67</v>
      </c>
      <c r="S24" s="4">
        <v>6</v>
      </c>
      <c r="T24" s="4">
        <v>6</v>
      </c>
      <c r="U24" s="5" t="s">
        <v>391</v>
      </c>
      <c r="V24" s="5" t="s">
        <v>391</v>
      </c>
      <c r="W24" s="5" t="s">
        <v>148</v>
      </c>
      <c r="X24" s="5" t="s">
        <v>148</v>
      </c>
      <c r="Y24" s="4">
        <v>97</v>
      </c>
      <c r="Z24" s="4">
        <v>67</v>
      </c>
      <c r="AA24" s="4">
        <v>69</v>
      </c>
      <c r="AB24" s="4">
        <v>1</v>
      </c>
      <c r="AC24" s="4">
        <v>1</v>
      </c>
      <c r="AD24" s="4">
        <v>1</v>
      </c>
      <c r="AE24" s="4">
        <v>1</v>
      </c>
      <c r="AF24" s="4">
        <v>0</v>
      </c>
      <c r="AG24" s="4">
        <v>0</v>
      </c>
      <c r="AH24" s="4">
        <v>1</v>
      </c>
      <c r="AI24" s="4">
        <v>1</v>
      </c>
      <c r="AJ24" s="4">
        <v>0</v>
      </c>
      <c r="AK24" s="4">
        <v>0</v>
      </c>
      <c r="AL24" s="4">
        <v>0</v>
      </c>
      <c r="AM24" s="4">
        <v>0</v>
      </c>
      <c r="AN24" s="4">
        <v>0</v>
      </c>
      <c r="AO24" s="4">
        <v>0</v>
      </c>
      <c r="AP24" s="3" t="s">
        <v>59</v>
      </c>
      <c r="AQ24" s="3" t="s">
        <v>70</v>
      </c>
      <c r="AR24" s="6" t="str">
        <f>HYPERLINK("http://catalog.hathitrust.org/Record/000436078","HathiTrust Record")</f>
        <v>HathiTrust Record</v>
      </c>
      <c r="AS24" s="6" t="str">
        <f>HYPERLINK("https://creighton-primo.hosted.exlibrisgroup.com/primo-explore/search?tab=default_tab&amp;search_scope=EVERYTHING&amp;vid=01CRU&amp;lang=en_US&amp;offset=0&amp;query=any,contains,991000732539702656","Catalog Record")</f>
        <v>Catalog Record</v>
      </c>
      <c r="AT24" s="6" t="str">
        <f>HYPERLINK("http://www.worldcat.org/oclc/12749372","WorldCat Record")</f>
        <v>WorldCat Record</v>
      </c>
      <c r="AU24" s="3" t="s">
        <v>392</v>
      </c>
      <c r="AV24" s="3" t="s">
        <v>393</v>
      </c>
      <c r="AW24" s="3" t="s">
        <v>394</v>
      </c>
      <c r="AX24" s="3" t="s">
        <v>394</v>
      </c>
      <c r="AY24" s="3" t="s">
        <v>395</v>
      </c>
      <c r="AZ24" s="3" t="s">
        <v>75</v>
      </c>
      <c r="BB24" s="3" t="s">
        <v>396</v>
      </c>
      <c r="BC24" s="3" t="s">
        <v>397</v>
      </c>
      <c r="BD24" s="3" t="s">
        <v>398</v>
      </c>
    </row>
    <row r="25" spans="1:56" ht="48" customHeight="1" x14ac:dyDescent="0.25">
      <c r="A25" s="7" t="s">
        <v>59</v>
      </c>
      <c r="B25" s="2" t="s">
        <v>399</v>
      </c>
      <c r="C25" s="2" t="s">
        <v>400</v>
      </c>
      <c r="D25" s="2" t="s">
        <v>401</v>
      </c>
      <c r="F25" s="3" t="s">
        <v>59</v>
      </c>
      <c r="G25" s="3" t="s">
        <v>60</v>
      </c>
      <c r="H25" s="3" t="s">
        <v>59</v>
      </c>
      <c r="I25" s="3" t="s">
        <v>59</v>
      </c>
      <c r="J25" s="3" t="s">
        <v>61</v>
      </c>
      <c r="K25" s="2" t="s">
        <v>402</v>
      </c>
      <c r="L25" s="2" t="s">
        <v>403</v>
      </c>
      <c r="M25" s="3" t="s">
        <v>234</v>
      </c>
      <c r="O25" s="3" t="s">
        <v>64</v>
      </c>
      <c r="P25" s="3" t="s">
        <v>389</v>
      </c>
      <c r="R25" s="3" t="s">
        <v>67</v>
      </c>
      <c r="S25" s="4">
        <v>3</v>
      </c>
      <c r="T25" s="4">
        <v>3</v>
      </c>
      <c r="U25" s="5" t="s">
        <v>404</v>
      </c>
      <c r="V25" s="5" t="s">
        <v>404</v>
      </c>
      <c r="W25" s="5" t="s">
        <v>405</v>
      </c>
      <c r="X25" s="5" t="s">
        <v>405</v>
      </c>
      <c r="Y25" s="4">
        <v>69</v>
      </c>
      <c r="Z25" s="4">
        <v>42</v>
      </c>
      <c r="AA25" s="4">
        <v>45</v>
      </c>
      <c r="AB25" s="4">
        <v>1</v>
      </c>
      <c r="AC25" s="4">
        <v>1</v>
      </c>
      <c r="AD25" s="4">
        <v>0</v>
      </c>
      <c r="AE25" s="4">
        <v>0</v>
      </c>
      <c r="AF25" s="4">
        <v>0</v>
      </c>
      <c r="AG25" s="4">
        <v>0</v>
      </c>
      <c r="AH25" s="4">
        <v>0</v>
      </c>
      <c r="AI25" s="4">
        <v>0</v>
      </c>
      <c r="AJ25" s="4">
        <v>0</v>
      </c>
      <c r="AK25" s="4">
        <v>0</v>
      </c>
      <c r="AL25" s="4">
        <v>0</v>
      </c>
      <c r="AM25" s="4">
        <v>0</v>
      </c>
      <c r="AN25" s="4">
        <v>0</v>
      </c>
      <c r="AO25" s="4">
        <v>0</v>
      </c>
      <c r="AP25" s="3" t="s">
        <v>59</v>
      </c>
      <c r="AQ25" s="3" t="s">
        <v>70</v>
      </c>
      <c r="AR25" s="6" t="str">
        <f>HYPERLINK("http://catalog.hathitrust.org/Record/001820387","HathiTrust Record")</f>
        <v>HathiTrust Record</v>
      </c>
      <c r="AS25" s="6" t="str">
        <f>HYPERLINK("https://creighton-primo.hosted.exlibrisgroup.com/primo-explore/search?tab=default_tab&amp;search_scope=EVERYTHING&amp;vid=01CRU&amp;lang=en_US&amp;offset=0&amp;query=any,contains,991001385729702656","Catalog Record")</f>
        <v>Catalog Record</v>
      </c>
      <c r="AT25" s="6" t="str">
        <f>HYPERLINK("http://www.worldcat.org/oclc/18715756","WorldCat Record")</f>
        <v>WorldCat Record</v>
      </c>
      <c r="AU25" s="3" t="s">
        <v>406</v>
      </c>
      <c r="AV25" s="3" t="s">
        <v>407</v>
      </c>
      <c r="AW25" s="3" t="s">
        <v>408</v>
      </c>
      <c r="AX25" s="3" t="s">
        <v>408</v>
      </c>
      <c r="AY25" s="3" t="s">
        <v>409</v>
      </c>
      <c r="AZ25" s="3" t="s">
        <v>75</v>
      </c>
      <c r="BB25" s="3" t="s">
        <v>410</v>
      </c>
      <c r="BC25" s="3" t="s">
        <v>411</v>
      </c>
      <c r="BD25" s="3" t="s">
        <v>412</v>
      </c>
    </row>
    <row r="26" spans="1:56" ht="48" customHeight="1" x14ac:dyDescent="0.25">
      <c r="A26" s="7" t="s">
        <v>59</v>
      </c>
      <c r="B26" s="2" t="s">
        <v>413</v>
      </c>
      <c r="C26" s="2" t="s">
        <v>414</v>
      </c>
      <c r="D26" s="2" t="s">
        <v>415</v>
      </c>
      <c r="F26" s="3" t="s">
        <v>59</v>
      </c>
      <c r="G26" s="3" t="s">
        <v>60</v>
      </c>
      <c r="H26" s="3" t="s">
        <v>59</v>
      </c>
      <c r="I26" s="3" t="s">
        <v>59</v>
      </c>
      <c r="J26" s="3" t="s">
        <v>61</v>
      </c>
      <c r="L26" s="2" t="s">
        <v>416</v>
      </c>
      <c r="M26" s="3" t="s">
        <v>417</v>
      </c>
      <c r="O26" s="3" t="s">
        <v>64</v>
      </c>
      <c r="P26" s="3" t="s">
        <v>84</v>
      </c>
      <c r="R26" s="3" t="s">
        <v>67</v>
      </c>
      <c r="S26" s="4">
        <v>3</v>
      </c>
      <c r="T26" s="4">
        <v>3</v>
      </c>
      <c r="U26" s="5" t="s">
        <v>418</v>
      </c>
      <c r="V26" s="5" t="s">
        <v>418</v>
      </c>
      <c r="W26" s="5" t="s">
        <v>419</v>
      </c>
      <c r="X26" s="5" t="s">
        <v>419</v>
      </c>
      <c r="Y26" s="4">
        <v>261</v>
      </c>
      <c r="Z26" s="4">
        <v>163</v>
      </c>
      <c r="AA26" s="4">
        <v>180</v>
      </c>
      <c r="AB26" s="4">
        <v>1</v>
      </c>
      <c r="AC26" s="4">
        <v>1</v>
      </c>
      <c r="AD26" s="4">
        <v>2</v>
      </c>
      <c r="AE26" s="4">
        <v>3</v>
      </c>
      <c r="AF26" s="4">
        <v>0</v>
      </c>
      <c r="AG26" s="4">
        <v>1</v>
      </c>
      <c r="AH26" s="4">
        <v>0</v>
      </c>
      <c r="AI26" s="4">
        <v>0</v>
      </c>
      <c r="AJ26" s="4">
        <v>2</v>
      </c>
      <c r="AK26" s="4">
        <v>3</v>
      </c>
      <c r="AL26" s="4">
        <v>0</v>
      </c>
      <c r="AM26" s="4">
        <v>0</v>
      </c>
      <c r="AN26" s="4">
        <v>0</v>
      </c>
      <c r="AO26" s="4">
        <v>0</v>
      </c>
      <c r="AP26" s="3" t="s">
        <v>59</v>
      </c>
      <c r="AQ26" s="3" t="s">
        <v>70</v>
      </c>
      <c r="AR26" s="6" t="str">
        <f>HYPERLINK("http://catalog.hathitrust.org/Record/000558453","HathiTrust Record")</f>
        <v>HathiTrust Record</v>
      </c>
      <c r="AS26" s="6" t="str">
        <f>HYPERLINK("https://creighton-primo.hosted.exlibrisgroup.com/primo-explore/search?tab=default_tab&amp;search_scope=EVERYTHING&amp;vid=01CRU&amp;lang=en_US&amp;offset=0&amp;query=any,contains,991000169859702656","Catalog Record")</f>
        <v>Catalog Record</v>
      </c>
      <c r="AT26" s="6" t="str">
        <f>HYPERLINK("http://www.worldcat.org/oclc/9323303","WorldCat Record")</f>
        <v>WorldCat Record</v>
      </c>
      <c r="AU26" s="3" t="s">
        <v>420</v>
      </c>
      <c r="AV26" s="3" t="s">
        <v>421</v>
      </c>
      <c r="AW26" s="3" t="s">
        <v>422</v>
      </c>
      <c r="AX26" s="3" t="s">
        <v>422</v>
      </c>
      <c r="AY26" s="3" t="s">
        <v>423</v>
      </c>
      <c r="AZ26" s="3" t="s">
        <v>75</v>
      </c>
      <c r="BB26" s="3" t="s">
        <v>424</v>
      </c>
      <c r="BC26" s="3" t="s">
        <v>425</v>
      </c>
      <c r="BD26" s="3" t="s">
        <v>426</v>
      </c>
    </row>
    <row r="27" spans="1:56" ht="48" customHeight="1" x14ac:dyDescent="0.25">
      <c r="A27" s="7" t="s">
        <v>59</v>
      </c>
      <c r="B27" s="2" t="s">
        <v>427</v>
      </c>
      <c r="C27" s="2" t="s">
        <v>428</v>
      </c>
      <c r="D27" s="2" t="s">
        <v>429</v>
      </c>
      <c r="F27" s="3" t="s">
        <v>59</v>
      </c>
      <c r="G27" s="3" t="s">
        <v>60</v>
      </c>
      <c r="H27" s="3" t="s">
        <v>59</v>
      </c>
      <c r="I27" s="3" t="s">
        <v>59</v>
      </c>
      <c r="J27" s="3" t="s">
        <v>61</v>
      </c>
      <c r="L27" s="2" t="s">
        <v>430</v>
      </c>
      <c r="M27" s="3" t="s">
        <v>417</v>
      </c>
      <c r="O27" s="3" t="s">
        <v>64</v>
      </c>
      <c r="P27" s="3" t="s">
        <v>130</v>
      </c>
      <c r="R27" s="3" t="s">
        <v>67</v>
      </c>
      <c r="S27" s="4">
        <v>2</v>
      </c>
      <c r="T27" s="4">
        <v>2</v>
      </c>
      <c r="U27" s="5" t="s">
        <v>404</v>
      </c>
      <c r="V27" s="5" t="s">
        <v>404</v>
      </c>
      <c r="W27" s="5" t="s">
        <v>148</v>
      </c>
      <c r="X27" s="5" t="s">
        <v>148</v>
      </c>
      <c r="Y27" s="4">
        <v>164</v>
      </c>
      <c r="Z27" s="4">
        <v>127</v>
      </c>
      <c r="AA27" s="4">
        <v>177</v>
      </c>
      <c r="AB27" s="4">
        <v>2</v>
      </c>
      <c r="AC27" s="4">
        <v>3</v>
      </c>
      <c r="AD27" s="4">
        <v>5</v>
      </c>
      <c r="AE27" s="4">
        <v>9</v>
      </c>
      <c r="AF27" s="4">
        <v>1</v>
      </c>
      <c r="AG27" s="4">
        <v>3</v>
      </c>
      <c r="AH27" s="4">
        <v>2</v>
      </c>
      <c r="AI27" s="4">
        <v>4</v>
      </c>
      <c r="AJ27" s="4">
        <v>2</v>
      </c>
      <c r="AK27" s="4">
        <v>2</v>
      </c>
      <c r="AL27" s="4">
        <v>1</v>
      </c>
      <c r="AM27" s="4">
        <v>2</v>
      </c>
      <c r="AN27" s="4">
        <v>0</v>
      </c>
      <c r="AO27" s="4">
        <v>0</v>
      </c>
      <c r="AP27" s="3" t="s">
        <v>59</v>
      </c>
      <c r="AQ27" s="3" t="s">
        <v>70</v>
      </c>
      <c r="AR27" s="6" t="str">
        <f>HYPERLINK("http://catalog.hathitrust.org/Record/000156672","HathiTrust Record")</f>
        <v>HathiTrust Record</v>
      </c>
      <c r="AS27" s="6" t="str">
        <f>HYPERLINK("https://creighton-primo.hosted.exlibrisgroup.com/primo-explore/search?tab=default_tab&amp;search_scope=EVERYTHING&amp;vid=01CRU&amp;lang=en_US&amp;offset=0&amp;query=any,contains,991000195159702656","Catalog Record")</f>
        <v>Catalog Record</v>
      </c>
      <c r="AT27" s="6" t="str">
        <f>HYPERLINK("http://www.worldcat.org/oclc/9440937","WorldCat Record")</f>
        <v>WorldCat Record</v>
      </c>
      <c r="AU27" s="3" t="s">
        <v>431</v>
      </c>
      <c r="AV27" s="3" t="s">
        <v>432</v>
      </c>
      <c r="AW27" s="3" t="s">
        <v>433</v>
      </c>
      <c r="AX27" s="3" t="s">
        <v>433</v>
      </c>
      <c r="AY27" s="3" t="s">
        <v>434</v>
      </c>
      <c r="AZ27" s="3" t="s">
        <v>75</v>
      </c>
      <c r="BB27" s="3" t="s">
        <v>435</v>
      </c>
      <c r="BC27" s="3" t="s">
        <v>436</v>
      </c>
      <c r="BD27" s="3" t="s">
        <v>437</v>
      </c>
    </row>
    <row r="28" spans="1:56" ht="48" customHeight="1" x14ac:dyDescent="0.25">
      <c r="A28" s="7" t="s">
        <v>59</v>
      </c>
      <c r="B28" s="2" t="s">
        <v>438</v>
      </c>
      <c r="C28" s="2" t="s">
        <v>439</v>
      </c>
      <c r="D28" s="2" t="s">
        <v>440</v>
      </c>
      <c r="F28" s="3" t="s">
        <v>59</v>
      </c>
      <c r="G28" s="3" t="s">
        <v>60</v>
      </c>
      <c r="H28" s="3" t="s">
        <v>59</v>
      </c>
      <c r="I28" s="3" t="s">
        <v>59</v>
      </c>
      <c r="J28" s="3" t="s">
        <v>61</v>
      </c>
      <c r="K28" s="2" t="s">
        <v>441</v>
      </c>
      <c r="L28" s="2" t="s">
        <v>442</v>
      </c>
      <c r="M28" s="3" t="s">
        <v>443</v>
      </c>
      <c r="O28" s="3" t="s">
        <v>64</v>
      </c>
      <c r="P28" s="3" t="s">
        <v>84</v>
      </c>
      <c r="Q28" s="2" t="s">
        <v>444</v>
      </c>
      <c r="R28" s="3" t="s">
        <v>67</v>
      </c>
      <c r="S28" s="4">
        <v>8</v>
      </c>
      <c r="T28" s="4">
        <v>8</v>
      </c>
      <c r="U28" s="5" t="s">
        <v>445</v>
      </c>
      <c r="V28" s="5" t="s">
        <v>445</v>
      </c>
      <c r="W28" s="5" t="s">
        <v>446</v>
      </c>
      <c r="X28" s="5" t="s">
        <v>446</v>
      </c>
      <c r="Y28" s="4">
        <v>183</v>
      </c>
      <c r="Z28" s="4">
        <v>94</v>
      </c>
      <c r="AA28" s="4">
        <v>202</v>
      </c>
      <c r="AB28" s="4">
        <v>2</v>
      </c>
      <c r="AC28" s="4">
        <v>3</v>
      </c>
      <c r="AD28" s="4">
        <v>5</v>
      </c>
      <c r="AE28" s="4">
        <v>8</v>
      </c>
      <c r="AF28" s="4">
        <v>0</v>
      </c>
      <c r="AG28" s="4">
        <v>2</v>
      </c>
      <c r="AH28" s="4">
        <v>1</v>
      </c>
      <c r="AI28" s="4">
        <v>1</v>
      </c>
      <c r="AJ28" s="4">
        <v>4</v>
      </c>
      <c r="AK28" s="4">
        <v>5</v>
      </c>
      <c r="AL28" s="4">
        <v>1</v>
      </c>
      <c r="AM28" s="4">
        <v>2</v>
      </c>
      <c r="AN28" s="4">
        <v>0</v>
      </c>
      <c r="AO28" s="4">
        <v>0</v>
      </c>
      <c r="AP28" s="3" t="s">
        <v>59</v>
      </c>
      <c r="AQ28" s="3" t="s">
        <v>70</v>
      </c>
      <c r="AR28" s="6" t="str">
        <f>HYPERLINK("http://catalog.hathitrust.org/Record/001553878","HathiTrust Record")</f>
        <v>HathiTrust Record</v>
      </c>
      <c r="AS28" s="6" t="str">
        <f>HYPERLINK("https://creighton-primo.hosted.exlibrisgroup.com/primo-explore/search?tab=default_tab&amp;search_scope=EVERYTHING&amp;vid=01CRU&amp;lang=en_US&amp;offset=0&amp;query=any,contains,991003756699702656","Catalog Record")</f>
        <v>Catalog Record</v>
      </c>
      <c r="AT28" s="6" t="str">
        <f>HYPERLINK("http://www.worldcat.org/oclc/1438645","WorldCat Record")</f>
        <v>WorldCat Record</v>
      </c>
      <c r="AU28" s="3" t="s">
        <v>447</v>
      </c>
      <c r="AV28" s="3" t="s">
        <v>448</v>
      </c>
      <c r="AW28" s="3" t="s">
        <v>449</v>
      </c>
      <c r="AX28" s="3" t="s">
        <v>449</v>
      </c>
      <c r="AY28" s="3" t="s">
        <v>450</v>
      </c>
      <c r="AZ28" s="3" t="s">
        <v>75</v>
      </c>
      <c r="BB28" s="3" t="s">
        <v>451</v>
      </c>
      <c r="BC28" s="3" t="s">
        <v>452</v>
      </c>
      <c r="BD28" s="3" t="s">
        <v>453</v>
      </c>
    </row>
    <row r="29" spans="1:56" ht="48" customHeight="1" x14ac:dyDescent="0.25">
      <c r="A29" s="7" t="s">
        <v>59</v>
      </c>
      <c r="B29" s="2" t="s">
        <v>454</v>
      </c>
      <c r="C29" s="2" t="s">
        <v>455</v>
      </c>
      <c r="D29" s="2" t="s">
        <v>456</v>
      </c>
      <c r="F29" s="3" t="s">
        <v>59</v>
      </c>
      <c r="G29" s="3" t="s">
        <v>60</v>
      </c>
      <c r="H29" s="3" t="s">
        <v>59</v>
      </c>
      <c r="I29" s="3" t="s">
        <v>59</v>
      </c>
      <c r="J29" s="3" t="s">
        <v>61</v>
      </c>
      <c r="L29" s="2" t="s">
        <v>457</v>
      </c>
      <c r="M29" s="3" t="s">
        <v>145</v>
      </c>
      <c r="O29" s="3" t="s">
        <v>64</v>
      </c>
      <c r="P29" s="3" t="s">
        <v>130</v>
      </c>
      <c r="R29" s="3" t="s">
        <v>67</v>
      </c>
      <c r="S29" s="4">
        <v>5</v>
      </c>
      <c r="T29" s="4">
        <v>5</v>
      </c>
      <c r="U29" s="5" t="s">
        <v>458</v>
      </c>
      <c r="V29" s="5" t="s">
        <v>458</v>
      </c>
      <c r="W29" s="5" t="s">
        <v>148</v>
      </c>
      <c r="X29" s="5" t="s">
        <v>148</v>
      </c>
      <c r="Y29" s="4">
        <v>341</v>
      </c>
      <c r="Z29" s="4">
        <v>252</v>
      </c>
      <c r="AA29" s="4">
        <v>295</v>
      </c>
      <c r="AB29" s="4">
        <v>3</v>
      </c>
      <c r="AC29" s="4">
        <v>3</v>
      </c>
      <c r="AD29" s="4">
        <v>11</v>
      </c>
      <c r="AE29" s="4">
        <v>13</v>
      </c>
      <c r="AF29" s="4">
        <v>2</v>
      </c>
      <c r="AG29" s="4">
        <v>3</v>
      </c>
      <c r="AH29" s="4">
        <v>5</v>
      </c>
      <c r="AI29" s="4">
        <v>6</v>
      </c>
      <c r="AJ29" s="4">
        <v>7</v>
      </c>
      <c r="AK29" s="4">
        <v>7</v>
      </c>
      <c r="AL29" s="4">
        <v>2</v>
      </c>
      <c r="AM29" s="4">
        <v>2</v>
      </c>
      <c r="AN29" s="4">
        <v>0</v>
      </c>
      <c r="AO29" s="4">
        <v>0</v>
      </c>
      <c r="AP29" s="3" t="s">
        <v>59</v>
      </c>
      <c r="AQ29" s="3" t="s">
        <v>70</v>
      </c>
      <c r="AR29" s="6" t="str">
        <f>HYPERLINK("http://catalog.hathitrust.org/Record/000136500","HathiTrust Record")</f>
        <v>HathiTrust Record</v>
      </c>
      <c r="AS29" s="6" t="str">
        <f>HYPERLINK("https://creighton-primo.hosted.exlibrisgroup.com/primo-explore/search?tab=default_tab&amp;search_scope=EVERYTHING&amp;vid=01CRU&amp;lang=en_US&amp;offset=0&amp;query=any,contains,991004535139702656","Catalog Record")</f>
        <v>Catalog Record</v>
      </c>
      <c r="AT29" s="6" t="str">
        <f>HYPERLINK("http://www.worldcat.org/oclc/3869244","WorldCat Record")</f>
        <v>WorldCat Record</v>
      </c>
      <c r="AU29" s="3" t="s">
        <v>459</v>
      </c>
      <c r="AV29" s="3" t="s">
        <v>460</v>
      </c>
      <c r="AW29" s="3" t="s">
        <v>461</v>
      </c>
      <c r="AX29" s="3" t="s">
        <v>461</v>
      </c>
      <c r="AY29" s="3" t="s">
        <v>462</v>
      </c>
      <c r="AZ29" s="3" t="s">
        <v>75</v>
      </c>
      <c r="BB29" s="3" t="s">
        <v>463</v>
      </c>
      <c r="BC29" s="3" t="s">
        <v>464</v>
      </c>
      <c r="BD29" s="3" t="s">
        <v>465</v>
      </c>
    </row>
    <row r="30" spans="1:56" ht="48" customHeight="1" x14ac:dyDescent="0.25">
      <c r="A30" s="7" t="s">
        <v>59</v>
      </c>
      <c r="B30" s="2" t="s">
        <v>466</v>
      </c>
      <c r="C30" s="2" t="s">
        <v>467</v>
      </c>
      <c r="D30" s="2" t="s">
        <v>468</v>
      </c>
      <c r="F30" s="3" t="s">
        <v>59</v>
      </c>
      <c r="G30" s="3" t="s">
        <v>60</v>
      </c>
      <c r="H30" s="3" t="s">
        <v>59</v>
      </c>
      <c r="I30" s="3" t="s">
        <v>59</v>
      </c>
      <c r="J30" s="3" t="s">
        <v>61</v>
      </c>
      <c r="K30" s="2" t="s">
        <v>469</v>
      </c>
      <c r="L30" s="2" t="s">
        <v>470</v>
      </c>
      <c r="M30" s="3" t="s">
        <v>471</v>
      </c>
      <c r="O30" s="3" t="s">
        <v>64</v>
      </c>
      <c r="P30" s="3" t="s">
        <v>130</v>
      </c>
      <c r="R30" s="3" t="s">
        <v>67</v>
      </c>
      <c r="S30" s="4">
        <v>2</v>
      </c>
      <c r="T30" s="4">
        <v>2</v>
      </c>
      <c r="U30" s="5" t="s">
        <v>472</v>
      </c>
      <c r="V30" s="5" t="s">
        <v>472</v>
      </c>
      <c r="W30" s="5" t="s">
        <v>473</v>
      </c>
      <c r="X30" s="5" t="s">
        <v>473</v>
      </c>
      <c r="Y30" s="4">
        <v>280</v>
      </c>
      <c r="Z30" s="4">
        <v>198</v>
      </c>
      <c r="AA30" s="4">
        <v>205</v>
      </c>
      <c r="AB30" s="4">
        <v>4</v>
      </c>
      <c r="AC30" s="4">
        <v>4</v>
      </c>
      <c r="AD30" s="4">
        <v>9</v>
      </c>
      <c r="AE30" s="4">
        <v>9</v>
      </c>
      <c r="AF30" s="4">
        <v>1</v>
      </c>
      <c r="AG30" s="4">
        <v>1</v>
      </c>
      <c r="AH30" s="4">
        <v>2</v>
      </c>
      <c r="AI30" s="4">
        <v>2</v>
      </c>
      <c r="AJ30" s="4">
        <v>4</v>
      </c>
      <c r="AK30" s="4">
        <v>4</v>
      </c>
      <c r="AL30" s="4">
        <v>3</v>
      </c>
      <c r="AM30" s="4">
        <v>3</v>
      </c>
      <c r="AN30" s="4">
        <v>0</v>
      </c>
      <c r="AO30" s="4">
        <v>0</v>
      </c>
      <c r="AP30" s="3" t="s">
        <v>59</v>
      </c>
      <c r="AQ30" s="3" t="s">
        <v>70</v>
      </c>
      <c r="AR30" s="6" t="str">
        <f>HYPERLINK("http://catalog.hathitrust.org/Record/001553879","HathiTrust Record")</f>
        <v>HathiTrust Record</v>
      </c>
      <c r="AS30" s="6" t="str">
        <f>HYPERLINK("https://creighton-primo.hosted.exlibrisgroup.com/primo-explore/search?tab=default_tab&amp;search_scope=EVERYTHING&amp;vid=01CRU&amp;lang=en_US&amp;offset=0&amp;query=any,contains,991003379439702656","Catalog Record")</f>
        <v>Catalog Record</v>
      </c>
      <c r="AT30" s="6" t="str">
        <f>HYPERLINK("http://www.worldcat.org/oclc/915699","WorldCat Record")</f>
        <v>WorldCat Record</v>
      </c>
      <c r="AU30" s="3" t="s">
        <v>474</v>
      </c>
      <c r="AV30" s="3" t="s">
        <v>475</v>
      </c>
      <c r="AW30" s="3" t="s">
        <v>476</v>
      </c>
      <c r="AX30" s="3" t="s">
        <v>476</v>
      </c>
      <c r="AY30" s="3" t="s">
        <v>477</v>
      </c>
      <c r="AZ30" s="3" t="s">
        <v>75</v>
      </c>
      <c r="BB30" s="3" t="s">
        <v>478</v>
      </c>
      <c r="BC30" s="3" t="s">
        <v>479</v>
      </c>
      <c r="BD30" s="3" t="s">
        <v>480</v>
      </c>
    </row>
    <row r="31" spans="1:56" ht="48" customHeight="1" x14ac:dyDescent="0.25">
      <c r="A31" s="7" t="s">
        <v>59</v>
      </c>
      <c r="B31" s="2" t="s">
        <v>481</v>
      </c>
      <c r="C31" s="2" t="s">
        <v>482</v>
      </c>
      <c r="D31" s="2" t="s">
        <v>483</v>
      </c>
      <c r="F31" s="3" t="s">
        <v>59</v>
      </c>
      <c r="G31" s="3" t="s">
        <v>60</v>
      </c>
      <c r="H31" s="3" t="s">
        <v>59</v>
      </c>
      <c r="I31" s="3" t="s">
        <v>59</v>
      </c>
      <c r="J31" s="3" t="s">
        <v>61</v>
      </c>
      <c r="L31" s="2" t="s">
        <v>484</v>
      </c>
      <c r="M31" s="3" t="s">
        <v>485</v>
      </c>
      <c r="O31" s="3" t="s">
        <v>64</v>
      </c>
      <c r="P31" s="3" t="s">
        <v>115</v>
      </c>
      <c r="Q31" s="2" t="s">
        <v>486</v>
      </c>
      <c r="R31" s="3" t="s">
        <v>67</v>
      </c>
      <c r="S31" s="4">
        <v>4</v>
      </c>
      <c r="T31" s="4">
        <v>4</v>
      </c>
      <c r="U31" s="5" t="s">
        <v>487</v>
      </c>
      <c r="V31" s="5" t="s">
        <v>487</v>
      </c>
      <c r="W31" s="5" t="s">
        <v>335</v>
      </c>
      <c r="X31" s="5" t="s">
        <v>335</v>
      </c>
      <c r="Y31" s="4">
        <v>280</v>
      </c>
      <c r="Z31" s="4">
        <v>219</v>
      </c>
      <c r="AA31" s="4">
        <v>228</v>
      </c>
      <c r="AB31" s="4">
        <v>2</v>
      </c>
      <c r="AC31" s="4">
        <v>2</v>
      </c>
      <c r="AD31" s="4">
        <v>10</v>
      </c>
      <c r="AE31" s="4">
        <v>10</v>
      </c>
      <c r="AF31" s="4">
        <v>2</v>
      </c>
      <c r="AG31" s="4">
        <v>2</v>
      </c>
      <c r="AH31" s="4">
        <v>5</v>
      </c>
      <c r="AI31" s="4">
        <v>5</v>
      </c>
      <c r="AJ31" s="4">
        <v>7</v>
      </c>
      <c r="AK31" s="4">
        <v>7</v>
      </c>
      <c r="AL31" s="4">
        <v>1</v>
      </c>
      <c r="AM31" s="4">
        <v>1</v>
      </c>
      <c r="AN31" s="4">
        <v>0</v>
      </c>
      <c r="AO31" s="4">
        <v>0</v>
      </c>
      <c r="AP31" s="3" t="s">
        <v>59</v>
      </c>
      <c r="AQ31" s="3" t="s">
        <v>70</v>
      </c>
      <c r="AR31" s="6" t="str">
        <f>HYPERLINK("http://catalog.hathitrust.org/Record/000722491","HathiTrust Record")</f>
        <v>HathiTrust Record</v>
      </c>
      <c r="AS31" s="6" t="str">
        <f>HYPERLINK("https://creighton-primo.hosted.exlibrisgroup.com/primo-explore/search?tab=default_tab&amp;search_scope=EVERYTHING&amp;vid=01CRU&amp;lang=en_US&amp;offset=0&amp;query=any,contains,991004713799702656","Catalog Record")</f>
        <v>Catalog Record</v>
      </c>
      <c r="AT31" s="6" t="str">
        <f>HYPERLINK("http://www.worldcat.org/oclc/4775322","WorldCat Record")</f>
        <v>WorldCat Record</v>
      </c>
      <c r="AU31" s="3" t="s">
        <v>488</v>
      </c>
      <c r="AV31" s="3" t="s">
        <v>489</v>
      </c>
      <c r="AW31" s="3" t="s">
        <v>490</v>
      </c>
      <c r="AX31" s="3" t="s">
        <v>490</v>
      </c>
      <c r="AY31" s="3" t="s">
        <v>491</v>
      </c>
      <c r="AZ31" s="3" t="s">
        <v>75</v>
      </c>
      <c r="BB31" s="3" t="s">
        <v>492</v>
      </c>
      <c r="BC31" s="3" t="s">
        <v>493</v>
      </c>
      <c r="BD31" s="3" t="s">
        <v>494</v>
      </c>
    </row>
    <row r="32" spans="1:56" ht="48" customHeight="1" x14ac:dyDescent="0.25">
      <c r="A32" s="7" t="s">
        <v>59</v>
      </c>
      <c r="B32" s="2" t="s">
        <v>495</v>
      </c>
      <c r="C32" s="2" t="s">
        <v>496</v>
      </c>
      <c r="D32" s="2" t="s">
        <v>497</v>
      </c>
      <c r="E32" s="3" t="s">
        <v>159</v>
      </c>
      <c r="F32" s="3" t="s">
        <v>70</v>
      </c>
      <c r="G32" s="3" t="s">
        <v>60</v>
      </c>
      <c r="H32" s="3" t="s">
        <v>70</v>
      </c>
      <c r="I32" s="3" t="s">
        <v>59</v>
      </c>
      <c r="J32" s="3" t="s">
        <v>61</v>
      </c>
      <c r="K32" s="2" t="s">
        <v>498</v>
      </c>
      <c r="L32" s="2" t="s">
        <v>499</v>
      </c>
      <c r="M32" s="3" t="s">
        <v>500</v>
      </c>
      <c r="O32" s="3" t="s">
        <v>64</v>
      </c>
      <c r="P32" s="3" t="s">
        <v>130</v>
      </c>
      <c r="R32" s="3" t="s">
        <v>67</v>
      </c>
      <c r="S32" s="4">
        <v>0</v>
      </c>
      <c r="T32" s="4">
        <v>5</v>
      </c>
      <c r="V32" s="5" t="s">
        <v>207</v>
      </c>
      <c r="W32" s="5" t="s">
        <v>501</v>
      </c>
      <c r="X32" s="5" t="s">
        <v>501</v>
      </c>
      <c r="Y32" s="4">
        <v>588</v>
      </c>
      <c r="Z32" s="4">
        <v>469</v>
      </c>
      <c r="AA32" s="4">
        <v>474</v>
      </c>
      <c r="AB32" s="4">
        <v>4</v>
      </c>
      <c r="AC32" s="4">
        <v>4</v>
      </c>
      <c r="AD32" s="4">
        <v>20</v>
      </c>
      <c r="AE32" s="4">
        <v>20</v>
      </c>
      <c r="AF32" s="4">
        <v>7</v>
      </c>
      <c r="AG32" s="4">
        <v>7</v>
      </c>
      <c r="AH32" s="4">
        <v>5</v>
      </c>
      <c r="AI32" s="4">
        <v>5</v>
      </c>
      <c r="AJ32" s="4">
        <v>11</v>
      </c>
      <c r="AK32" s="4">
        <v>11</v>
      </c>
      <c r="AL32" s="4">
        <v>2</v>
      </c>
      <c r="AM32" s="4">
        <v>2</v>
      </c>
      <c r="AN32" s="4">
        <v>0</v>
      </c>
      <c r="AO32" s="4">
        <v>0</v>
      </c>
      <c r="AP32" s="3" t="s">
        <v>59</v>
      </c>
      <c r="AQ32" s="3" t="s">
        <v>70</v>
      </c>
      <c r="AR32" s="6" t="str">
        <f>HYPERLINK("http://catalog.hathitrust.org/Record/001553880","HathiTrust Record")</f>
        <v>HathiTrust Record</v>
      </c>
      <c r="AS32" s="6" t="str">
        <f>HYPERLINK("https://creighton-primo.hosted.exlibrisgroup.com/primo-explore/search?tab=default_tab&amp;search_scope=EVERYTHING&amp;vid=01CRU&amp;lang=en_US&amp;offset=0&amp;query=any,contains,991001764259702656","Catalog Record")</f>
        <v>Catalog Record</v>
      </c>
      <c r="AT32" s="6" t="str">
        <f>HYPERLINK("http://www.worldcat.org/oclc/92873","WorldCat Record")</f>
        <v>WorldCat Record</v>
      </c>
      <c r="AU32" s="3" t="s">
        <v>502</v>
      </c>
      <c r="AV32" s="3" t="s">
        <v>503</v>
      </c>
      <c r="AW32" s="3" t="s">
        <v>504</v>
      </c>
      <c r="AX32" s="3" t="s">
        <v>504</v>
      </c>
      <c r="AY32" s="3" t="s">
        <v>505</v>
      </c>
      <c r="AZ32" s="3" t="s">
        <v>75</v>
      </c>
      <c r="BB32" s="3" t="s">
        <v>506</v>
      </c>
      <c r="BC32" s="3" t="s">
        <v>507</v>
      </c>
      <c r="BD32" s="3" t="s">
        <v>508</v>
      </c>
    </row>
    <row r="33" spans="1:56" ht="48" customHeight="1" x14ac:dyDescent="0.25">
      <c r="A33" s="7" t="s">
        <v>59</v>
      </c>
      <c r="B33" s="2" t="s">
        <v>495</v>
      </c>
      <c r="C33" s="2" t="s">
        <v>496</v>
      </c>
      <c r="D33" s="2" t="s">
        <v>497</v>
      </c>
      <c r="E33" s="3" t="s">
        <v>509</v>
      </c>
      <c r="F33" s="3" t="s">
        <v>70</v>
      </c>
      <c r="G33" s="3" t="s">
        <v>60</v>
      </c>
      <c r="H33" s="3" t="s">
        <v>59</v>
      </c>
      <c r="I33" s="3" t="s">
        <v>59</v>
      </c>
      <c r="J33" s="3" t="s">
        <v>61</v>
      </c>
      <c r="K33" s="2" t="s">
        <v>498</v>
      </c>
      <c r="L33" s="2" t="s">
        <v>499</v>
      </c>
      <c r="M33" s="3" t="s">
        <v>500</v>
      </c>
      <c r="O33" s="3" t="s">
        <v>64</v>
      </c>
      <c r="P33" s="3" t="s">
        <v>130</v>
      </c>
      <c r="R33" s="3" t="s">
        <v>67</v>
      </c>
      <c r="S33" s="4">
        <v>0</v>
      </c>
      <c r="T33" s="4">
        <v>5</v>
      </c>
      <c r="V33" s="5" t="s">
        <v>207</v>
      </c>
      <c r="W33" s="5" t="s">
        <v>501</v>
      </c>
      <c r="X33" s="5" t="s">
        <v>501</v>
      </c>
      <c r="Y33" s="4">
        <v>588</v>
      </c>
      <c r="Z33" s="4">
        <v>469</v>
      </c>
      <c r="AA33" s="4">
        <v>474</v>
      </c>
      <c r="AB33" s="4">
        <v>4</v>
      </c>
      <c r="AC33" s="4">
        <v>4</v>
      </c>
      <c r="AD33" s="4">
        <v>20</v>
      </c>
      <c r="AE33" s="4">
        <v>20</v>
      </c>
      <c r="AF33" s="4">
        <v>7</v>
      </c>
      <c r="AG33" s="4">
        <v>7</v>
      </c>
      <c r="AH33" s="4">
        <v>5</v>
      </c>
      <c r="AI33" s="4">
        <v>5</v>
      </c>
      <c r="AJ33" s="4">
        <v>11</v>
      </c>
      <c r="AK33" s="4">
        <v>11</v>
      </c>
      <c r="AL33" s="4">
        <v>2</v>
      </c>
      <c r="AM33" s="4">
        <v>2</v>
      </c>
      <c r="AN33" s="4">
        <v>0</v>
      </c>
      <c r="AO33" s="4">
        <v>0</v>
      </c>
      <c r="AP33" s="3" t="s">
        <v>59</v>
      </c>
      <c r="AQ33" s="3" t="s">
        <v>70</v>
      </c>
      <c r="AR33" s="6" t="str">
        <f>HYPERLINK("http://catalog.hathitrust.org/Record/001553880","HathiTrust Record")</f>
        <v>HathiTrust Record</v>
      </c>
      <c r="AS33" s="6" t="str">
        <f>HYPERLINK("https://creighton-primo.hosted.exlibrisgroup.com/primo-explore/search?tab=default_tab&amp;search_scope=EVERYTHING&amp;vid=01CRU&amp;lang=en_US&amp;offset=0&amp;query=any,contains,991001764259702656","Catalog Record")</f>
        <v>Catalog Record</v>
      </c>
      <c r="AT33" s="6" t="str">
        <f>HYPERLINK("http://www.worldcat.org/oclc/92873","WorldCat Record")</f>
        <v>WorldCat Record</v>
      </c>
      <c r="AU33" s="3" t="s">
        <v>502</v>
      </c>
      <c r="AV33" s="3" t="s">
        <v>503</v>
      </c>
      <c r="AW33" s="3" t="s">
        <v>504</v>
      </c>
      <c r="AX33" s="3" t="s">
        <v>504</v>
      </c>
      <c r="AY33" s="3" t="s">
        <v>505</v>
      </c>
      <c r="AZ33" s="3" t="s">
        <v>75</v>
      </c>
      <c r="BB33" s="3" t="s">
        <v>506</v>
      </c>
      <c r="BC33" s="3" t="s">
        <v>510</v>
      </c>
      <c r="BD33" s="3" t="s">
        <v>511</v>
      </c>
    </row>
    <row r="34" spans="1:56" ht="48" customHeight="1" x14ac:dyDescent="0.25">
      <c r="A34" s="7" t="s">
        <v>59</v>
      </c>
      <c r="B34" s="2" t="s">
        <v>495</v>
      </c>
      <c r="C34" s="2" t="s">
        <v>496</v>
      </c>
      <c r="D34" s="2" t="s">
        <v>497</v>
      </c>
      <c r="E34" s="3" t="s">
        <v>512</v>
      </c>
      <c r="F34" s="3" t="s">
        <v>70</v>
      </c>
      <c r="G34" s="3" t="s">
        <v>60</v>
      </c>
      <c r="H34" s="3" t="s">
        <v>70</v>
      </c>
      <c r="I34" s="3" t="s">
        <v>59</v>
      </c>
      <c r="J34" s="3" t="s">
        <v>61</v>
      </c>
      <c r="K34" s="2" t="s">
        <v>498</v>
      </c>
      <c r="L34" s="2" t="s">
        <v>499</v>
      </c>
      <c r="M34" s="3" t="s">
        <v>500</v>
      </c>
      <c r="O34" s="3" t="s">
        <v>64</v>
      </c>
      <c r="P34" s="3" t="s">
        <v>130</v>
      </c>
      <c r="R34" s="3" t="s">
        <v>67</v>
      </c>
      <c r="S34" s="4">
        <v>0</v>
      </c>
      <c r="T34" s="4">
        <v>5</v>
      </c>
      <c r="V34" s="5" t="s">
        <v>207</v>
      </c>
      <c r="W34" s="5" t="s">
        <v>501</v>
      </c>
      <c r="X34" s="5" t="s">
        <v>501</v>
      </c>
      <c r="Y34" s="4">
        <v>588</v>
      </c>
      <c r="Z34" s="4">
        <v>469</v>
      </c>
      <c r="AA34" s="4">
        <v>474</v>
      </c>
      <c r="AB34" s="4">
        <v>4</v>
      </c>
      <c r="AC34" s="4">
        <v>4</v>
      </c>
      <c r="AD34" s="4">
        <v>20</v>
      </c>
      <c r="AE34" s="4">
        <v>20</v>
      </c>
      <c r="AF34" s="4">
        <v>7</v>
      </c>
      <c r="AG34" s="4">
        <v>7</v>
      </c>
      <c r="AH34" s="4">
        <v>5</v>
      </c>
      <c r="AI34" s="4">
        <v>5</v>
      </c>
      <c r="AJ34" s="4">
        <v>11</v>
      </c>
      <c r="AK34" s="4">
        <v>11</v>
      </c>
      <c r="AL34" s="4">
        <v>2</v>
      </c>
      <c r="AM34" s="4">
        <v>2</v>
      </c>
      <c r="AN34" s="4">
        <v>0</v>
      </c>
      <c r="AO34" s="4">
        <v>0</v>
      </c>
      <c r="AP34" s="3" t="s">
        <v>59</v>
      </c>
      <c r="AQ34" s="3" t="s">
        <v>70</v>
      </c>
      <c r="AR34" s="6" t="str">
        <f>HYPERLINK("http://catalog.hathitrust.org/Record/001553880","HathiTrust Record")</f>
        <v>HathiTrust Record</v>
      </c>
      <c r="AS34" s="6" t="str">
        <f>HYPERLINK("https://creighton-primo.hosted.exlibrisgroup.com/primo-explore/search?tab=default_tab&amp;search_scope=EVERYTHING&amp;vid=01CRU&amp;lang=en_US&amp;offset=0&amp;query=any,contains,991001764259702656","Catalog Record")</f>
        <v>Catalog Record</v>
      </c>
      <c r="AT34" s="6" t="str">
        <f>HYPERLINK("http://www.worldcat.org/oclc/92873","WorldCat Record")</f>
        <v>WorldCat Record</v>
      </c>
      <c r="AU34" s="3" t="s">
        <v>502</v>
      </c>
      <c r="AV34" s="3" t="s">
        <v>503</v>
      </c>
      <c r="AW34" s="3" t="s">
        <v>504</v>
      </c>
      <c r="AX34" s="3" t="s">
        <v>504</v>
      </c>
      <c r="AY34" s="3" t="s">
        <v>505</v>
      </c>
      <c r="AZ34" s="3" t="s">
        <v>75</v>
      </c>
      <c r="BB34" s="3" t="s">
        <v>506</v>
      </c>
      <c r="BC34" s="3" t="s">
        <v>513</v>
      </c>
      <c r="BD34" s="3" t="s">
        <v>514</v>
      </c>
    </row>
    <row r="35" spans="1:56" ht="48" customHeight="1" x14ac:dyDescent="0.25">
      <c r="A35" s="7" t="s">
        <v>59</v>
      </c>
      <c r="B35" s="2" t="s">
        <v>515</v>
      </c>
      <c r="C35" s="2" t="s">
        <v>516</v>
      </c>
      <c r="D35" s="2" t="s">
        <v>517</v>
      </c>
      <c r="F35" s="3" t="s">
        <v>59</v>
      </c>
      <c r="G35" s="3" t="s">
        <v>60</v>
      </c>
      <c r="H35" s="3" t="s">
        <v>59</v>
      </c>
      <c r="I35" s="3" t="s">
        <v>59</v>
      </c>
      <c r="J35" s="3" t="s">
        <v>61</v>
      </c>
      <c r="L35" s="2" t="s">
        <v>518</v>
      </c>
      <c r="M35" s="3" t="s">
        <v>519</v>
      </c>
      <c r="O35" s="3" t="s">
        <v>64</v>
      </c>
      <c r="P35" s="3" t="s">
        <v>84</v>
      </c>
      <c r="Q35" s="2" t="s">
        <v>520</v>
      </c>
      <c r="R35" s="3" t="s">
        <v>67</v>
      </c>
      <c r="S35" s="4">
        <v>20</v>
      </c>
      <c r="T35" s="4">
        <v>20</v>
      </c>
      <c r="U35" s="5" t="s">
        <v>521</v>
      </c>
      <c r="V35" s="5" t="s">
        <v>521</v>
      </c>
      <c r="W35" s="5" t="s">
        <v>522</v>
      </c>
      <c r="X35" s="5" t="s">
        <v>522</v>
      </c>
      <c r="Y35" s="4">
        <v>237</v>
      </c>
      <c r="Z35" s="4">
        <v>159</v>
      </c>
      <c r="AA35" s="4">
        <v>205</v>
      </c>
      <c r="AB35" s="4">
        <v>3</v>
      </c>
      <c r="AC35" s="4">
        <v>3</v>
      </c>
      <c r="AD35" s="4">
        <v>10</v>
      </c>
      <c r="AE35" s="4">
        <v>12</v>
      </c>
      <c r="AF35" s="4">
        <v>4</v>
      </c>
      <c r="AG35" s="4">
        <v>4</v>
      </c>
      <c r="AH35" s="4">
        <v>2</v>
      </c>
      <c r="AI35" s="4">
        <v>4</v>
      </c>
      <c r="AJ35" s="4">
        <v>6</v>
      </c>
      <c r="AK35" s="4">
        <v>6</v>
      </c>
      <c r="AL35" s="4">
        <v>2</v>
      </c>
      <c r="AM35" s="4">
        <v>2</v>
      </c>
      <c r="AN35" s="4">
        <v>0</v>
      </c>
      <c r="AO35" s="4">
        <v>0</v>
      </c>
      <c r="AP35" s="3" t="s">
        <v>59</v>
      </c>
      <c r="AQ35" s="3" t="s">
        <v>59</v>
      </c>
      <c r="AS35" s="6" t="str">
        <f>HYPERLINK("https://creighton-primo.hosted.exlibrisgroup.com/primo-explore/search?tab=default_tab&amp;search_scope=EVERYTHING&amp;vid=01CRU&amp;lang=en_US&amp;offset=0&amp;query=any,contains,991002318429702656","Catalog Record")</f>
        <v>Catalog Record</v>
      </c>
      <c r="AT35" s="6" t="str">
        <f>HYPERLINK("http://www.worldcat.org/oclc/30075383","WorldCat Record")</f>
        <v>WorldCat Record</v>
      </c>
      <c r="AU35" s="3" t="s">
        <v>523</v>
      </c>
      <c r="AV35" s="3" t="s">
        <v>524</v>
      </c>
      <c r="AW35" s="3" t="s">
        <v>525</v>
      </c>
      <c r="AX35" s="3" t="s">
        <v>525</v>
      </c>
      <c r="AY35" s="3" t="s">
        <v>526</v>
      </c>
      <c r="AZ35" s="3" t="s">
        <v>75</v>
      </c>
      <c r="BB35" s="3" t="s">
        <v>527</v>
      </c>
      <c r="BC35" s="3" t="s">
        <v>528</v>
      </c>
      <c r="BD35" s="3" t="s">
        <v>529</v>
      </c>
    </row>
    <row r="36" spans="1:56" ht="48" customHeight="1" x14ac:dyDescent="0.25">
      <c r="A36" s="7" t="s">
        <v>59</v>
      </c>
      <c r="B36" s="2" t="s">
        <v>530</v>
      </c>
      <c r="C36" s="2" t="s">
        <v>531</v>
      </c>
      <c r="D36" s="2" t="s">
        <v>532</v>
      </c>
      <c r="F36" s="3" t="s">
        <v>59</v>
      </c>
      <c r="G36" s="3" t="s">
        <v>60</v>
      </c>
      <c r="H36" s="3" t="s">
        <v>59</v>
      </c>
      <c r="I36" s="3" t="s">
        <v>59</v>
      </c>
      <c r="J36" s="3" t="s">
        <v>61</v>
      </c>
      <c r="K36" s="2" t="s">
        <v>533</v>
      </c>
      <c r="L36" s="2" t="s">
        <v>534</v>
      </c>
      <c r="M36" s="3" t="s">
        <v>535</v>
      </c>
      <c r="N36" s="2" t="s">
        <v>536</v>
      </c>
      <c r="O36" s="3" t="s">
        <v>64</v>
      </c>
      <c r="P36" s="3" t="s">
        <v>264</v>
      </c>
      <c r="R36" s="3" t="s">
        <v>67</v>
      </c>
      <c r="S36" s="4">
        <v>2</v>
      </c>
      <c r="T36" s="4">
        <v>2</v>
      </c>
      <c r="U36" s="5" t="s">
        <v>537</v>
      </c>
      <c r="V36" s="5" t="s">
        <v>537</v>
      </c>
      <c r="W36" s="5" t="s">
        <v>148</v>
      </c>
      <c r="X36" s="5" t="s">
        <v>148</v>
      </c>
      <c r="Y36" s="4">
        <v>218</v>
      </c>
      <c r="Z36" s="4">
        <v>176</v>
      </c>
      <c r="AA36" s="4">
        <v>587</v>
      </c>
      <c r="AB36" s="4">
        <v>2</v>
      </c>
      <c r="AC36" s="4">
        <v>4</v>
      </c>
      <c r="AD36" s="4">
        <v>4</v>
      </c>
      <c r="AE36" s="4">
        <v>14</v>
      </c>
      <c r="AF36" s="4">
        <v>2</v>
      </c>
      <c r="AG36" s="4">
        <v>6</v>
      </c>
      <c r="AH36" s="4">
        <v>0</v>
      </c>
      <c r="AI36" s="4">
        <v>3</v>
      </c>
      <c r="AJ36" s="4">
        <v>1</v>
      </c>
      <c r="AK36" s="4">
        <v>6</v>
      </c>
      <c r="AL36" s="4">
        <v>1</v>
      </c>
      <c r="AM36" s="4">
        <v>3</v>
      </c>
      <c r="AN36" s="4">
        <v>0</v>
      </c>
      <c r="AO36" s="4">
        <v>0</v>
      </c>
      <c r="AP36" s="3" t="s">
        <v>59</v>
      </c>
      <c r="AQ36" s="3" t="s">
        <v>70</v>
      </c>
      <c r="AR36" s="6" t="str">
        <f>HYPERLINK("http://catalog.hathitrust.org/Record/001553893","HathiTrust Record")</f>
        <v>HathiTrust Record</v>
      </c>
      <c r="AS36" s="6" t="str">
        <f>HYPERLINK("https://creighton-primo.hosted.exlibrisgroup.com/primo-explore/search?tab=default_tab&amp;search_scope=EVERYTHING&amp;vid=01CRU&amp;lang=en_US&amp;offset=0&amp;query=any,contains,991003180649702656","Catalog Record")</f>
        <v>Catalog Record</v>
      </c>
      <c r="AT36" s="6" t="str">
        <f>HYPERLINK("http://www.worldcat.org/oclc/711691","WorldCat Record")</f>
        <v>WorldCat Record</v>
      </c>
      <c r="AU36" s="3" t="s">
        <v>538</v>
      </c>
      <c r="AV36" s="3" t="s">
        <v>539</v>
      </c>
      <c r="AW36" s="3" t="s">
        <v>540</v>
      </c>
      <c r="AX36" s="3" t="s">
        <v>540</v>
      </c>
      <c r="AY36" s="3" t="s">
        <v>541</v>
      </c>
      <c r="AZ36" s="3" t="s">
        <v>75</v>
      </c>
      <c r="BC36" s="3" t="s">
        <v>542</v>
      </c>
      <c r="BD36" s="3" t="s">
        <v>543</v>
      </c>
    </row>
    <row r="37" spans="1:56" ht="48" customHeight="1" x14ac:dyDescent="0.25">
      <c r="A37" s="7" t="s">
        <v>59</v>
      </c>
      <c r="B37" s="2" t="s">
        <v>544</v>
      </c>
      <c r="C37" s="2" t="s">
        <v>545</v>
      </c>
      <c r="D37" s="2" t="s">
        <v>546</v>
      </c>
      <c r="F37" s="3" t="s">
        <v>59</v>
      </c>
      <c r="G37" s="3" t="s">
        <v>60</v>
      </c>
      <c r="H37" s="3" t="s">
        <v>59</v>
      </c>
      <c r="I37" s="3" t="s">
        <v>59</v>
      </c>
      <c r="J37" s="3" t="s">
        <v>61</v>
      </c>
      <c r="K37" s="2" t="s">
        <v>547</v>
      </c>
      <c r="L37" s="2" t="s">
        <v>548</v>
      </c>
      <c r="M37" s="3" t="s">
        <v>549</v>
      </c>
      <c r="O37" s="3" t="s">
        <v>64</v>
      </c>
      <c r="P37" s="3" t="s">
        <v>176</v>
      </c>
      <c r="Q37" s="2" t="s">
        <v>550</v>
      </c>
      <c r="R37" s="3" t="s">
        <v>67</v>
      </c>
      <c r="S37" s="4">
        <v>3</v>
      </c>
      <c r="T37" s="4">
        <v>3</v>
      </c>
      <c r="U37" s="5" t="s">
        <v>551</v>
      </c>
      <c r="V37" s="5" t="s">
        <v>551</v>
      </c>
      <c r="W37" s="5" t="s">
        <v>552</v>
      </c>
      <c r="X37" s="5" t="s">
        <v>552</v>
      </c>
      <c r="Y37" s="4">
        <v>467</v>
      </c>
      <c r="Z37" s="4">
        <v>418</v>
      </c>
      <c r="AA37" s="4">
        <v>524</v>
      </c>
      <c r="AB37" s="4">
        <v>7</v>
      </c>
      <c r="AC37" s="4">
        <v>7</v>
      </c>
      <c r="AD37" s="4">
        <v>13</v>
      </c>
      <c r="AE37" s="4">
        <v>17</v>
      </c>
      <c r="AF37" s="4">
        <v>4</v>
      </c>
      <c r="AG37" s="4">
        <v>6</v>
      </c>
      <c r="AH37" s="4">
        <v>3</v>
      </c>
      <c r="AI37" s="4">
        <v>4</v>
      </c>
      <c r="AJ37" s="4">
        <v>4</v>
      </c>
      <c r="AK37" s="4">
        <v>5</v>
      </c>
      <c r="AL37" s="4">
        <v>4</v>
      </c>
      <c r="AM37" s="4">
        <v>4</v>
      </c>
      <c r="AN37" s="4">
        <v>0</v>
      </c>
      <c r="AO37" s="4">
        <v>0</v>
      </c>
      <c r="AP37" s="3" t="s">
        <v>59</v>
      </c>
      <c r="AQ37" s="3" t="s">
        <v>70</v>
      </c>
      <c r="AR37" s="6" t="str">
        <f>HYPERLINK("http://catalog.hathitrust.org/Record/000743724","HathiTrust Record")</f>
        <v>HathiTrust Record</v>
      </c>
      <c r="AS37" s="6" t="str">
        <f>HYPERLINK("https://creighton-primo.hosted.exlibrisgroup.com/primo-explore/search?tab=default_tab&amp;search_scope=EVERYTHING&amp;vid=01CRU&amp;lang=en_US&amp;offset=0&amp;query=any,contains,991004115189702656","Catalog Record")</f>
        <v>Catalog Record</v>
      </c>
      <c r="AT37" s="6" t="str">
        <f>HYPERLINK("http://www.worldcat.org/oclc/2409636","WorldCat Record")</f>
        <v>WorldCat Record</v>
      </c>
      <c r="AU37" s="3" t="s">
        <v>553</v>
      </c>
      <c r="AV37" s="3" t="s">
        <v>554</v>
      </c>
      <c r="AW37" s="3" t="s">
        <v>555</v>
      </c>
      <c r="AX37" s="3" t="s">
        <v>555</v>
      </c>
      <c r="AY37" s="3" t="s">
        <v>556</v>
      </c>
      <c r="AZ37" s="3" t="s">
        <v>75</v>
      </c>
      <c r="BB37" s="3" t="s">
        <v>557</v>
      </c>
      <c r="BC37" s="3" t="s">
        <v>558</v>
      </c>
      <c r="BD37" s="3" t="s">
        <v>559</v>
      </c>
    </row>
    <row r="38" spans="1:56" ht="48" customHeight="1" x14ac:dyDescent="0.25">
      <c r="A38" s="7" t="s">
        <v>59</v>
      </c>
      <c r="B38" s="2" t="s">
        <v>560</v>
      </c>
      <c r="C38" s="2" t="s">
        <v>561</v>
      </c>
      <c r="D38" s="2" t="s">
        <v>562</v>
      </c>
      <c r="F38" s="3" t="s">
        <v>59</v>
      </c>
      <c r="G38" s="3" t="s">
        <v>60</v>
      </c>
      <c r="H38" s="3" t="s">
        <v>59</v>
      </c>
      <c r="I38" s="3" t="s">
        <v>59</v>
      </c>
      <c r="J38" s="3" t="s">
        <v>61</v>
      </c>
      <c r="L38" s="2" t="s">
        <v>563</v>
      </c>
      <c r="M38" s="3" t="s">
        <v>145</v>
      </c>
      <c r="O38" s="3" t="s">
        <v>64</v>
      </c>
      <c r="P38" s="3" t="s">
        <v>176</v>
      </c>
      <c r="R38" s="3" t="s">
        <v>67</v>
      </c>
      <c r="S38" s="4">
        <v>7</v>
      </c>
      <c r="T38" s="4">
        <v>7</v>
      </c>
      <c r="U38" s="5" t="s">
        <v>551</v>
      </c>
      <c r="V38" s="5" t="s">
        <v>551</v>
      </c>
      <c r="W38" s="5" t="s">
        <v>148</v>
      </c>
      <c r="X38" s="5" t="s">
        <v>148</v>
      </c>
      <c r="Y38" s="4">
        <v>459</v>
      </c>
      <c r="Z38" s="4">
        <v>352</v>
      </c>
      <c r="AA38" s="4">
        <v>357</v>
      </c>
      <c r="AB38" s="4">
        <v>3</v>
      </c>
      <c r="AC38" s="4">
        <v>3</v>
      </c>
      <c r="AD38" s="4">
        <v>8</v>
      </c>
      <c r="AE38" s="4">
        <v>8</v>
      </c>
      <c r="AF38" s="4">
        <v>3</v>
      </c>
      <c r="AG38" s="4">
        <v>3</v>
      </c>
      <c r="AH38" s="4">
        <v>0</v>
      </c>
      <c r="AI38" s="4">
        <v>0</v>
      </c>
      <c r="AJ38" s="4">
        <v>4</v>
      </c>
      <c r="AK38" s="4">
        <v>4</v>
      </c>
      <c r="AL38" s="4">
        <v>2</v>
      </c>
      <c r="AM38" s="4">
        <v>2</v>
      </c>
      <c r="AN38" s="4">
        <v>0</v>
      </c>
      <c r="AO38" s="4">
        <v>0</v>
      </c>
      <c r="AP38" s="3" t="s">
        <v>59</v>
      </c>
      <c r="AQ38" s="3" t="s">
        <v>59</v>
      </c>
      <c r="AS38" s="6" t="str">
        <f>HYPERLINK("https://creighton-primo.hosted.exlibrisgroup.com/primo-explore/search?tab=default_tab&amp;search_scope=EVERYTHING&amp;vid=01CRU&amp;lang=en_US&amp;offset=0&amp;query=any,contains,991004555889702656","Catalog Record")</f>
        <v>Catalog Record</v>
      </c>
      <c r="AT38" s="6" t="str">
        <f>HYPERLINK("http://www.worldcat.org/oclc/3966254","WorldCat Record")</f>
        <v>WorldCat Record</v>
      </c>
      <c r="AU38" s="3" t="s">
        <v>564</v>
      </c>
      <c r="AV38" s="3" t="s">
        <v>565</v>
      </c>
      <c r="AW38" s="3" t="s">
        <v>566</v>
      </c>
      <c r="AX38" s="3" t="s">
        <v>566</v>
      </c>
      <c r="AY38" s="3" t="s">
        <v>567</v>
      </c>
      <c r="AZ38" s="3" t="s">
        <v>75</v>
      </c>
      <c r="BB38" s="3" t="s">
        <v>568</v>
      </c>
      <c r="BC38" s="3" t="s">
        <v>569</v>
      </c>
      <c r="BD38" s="3" t="s">
        <v>570</v>
      </c>
    </row>
    <row r="39" spans="1:56" ht="48" customHeight="1" x14ac:dyDescent="0.25">
      <c r="A39" s="7" t="s">
        <v>59</v>
      </c>
      <c r="B39" s="2" t="s">
        <v>571</v>
      </c>
      <c r="C39" s="2" t="s">
        <v>572</v>
      </c>
      <c r="D39" s="2" t="s">
        <v>573</v>
      </c>
      <c r="F39" s="3" t="s">
        <v>59</v>
      </c>
      <c r="G39" s="3" t="s">
        <v>60</v>
      </c>
      <c r="H39" s="3" t="s">
        <v>70</v>
      </c>
      <c r="I39" s="3" t="s">
        <v>59</v>
      </c>
      <c r="J39" s="3" t="s">
        <v>61</v>
      </c>
      <c r="K39" s="2" t="s">
        <v>574</v>
      </c>
      <c r="L39" s="2" t="s">
        <v>575</v>
      </c>
      <c r="M39" s="3" t="s">
        <v>190</v>
      </c>
      <c r="O39" s="3" t="s">
        <v>64</v>
      </c>
      <c r="P39" s="3" t="s">
        <v>130</v>
      </c>
      <c r="Q39" s="2" t="s">
        <v>576</v>
      </c>
      <c r="R39" s="3" t="s">
        <v>67</v>
      </c>
      <c r="S39" s="4">
        <v>16</v>
      </c>
      <c r="T39" s="4">
        <v>16</v>
      </c>
      <c r="U39" s="5" t="s">
        <v>577</v>
      </c>
      <c r="V39" s="5" t="s">
        <v>577</v>
      </c>
      <c r="W39" s="5" t="s">
        <v>578</v>
      </c>
      <c r="X39" s="5" t="s">
        <v>578</v>
      </c>
      <c r="Y39" s="4">
        <v>904</v>
      </c>
      <c r="Z39" s="4">
        <v>768</v>
      </c>
      <c r="AA39" s="4">
        <v>1499</v>
      </c>
      <c r="AB39" s="4">
        <v>7</v>
      </c>
      <c r="AC39" s="4">
        <v>35</v>
      </c>
      <c r="AD39" s="4">
        <v>25</v>
      </c>
      <c r="AE39" s="4">
        <v>49</v>
      </c>
      <c r="AF39" s="4">
        <v>7</v>
      </c>
      <c r="AG39" s="4">
        <v>19</v>
      </c>
      <c r="AH39" s="4">
        <v>7</v>
      </c>
      <c r="AI39" s="4">
        <v>8</v>
      </c>
      <c r="AJ39" s="4">
        <v>12</v>
      </c>
      <c r="AK39" s="4">
        <v>16</v>
      </c>
      <c r="AL39" s="4">
        <v>4</v>
      </c>
      <c r="AM39" s="4">
        <v>14</v>
      </c>
      <c r="AN39" s="4">
        <v>0</v>
      </c>
      <c r="AO39" s="4">
        <v>0</v>
      </c>
      <c r="AP39" s="3" t="s">
        <v>59</v>
      </c>
      <c r="AQ39" s="3" t="s">
        <v>59</v>
      </c>
      <c r="AS39" s="6" t="str">
        <f>HYPERLINK("https://creighton-primo.hosted.exlibrisgroup.com/primo-explore/search?tab=default_tab&amp;search_scope=EVERYTHING&amp;vid=01CRU&amp;lang=en_US&amp;offset=0&amp;query=any,contains,991000675379702656","Catalog Record")</f>
        <v>Catalog Record</v>
      </c>
      <c r="AT39" s="6" t="str">
        <f>HYPERLINK("http://www.worldcat.org/oclc/12344667","WorldCat Record")</f>
        <v>WorldCat Record</v>
      </c>
      <c r="AU39" s="3" t="s">
        <v>579</v>
      </c>
      <c r="AV39" s="3" t="s">
        <v>580</v>
      </c>
      <c r="AW39" s="3" t="s">
        <v>581</v>
      </c>
      <c r="AX39" s="3" t="s">
        <v>581</v>
      </c>
      <c r="AY39" s="3" t="s">
        <v>582</v>
      </c>
      <c r="AZ39" s="3" t="s">
        <v>75</v>
      </c>
      <c r="BB39" s="3" t="s">
        <v>583</v>
      </c>
      <c r="BC39" s="3" t="s">
        <v>584</v>
      </c>
      <c r="BD39" s="3" t="s">
        <v>585</v>
      </c>
    </row>
    <row r="40" spans="1:56" ht="48" customHeight="1" x14ac:dyDescent="0.25">
      <c r="A40" s="7" t="s">
        <v>59</v>
      </c>
      <c r="B40" s="2" t="s">
        <v>586</v>
      </c>
      <c r="C40" s="2" t="s">
        <v>587</v>
      </c>
      <c r="D40" s="2" t="s">
        <v>588</v>
      </c>
      <c r="F40" s="3" t="s">
        <v>59</v>
      </c>
      <c r="G40" s="3" t="s">
        <v>60</v>
      </c>
      <c r="H40" s="3" t="s">
        <v>59</v>
      </c>
      <c r="I40" s="3" t="s">
        <v>70</v>
      </c>
      <c r="J40" s="3" t="s">
        <v>61</v>
      </c>
      <c r="L40" s="2" t="s">
        <v>589</v>
      </c>
      <c r="M40" s="3" t="s">
        <v>590</v>
      </c>
      <c r="N40" s="2" t="s">
        <v>536</v>
      </c>
      <c r="O40" s="3" t="s">
        <v>64</v>
      </c>
      <c r="P40" s="3" t="s">
        <v>115</v>
      </c>
      <c r="R40" s="3" t="s">
        <v>67</v>
      </c>
      <c r="S40" s="4">
        <v>10</v>
      </c>
      <c r="T40" s="4">
        <v>10</v>
      </c>
      <c r="U40" s="5" t="s">
        <v>591</v>
      </c>
      <c r="V40" s="5" t="s">
        <v>591</v>
      </c>
      <c r="W40" s="5" t="s">
        <v>592</v>
      </c>
      <c r="X40" s="5" t="s">
        <v>592</v>
      </c>
      <c r="Y40" s="4">
        <v>597</v>
      </c>
      <c r="Z40" s="4">
        <v>493</v>
      </c>
      <c r="AA40" s="4">
        <v>1480</v>
      </c>
      <c r="AB40" s="4">
        <v>3</v>
      </c>
      <c r="AC40" s="4">
        <v>10</v>
      </c>
      <c r="AD40" s="4">
        <v>11</v>
      </c>
      <c r="AE40" s="4">
        <v>40</v>
      </c>
      <c r="AF40" s="4">
        <v>3</v>
      </c>
      <c r="AG40" s="4">
        <v>17</v>
      </c>
      <c r="AH40" s="4">
        <v>3</v>
      </c>
      <c r="AI40" s="4">
        <v>10</v>
      </c>
      <c r="AJ40" s="4">
        <v>7</v>
      </c>
      <c r="AK40" s="4">
        <v>17</v>
      </c>
      <c r="AL40" s="4">
        <v>2</v>
      </c>
      <c r="AM40" s="4">
        <v>6</v>
      </c>
      <c r="AN40" s="4">
        <v>0</v>
      </c>
      <c r="AO40" s="4">
        <v>0</v>
      </c>
      <c r="AP40" s="3" t="s">
        <v>59</v>
      </c>
      <c r="AQ40" s="3" t="s">
        <v>70</v>
      </c>
      <c r="AR40" s="6" t="str">
        <f>HYPERLINK("http://catalog.hathitrust.org/Record/000842188","HathiTrust Record")</f>
        <v>HathiTrust Record</v>
      </c>
      <c r="AS40" s="6" t="str">
        <f>HYPERLINK("https://creighton-primo.hosted.exlibrisgroup.com/primo-explore/search?tab=default_tab&amp;search_scope=EVERYTHING&amp;vid=01CRU&amp;lang=en_US&amp;offset=0&amp;query=any,contains,991000889199702656","Catalog Record")</f>
        <v>Catalog Record</v>
      </c>
      <c r="AT40" s="6" t="str">
        <f>HYPERLINK("http://www.worldcat.org/oclc/13903179","WorldCat Record")</f>
        <v>WorldCat Record</v>
      </c>
      <c r="AU40" s="3" t="s">
        <v>593</v>
      </c>
      <c r="AV40" s="3" t="s">
        <v>594</v>
      </c>
      <c r="AW40" s="3" t="s">
        <v>595</v>
      </c>
      <c r="AX40" s="3" t="s">
        <v>595</v>
      </c>
      <c r="AY40" s="3" t="s">
        <v>596</v>
      </c>
      <c r="AZ40" s="3" t="s">
        <v>75</v>
      </c>
      <c r="BB40" s="3" t="s">
        <v>597</v>
      </c>
      <c r="BC40" s="3" t="s">
        <v>598</v>
      </c>
      <c r="BD40" s="3" t="s">
        <v>599</v>
      </c>
    </row>
    <row r="41" spans="1:56" ht="48" customHeight="1" x14ac:dyDescent="0.25">
      <c r="A41" s="7" t="s">
        <v>59</v>
      </c>
      <c r="B41" s="2" t="s">
        <v>600</v>
      </c>
      <c r="C41" s="2" t="s">
        <v>601</v>
      </c>
      <c r="D41" s="2" t="s">
        <v>602</v>
      </c>
      <c r="F41" s="3" t="s">
        <v>59</v>
      </c>
      <c r="G41" s="3" t="s">
        <v>60</v>
      </c>
      <c r="H41" s="3" t="s">
        <v>59</v>
      </c>
      <c r="I41" s="3" t="s">
        <v>59</v>
      </c>
      <c r="J41" s="3" t="s">
        <v>61</v>
      </c>
      <c r="L41" s="2" t="s">
        <v>603</v>
      </c>
      <c r="M41" s="3" t="s">
        <v>604</v>
      </c>
      <c r="O41" s="3" t="s">
        <v>64</v>
      </c>
      <c r="P41" s="3" t="s">
        <v>191</v>
      </c>
      <c r="Q41" s="2" t="s">
        <v>605</v>
      </c>
      <c r="R41" s="3" t="s">
        <v>67</v>
      </c>
      <c r="S41" s="4">
        <v>11</v>
      </c>
      <c r="T41" s="4">
        <v>11</v>
      </c>
      <c r="U41" s="5" t="s">
        <v>606</v>
      </c>
      <c r="V41" s="5" t="s">
        <v>606</v>
      </c>
      <c r="W41" s="5" t="s">
        <v>607</v>
      </c>
      <c r="X41" s="5" t="s">
        <v>607</v>
      </c>
      <c r="Y41" s="4">
        <v>311</v>
      </c>
      <c r="Z41" s="4">
        <v>244</v>
      </c>
      <c r="AA41" s="4">
        <v>265</v>
      </c>
      <c r="AB41" s="4">
        <v>1</v>
      </c>
      <c r="AC41" s="4">
        <v>1</v>
      </c>
      <c r="AD41" s="4">
        <v>10</v>
      </c>
      <c r="AE41" s="4">
        <v>10</v>
      </c>
      <c r="AF41" s="4">
        <v>7</v>
      </c>
      <c r="AG41" s="4">
        <v>7</v>
      </c>
      <c r="AH41" s="4">
        <v>2</v>
      </c>
      <c r="AI41" s="4">
        <v>2</v>
      </c>
      <c r="AJ41" s="4">
        <v>3</v>
      </c>
      <c r="AK41" s="4">
        <v>3</v>
      </c>
      <c r="AL41" s="4">
        <v>0</v>
      </c>
      <c r="AM41" s="4">
        <v>0</v>
      </c>
      <c r="AN41" s="4">
        <v>0</v>
      </c>
      <c r="AO41" s="4">
        <v>0</v>
      </c>
      <c r="AP41" s="3" t="s">
        <v>59</v>
      </c>
      <c r="AQ41" s="3" t="s">
        <v>59</v>
      </c>
      <c r="AS41" s="6" t="str">
        <f>HYPERLINK("https://creighton-primo.hosted.exlibrisgroup.com/primo-explore/search?tab=default_tab&amp;search_scope=EVERYTHING&amp;vid=01CRU&amp;lang=en_US&amp;offset=0&amp;query=any,contains,991002489139702656","Catalog Record")</f>
        <v>Catalog Record</v>
      </c>
      <c r="AT41" s="6" t="str">
        <f>HYPERLINK("http://www.worldcat.org/oclc/32392879","WorldCat Record")</f>
        <v>WorldCat Record</v>
      </c>
      <c r="AU41" s="3" t="s">
        <v>608</v>
      </c>
      <c r="AV41" s="3" t="s">
        <v>609</v>
      </c>
      <c r="AW41" s="3" t="s">
        <v>610</v>
      </c>
      <c r="AX41" s="3" t="s">
        <v>610</v>
      </c>
      <c r="AY41" s="3" t="s">
        <v>611</v>
      </c>
      <c r="AZ41" s="3" t="s">
        <v>75</v>
      </c>
      <c r="BB41" s="3" t="s">
        <v>612</v>
      </c>
      <c r="BC41" s="3" t="s">
        <v>613</v>
      </c>
      <c r="BD41" s="3" t="s">
        <v>614</v>
      </c>
    </row>
    <row r="42" spans="1:56" ht="48" customHeight="1" x14ac:dyDescent="0.25">
      <c r="A42" s="7" t="s">
        <v>59</v>
      </c>
      <c r="B42" s="2" t="s">
        <v>615</v>
      </c>
      <c r="C42" s="2" t="s">
        <v>616</v>
      </c>
      <c r="D42" s="2" t="s">
        <v>617</v>
      </c>
      <c r="F42" s="3" t="s">
        <v>59</v>
      </c>
      <c r="G42" s="3" t="s">
        <v>60</v>
      </c>
      <c r="H42" s="3" t="s">
        <v>59</v>
      </c>
      <c r="I42" s="3" t="s">
        <v>59</v>
      </c>
      <c r="J42" s="3" t="s">
        <v>61</v>
      </c>
      <c r="K42" s="2" t="s">
        <v>618</v>
      </c>
      <c r="L42" s="2" t="s">
        <v>619</v>
      </c>
      <c r="M42" s="3" t="s">
        <v>485</v>
      </c>
      <c r="O42" s="3" t="s">
        <v>64</v>
      </c>
      <c r="P42" s="3" t="s">
        <v>130</v>
      </c>
      <c r="R42" s="3" t="s">
        <v>67</v>
      </c>
      <c r="S42" s="4">
        <v>10</v>
      </c>
      <c r="T42" s="4">
        <v>10</v>
      </c>
      <c r="U42" s="5" t="s">
        <v>620</v>
      </c>
      <c r="V42" s="5" t="s">
        <v>620</v>
      </c>
      <c r="W42" s="5" t="s">
        <v>621</v>
      </c>
      <c r="X42" s="5" t="s">
        <v>621</v>
      </c>
      <c r="Y42" s="4">
        <v>294</v>
      </c>
      <c r="Z42" s="4">
        <v>279</v>
      </c>
      <c r="AA42" s="4">
        <v>288</v>
      </c>
      <c r="AB42" s="4">
        <v>5</v>
      </c>
      <c r="AC42" s="4">
        <v>5</v>
      </c>
      <c r="AD42" s="4">
        <v>6</v>
      </c>
      <c r="AE42" s="4">
        <v>6</v>
      </c>
      <c r="AF42" s="4">
        <v>1</v>
      </c>
      <c r="AG42" s="4">
        <v>1</v>
      </c>
      <c r="AH42" s="4">
        <v>0</v>
      </c>
      <c r="AI42" s="4">
        <v>0</v>
      </c>
      <c r="AJ42" s="4">
        <v>1</v>
      </c>
      <c r="AK42" s="4">
        <v>1</v>
      </c>
      <c r="AL42" s="4">
        <v>4</v>
      </c>
      <c r="AM42" s="4">
        <v>4</v>
      </c>
      <c r="AN42" s="4">
        <v>0</v>
      </c>
      <c r="AO42" s="4">
        <v>0</v>
      </c>
      <c r="AP42" s="3" t="s">
        <v>59</v>
      </c>
      <c r="AQ42" s="3" t="s">
        <v>59</v>
      </c>
      <c r="AS42" s="6" t="str">
        <f>HYPERLINK("https://creighton-primo.hosted.exlibrisgroup.com/primo-explore/search?tab=default_tab&amp;search_scope=EVERYTHING&amp;vid=01CRU&amp;lang=en_US&amp;offset=0&amp;query=any,contains,991004687479702656","Catalog Record")</f>
        <v>Catalog Record</v>
      </c>
      <c r="AT42" s="6" t="str">
        <f>HYPERLINK("http://www.worldcat.org/oclc/4593377","WorldCat Record")</f>
        <v>WorldCat Record</v>
      </c>
      <c r="AU42" s="3" t="s">
        <v>622</v>
      </c>
      <c r="AV42" s="3" t="s">
        <v>623</v>
      </c>
      <c r="AW42" s="3" t="s">
        <v>624</v>
      </c>
      <c r="AX42" s="3" t="s">
        <v>624</v>
      </c>
      <c r="AY42" s="3" t="s">
        <v>625</v>
      </c>
      <c r="AZ42" s="3" t="s">
        <v>75</v>
      </c>
      <c r="BB42" s="3" t="s">
        <v>626</v>
      </c>
      <c r="BC42" s="3" t="s">
        <v>627</v>
      </c>
      <c r="BD42" s="3" t="s">
        <v>628</v>
      </c>
    </row>
    <row r="43" spans="1:56" ht="48" customHeight="1" x14ac:dyDescent="0.25">
      <c r="A43" s="7" t="s">
        <v>59</v>
      </c>
      <c r="B43" s="2" t="s">
        <v>629</v>
      </c>
      <c r="C43" s="2" t="s">
        <v>630</v>
      </c>
      <c r="D43" s="2" t="s">
        <v>631</v>
      </c>
      <c r="F43" s="3" t="s">
        <v>59</v>
      </c>
      <c r="G43" s="3" t="s">
        <v>60</v>
      </c>
      <c r="H43" s="3" t="s">
        <v>59</v>
      </c>
      <c r="I43" s="3" t="s">
        <v>59</v>
      </c>
      <c r="J43" s="3" t="s">
        <v>61</v>
      </c>
      <c r="K43" s="2" t="s">
        <v>632</v>
      </c>
      <c r="L43" s="2" t="s">
        <v>633</v>
      </c>
      <c r="M43" s="3" t="s">
        <v>113</v>
      </c>
      <c r="O43" s="3" t="s">
        <v>64</v>
      </c>
      <c r="P43" s="3" t="s">
        <v>264</v>
      </c>
      <c r="R43" s="3" t="s">
        <v>67</v>
      </c>
      <c r="S43" s="4">
        <v>16</v>
      </c>
      <c r="T43" s="4">
        <v>16</v>
      </c>
      <c r="U43" s="5" t="s">
        <v>606</v>
      </c>
      <c r="V43" s="5" t="s">
        <v>606</v>
      </c>
      <c r="W43" s="5" t="s">
        <v>634</v>
      </c>
      <c r="X43" s="5" t="s">
        <v>634</v>
      </c>
      <c r="Y43" s="4">
        <v>78</v>
      </c>
      <c r="Z43" s="4">
        <v>61</v>
      </c>
      <c r="AA43" s="4">
        <v>62</v>
      </c>
      <c r="AB43" s="4">
        <v>2</v>
      </c>
      <c r="AC43" s="4">
        <v>2</v>
      </c>
      <c r="AD43" s="4">
        <v>1</v>
      </c>
      <c r="AE43" s="4">
        <v>1</v>
      </c>
      <c r="AF43" s="4">
        <v>0</v>
      </c>
      <c r="AG43" s="4">
        <v>0</v>
      </c>
      <c r="AH43" s="4">
        <v>0</v>
      </c>
      <c r="AI43" s="4">
        <v>0</v>
      </c>
      <c r="AJ43" s="4">
        <v>0</v>
      </c>
      <c r="AK43" s="4">
        <v>0</v>
      </c>
      <c r="AL43" s="4">
        <v>1</v>
      </c>
      <c r="AM43" s="4">
        <v>1</v>
      </c>
      <c r="AN43" s="4">
        <v>0</v>
      </c>
      <c r="AO43" s="4">
        <v>0</v>
      </c>
      <c r="AP43" s="3" t="s">
        <v>59</v>
      </c>
      <c r="AQ43" s="3" t="s">
        <v>70</v>
      </c>
      <c r="AR43" s="6" t="str">
        <f>HYPERLINK("http://catalog.hathitrust.org/Record/009148534","HathiTrust Record")</f>
        <v>HathiTrust Record</v>
      </c>
      <c r="AS43" s="6" t="str">
        <f>HYPERLINK("https://creighton-primo.hosted.exlibrisgroup.com/primo-explore/search?tab=default_tab&amp;search_scope=EVERYTHING&amp;vid=01CRU&amp;lang=en_US&amp;offset=0&amp;query=any,contains,991000978339702656","Catalog Record")</f>
        <v>Catalog Record</v>
      </c>
      <c r="AT43" s="6" t="str">
        <f>HYPERLINK("http://www.worldcat.org/oclc/15017389","WorldCat Record")</f>
        <v>WorldCat Record</v>
      </c>
      <c r="AU43" s="3" t="s">
        <v>635</v>
      </c>
      <c r="AV43" s="3" t="s">
        <v>636</v>
      </c>
      <c r="AW43" s="3" t="s">
        <v>637</v>
      </c>
      <c r="AX43" s="3" t="s">
        <v>637</v>
      </c>
      <c r="AY43" s="3" t="s">
        <v>638</v>
      </c>
      <c r="AZ43" s="3" t="s">
        <v>75</v>
      </c>
      <c r="BB43" s="3" t="s">
        <v>639</v>
      </c>
      <c r="BC43" s="3" t="s">
        <v>640</v>
      </c>
      <c r="BD43" s="3" t="s">
        <v>641</v>
      </c>
    </row>
    <row r="44" spans="1:56" ht="48" customHeight="1" x14ac:dyDescent="0.25">
      <c r="A44" s="7" t="s">
        <v>59</v>
      </c>
      <c r="B44" s="2" t="s">
        <v>642</v>
      </c>
      <c r="C44" s="2" t="s">
        <v>643</v>
      </c>
      <c r="D44" s="2" t="s">
        <v>644</v>
      </c>
      <c r="F44" s="3" t="s">
        <v>59</v>
      </c>
      <c r="G44" s="3" t="s">
        <v>60</v>
      </c>
      <c r="H44" s="3" t="s">
        <v>59</v>
      </c>
      <c r="I44" s="3" t="s">
        <v>59</v>
      </c>
      <c r="J44" s="3" t="s">
        <v>61</v>
      </c>
      <c r="K44" s="2" t="s">
        <v>645</v>
      </c>
      <c r="L44" s="2" t="s">
        <v>646</v>
      </c>
      <c r="M44" s="3" t="s">
        <v>535</v>
      </c>
      <c r="N44" s="2" t="s">
        <v>647</v>
      </c>
      <c r="O44" s="3" t="s">
        <v>64</v>
      </c>
      <c r="P44" s="3" t="s">
        <v>130</v>
      </c>
      <c r="R44" s="3" t="s">
        <v>67</v>
      </c>
      <c r="S44" s="4">
        <v>3</v>
      </c>
      <c r="T44" s="4">
        <v>3</v>
      </c>
      <c r="U44" s="5" t="s">
        <v>648</v>
      </c>
      <c r="V44" s="5" t="s">
        <v>648</v>
      </c>
      <c r="W44" s="5" t="s">
        <v>649</v>
      </c>
      <c r="X44" s="5" t="s">
        <v>649</v>
      </c>
      <c r="Y44" s="4">
        <v>301</v>
      </c>
      <c r="Z44" s="4">
        <v>258</v>
      </c>
      <c r="AA44" s="4">
        <v>482</v>
      </c>
      <c r="AB44" s="4">
        <v>3</v>
      </c>
      <c r="AC44" s="4">
        <v>5</v>
      </c>
      <c r="AD44" s="4">
        <v>11</v>
      </c>
      <c r="AE44" s="4">
        <v>22</v>
      </c>
      <c r="AF44" s="4">
        <v>4</v>
      </c>
      <c r="AG44" s="4">
        <v>7</v>
      </c>
      <c r="AH44" s="4">
        <v>1</v>
      </c>
      <c r="AI44" s="4">
        <v>3</v>
      </c>
      <c r="AJ44" s="4">
        <v>6</v>
      </c>
      <c r="AK44" s="4">
        <v>11</v>
      </c>
      <c r="AL44" s="4">
        <v>2</v>
      </c>
      <c r="AM44" s="4">
        <v>4</v>
      </c>
      <c r="AN44" s="4">
        <v>0</v>
      </c>
      <c r="AO44" s="4">
        <v>0</v>
      </c>
      <c r="AP44" s="3" t="s">
        <v>59</v>
      </c>
      <c r="AQ44" s="3" t="s">
        <v>70</v>
      </c>
      <c r="AR44" s="6" t="str">
        <f>HYPERLINK("http://catalog.hathitrust.org/Record/000662724","HathiTrust Record")</f>
        <v>HathiTrust Record</v>
      </c>
      <c r="AS44" s="6" t="str">
        <f>HYPERLINK("https://creighton-primo.hosted.exlibrisgroup.com/primo-explore/search?tab=default_tab&amp;search_scope=EVERYTHING&amp;vid=01CRU&amp;lang=en_US&amp;offset=0&amp;query=any,contains,991002870449702656","Catalog Record")</f>
        <v>Catalog Record</v>
      </c>
      <c r="AT44" s="6" t="str">
        <f>HYPERLINK("http://www.worldcat.org/oclc/498783","WorldCat Record")</f>
        <v>WorldCat Record</v>
      </c>
      <c r="AU44" s="3" t="s">
        <v>650</v>
      </c>
      <c r="AV44" s="3" t="s">
        <v>651</v>
      </c>
      <c r="AW44" s="3" t="s">
        <v>652</v>
      </c>
      <c r="AX44" s="3" t="s">
        <v>652</v>
      </c>
      <c r="AY44" s="3" t="s">
        <v>653</v>
      </c>
      <c r="AZ44" s="3" t="s">
        <v>75</v>
      </c>
      <c r="BC44" s="3" t="s">
        <v>654</v>
      </c>
      <c r="BD44" s="3" t="s">
        <v>655</v>
      </c>
    </row>
    <row r="45" spans="1:56" ht="48" customHeight="1" x14ac:dyDescent="0.25">
      <c r="A45" s="7" t="s">
        <v>59</v>
      </c>
      <c r="B45" s="2" t="s">
        <v>656</v>
      </c>
      <c r="C45" s="2" t="s">
        <v>657</v>
      </c>
      <c r="D45" s="2" t="s">
        <v>658</v>
      </c>
      <c r="F45" s="3" t="s">
        <v>59</v>
      </c>
      <c r="G45" s="3" t="s">
        <v>60</v>
      </c>
      <c r="H45" s="3" t="s">
        <v>59</v>
      </c>
      <c r="I45" s="3" t="s">
        <v>59</v>
      </c>
      <c r="J45" s="3" t="s">
        <v>61</v>
      </c>
      <c r="K45" s="2" t="s">
        <v>659</v>
      </c>
      <c r="L45" s="2" t="s">
        <v>660</v>
      </c>
      <c r="M45" s="3" t="s">
        <v>590</v>
      </c>
      <c r="N45" s="2" t="s">
        <v>114</v>
      </c>
      <c r="O45" s="3" t="s">
        <v>64</v>
      </c>
      <c r="P45" s="3" t="s">
        <v>661</v>
      </c>
      <c r="R45" s="3" t="s">
        <v>67</v>
      </c>
      <c r="S45" s="4">
        <v>19</v>
      </c>
      <c r="T45" s="4">
        <v>19</v>
      </c>
      <c r="U45" s="5" t="s">
        <v>606</v>
      </c>
      <c r="V45" s="5" t="s">
        <v>606</v>
      </c>
      <c r="W45" s="5" t="s">
        <v>662</v>
      </c>
      <c r="X45" s="5" t="s">
        <v>662</v>
      </c>
      <c r="Y45" s="4">
        <v>179</v>
      </c>
      <c r="Z45" s="4">
        <v>153</v>
      </c>
      <c r="AA45" s="4">
        <v>454</v>
      </c>
      <c r="AB45" s="4">
        <v>3</v>
      </c>
      <c r="AC45" s="4">
        <v>5</v>
      </c>
      <c r="AD45" s="4">
        <v>6</v>
      </c>
      <c r="AE45" s="4">
        <v>15</v>
      </c>
      <c r="AF45" s="4">
        <v>3</v>
      </c>
      <c r="AG45" s="4">
        <v>8</v>
      </c>
      <c r="AH45" s="4">
        <v>0</v>
      </c>
      <c r="AI45" s="4">
        <v>2</v>
      </c>
      <c r="AJ45" s="4">
        <v>1</v>
      </c>
      <c r="AK45" s="4">
        <v>4</v>
      </c>
      <c r="AL45" s="4">
        <v>2</v>
      </c>
      <c r="AM45" s="4">
        <v>4</v>
      </c>
      <c r="AN45" s="4">
        <v>0</v>
      </c>
      <c r="AO45" s="4">
        <v>0</v>
      </c>
      <c r="AP45" s="3" t="s">
        <v>59</v>
      </c>
      <c r="AQ45" s="3" t="s">
        <v>59</v>
      </c>
      <c r="AS45" s="6" t="str">
        <f>HYPERLINK("https://creighton-primo.hosted.exlibrisgroup.com/primo-explore/search?tab=default_tab&amp;search_scope=EVERYTHING&amp;vid=01CRU&amp;lang=en_US&amp;offset=0&amp;query=any,contains,991001278949702656","Catalog Record")</f>
        <v>Catalog Record</v>
      </c>
      <c r="AT45" s="6" t="str">
        <f>HYPERLINK("http://www.worldcat.org/oclc/17893920","WorldCat Record")</f>
        <v>WorldCat Record</v>
      </c>
      <c r="AU45" s="3" t="s">
        <v>663</v>
      </c>
      <c r="AV45" s="3" t="s">
        <v>664</v>
      </c>
      <c r="AW45" s="3" t="s">
        <v>665</v>
      </c>
      <c r="AX45" s="3" t="s">
        <v>665</v>
      </c>
      <c r="AY45" s="3" t="s">
        <v>666</v>
      </c>
      <c r="AZ45" s="3" t="s">
        <v>75</v>
      </c>
      <c r="BB45" s="3" t="s">
        <v>667</v>
      </c>
      <c r="BC45" s="3" t="s">
        <v>668</v>
      </c>
      <c r="BD45" s="3" t="s">
        <v>669</v>
      </c>
    </row>
    <row r="46" spans="1:56" ht="48" customHeight="1" x14ac:dyDescent="0.25">
      <c r="A46" s="7" t="s">
        <v>59</v>
      </c>
      <c r="B46" s="2" t="s">
        <v>670</v>
      </c>
      <c r="C46" s="2" t="s">
        <v>671</v>
      </c>
      <c r="D46" s="2" t="s">
        <v>672</v>
      </c>
      <c r="F46" s="3" t="s">
        <v>59</v>
      </c>
      <c r="G46" s="3" t="s">
        <v>60</v>
      </c>
      <c r="H46" s="3" t="s">
        <v>59</v>
      </c>
      <c r="I46" s="3" t="s">
        <v>59</v>
      </c>
      <c r="J46" s="3" t="s">
        <v>61</v>
      </c>
      <c r="K46" s="2" t="s">
        <v>659</v>
      </c>
      <c r="L46" s="2" t="s">
        <v>673</v>
      </c>
      <c r="M46" s="3" t="s">
        <v>549</v>
      </c>
      <c r="O46" s="3" t="s">
        <v>64</v>
      </c>
      <c r="P46" s="3" t="s">
        <v>674</v>
      </c>
      <c r="R46" s="3" t="s">
        <v>67</v>
      </c>
      <c r="S46" s="4">
        <v>9</v>
      </c>
      <c r="T46" s="4">
        <v>9</v>
      </c>
      <c r="U46" s="5" t="s">
        <v>675</v>
      </c>
      <c r="V46" s="5" t="s">
        <v>675</v>
      </c>
      <c r="W46" s="5" t="s">
        <v>148</v>
      </c>
      <c r="X46" s="5" t="s">
        <v>148</v>
      </c>
      <c r="Y46" s="4">
        <v>462</v>
      </c>
      <c r="Z46" s="4">
        <v>401</v>
      </c>
      <c r="AA46" s="4">
        <v>544</v>
      </c>
      <c r="AB46" s="4">
        <v>3</v>
      </c>
      <c r="AC46" s="4">
        <v>5</v>
      </c>
      <c r="AD46" s="4">
        <v>18</v>
      </c>
      <c r="AE46" s="4">
        <v>21</v>
      </c>
      <c r="AF46" s="4">
        <v>11</v>
      </c>
      <c r="AG46" s="4">
        <v>12</v>
      </c>
      <c r="AH46" s="4">
        <v>3</v>
      </c>
      <c r="AI46" s="4">
        <v>3</v>
      </c>
      <c r="AJ46" s="4">
        <v>6</v>
      </c>
      <c r="AK46" s="4">
        <v>7</v>
      </c>
      <c r="AL46" s="4">
        <v>2</v>
      </c>
      <c r="AM46" s="4">
        <v>4</v>
      </c>
      <c r="AN46" s="4">
        <v>0</v>
      </c>
      <c r="AO46" s="4">
        <v>0</v>
      </c>
      <c r="AP46" s="3" t="s">
        <v>59</v>
      </c>
      <c r="AQ46" s="3" t="s">
        <v>59</v>
      </c>
      <c r="AS46" s="6" t="str">
        <f>HYPERLINK("https://creighton-primo.hosted.exlibrisgroup.com/primo-explore/search?tab=default_tab&amp;search_scope=EVERYTHING&amp;vid=01CRU&amp;lang=en_US&amp;offset=0&amp;query=any,contains,991003962649702656","Catalog Record")</f>
        <v>Catalog Record</v>
      </c>
      <c r="AT46" s="6" t="str">
        <f>HYPERLINK("http://www.worldcat.org/oclc/1976090","WorldCat Record")</f>
        <v>WorldCat Record</v>
      </c>
      <c r="AU46" s="3" t="s">
        <v>676</v>
      </c>
      <c r="AV46" s="3" t="s">
        <v>677</v>
      </c>
      <c r="AW46" s="3" t="s">
        <v>678</v>
      </c>
      <c r="AX46" s="3" t="s">
        <v>678</v>
      </c>
      <c r="AY46" s="3" t="s">
        <v>679</v>
      </c>
      <c r="AZ46" s="3" t="s">
        <v>75</v>
      </c>
      <c r="BB46" s="3" t="s">
        <v>680</v>
      </c>
      <c r="BC46" s="3" t="s">
        <v>681</v>
      </c>
      <c r="BD46" s="3" t="s">
        <v>682</v>
      </c>
    </row>
    <row r="47" spans="1:56" ht="48" customHeight="1" x14ac:dyDescent="0.25">
      <c r="A47" s="7" t="s">
        <v>59</v>
      </c>
      <c r="B47" s="2" t="s">
        <v>683</v>
      </c>
      <c r="C47" s="2" t="s">
        <v>684</v>
      </c>
      <c r="D47" s="2" t="s">
        <v>685</v>
      </c>
      <c r="E47" s="3" t="s">
        <v>159</v>
      </c>
      <c r="F47" s="3" t="s">
        <v>59</v>
      </c>
      <c r="G47" s="3" t="s">
        <v>60</v>
      </c>
      <c r="H47" s="3" t="s">
        <v>70</v>
      </c>
      <c r="I47" s="3" t="s">
        <v>59</v>
      </c>
      <c r="J47" s="3" t="s">
        <v>61</v>
      </c>
      <c r="L47" s="2" t="s">
        <v>686</v>
      </c>
      <c r="M47" s="3" t="s">
        <v>485</v>
      </c>
      <c r="O47" s="3" t="s">
        <v>64</v>
      </c>
      <c r="P47" s="3" t="s">
        <v>130</v>
      </c>
      <c r="Q47" s="2" t="s">
        <v>687</v>
      </c>
      <c r="R47" s="3" t="s">
        <v>67</v>
      </c>
      <c r="S47" s="4">
        <v>10</v>
      </c>
      <c r="T47" s="4">
        <v>10</v>
      </c>
      <c r="U47" s="5" t="s">
        <v>521</v>
      </c>
      <c r="V47" s="5" t="s">
        <v>521</v>
      </c>
      <c r="W47" s="5" t="s">
        <v>688</v>
      </c>
      <c r="X47" s="5" t="s">
        <v>688</v>
      </c>
      <c r="Y47" s="4">
        <v>403</v>
      </c>
      <c r="Z47" s="4">
        <v>319</v>
      </c>
      <c r="AA47" s="4">
        <v>342</v>
      </c>
      <c r="AB47" s="4">
        <v>2</v>
      </c>
      <c r="AC47" s="4">
        <v>2</v>
      </c>
      <c r="AD47" s="4">
        <v>12</v>
      </c>
      <c r="AE47" s="4">
        <v>12</v>
      </c>
      <c r="AF47" s="4">
        <v>4</v>
      </c>
      <c r="AG47" s="4">
        <v>4</v>
      </c>
      <c r="AH47" s="4">
        <v>3</v>
      </c>
      <c r="AI47" s="4">
        <v>3</v>
      </c>
      <c r="AJ47" s="4">
        <v>9</v>
      </c>
      <c r="AK47" s="4">
        <v>9</v>
      </c>
      <c r="AL47" s="4">
        <v>0</v>
      </c>
      <c r="AM47" s="4">
        <v>0</v>
      </c>
      <c r="AN47" s="4">
        <v>0</v>
      </c>
      <c r="AO47" s="4">
        <v>0</v>
      </c>
      <c r="AP47" s="3" t="s">
        <v>59</v>
      </c>
      <c r="AQ47" s="3" t="s">
        <v>70</v>
      </c>
      <c r="AR47" s="6" t="str">
        <f>HYPERLINK("http://catalog.hathitrust.org/Record/000715809","HathiTrust Record")</f>
        <v>HathiTrust Record</v>
      </c>
      <c r="AS47" s="6" t="str">
        <f>HYPERLINK("https://creighton-primo.hosted.exlibrisgroup.com/primo-explore/search?tab=default_tab&amp;search_scope=EVERYTHING&amp;vid=01CRU&amp;lang=en_US&amp;offset=0&amp;query=any,contains,991001775229702656","Catalog Record")</f>
        <v>Catalog Record</v>
      </c>
      <c r="AT47" s="6" t="str">
        <f>HYPERLINK("http://www.worldcat.org/oclc/4515950","WorldCat Record")</f>
        <v>WorldCat Record</v>
      </c>
      <c r="AU47" s="3" t="s">
        <v>689</v>
      </c>
      <c r="AV47" s="3" t="s">
        <v>690</v>
      </c>
      <c r="AW47" s="3" t="s">
        <v>691</v>
      </c>
      <c r="AX47" s="3" t="s">
        <v>691</v>
      </c>
      <c r="AY47" s="3" t="s">
        <v>692</v>
      </c>
      <c r="AZ47" s="3" t="s">
        <v>75</v>
      </c>
      <c r="BB47" s="3" t="s">
        <v>693</v>
      </c>
      <c r="BC47" s="3" t="s">
        <v>694</v>
      </c>
      <c r="BD47" s="3" t="s">
        <v>695</v>
      </c>
    </row>
    <row r="48" spans="1:56" ht="48" customHeight="1" x14ac:dyDescent="0.25">
      <c r="A48" s="7" t="s">
        <v>59</v>
      </c>
      <c r="B48" s="2" t="s">
        <v>696</v>
      </c>
      <c r="C48" s="2" t="s">
        <v>697</v>
      </c>
      <c r="D48" s="2" t="s">
        <v>698</v>
      </c>
      <c r="F48" s="3" t="s">
        <v>59</v>
      </c>
      <c r="G48" s="3" t="s">
        <v>60</v>
      </c>
      <c r="H48" s="3" t="s">
        <v>59</v>
      </c>
      <c r="I48" s="3" t="s">
        <v>59</v>
      </c>
      <c r="J48" s="3" t="s">
        <v>61</v>
      </c>
      <c r="K48" s="2" t="s">
        <v>699</v>
      </c>
      <c r="L48" s="2" t="s">
        <v>700</v>
      </c>
      <c r="M48" s="3" t="s">
        <v>604</v>
      </c>
      <c r="N48" s="2" t="s">
        <v>114</v>
      </c>
      <c r="O48" s="3" t="s">
        <v>64</v>
      </c>
      <c r="P48" s="3" t="s">
        <v>84</v>
      </c>
      <c r="R48" s="3" t="s">
        <v>67</v>
      </c>
      <c r="S48" s="4">
        <v>5</v>
      </c>
      <c r="T48" s="4">
        <v>5</v>
      </c>
      <c r="U48" s="5" t="s">
        <v>701</v>
      </c>
      <c r="V48" s="5" t="s">
        <v>701</v>
      </c>
      <c r="W48" s="5" t="s">
        <v>702</v>
      </c>
      <c r="X48" s="5" t="s">
        <v>702</v>
      </c>
      <c r="Y48" s="4">
        <v>289</v>
      </c>
      <c r="Z48" s="4">
        <v>194</v>
      </c>
      <c r="AA48" s="4">
        <v>448</v>
      </c>
      <c r="AB48" s="4">
        <v>1</v>
      </c>
      <c r="AC48" s="4">
        <v>5</v>
      </c>
      <c r="AD48" s="4">
        <v>6</v>
      </c>
      <c r="AE48" s="4">
        <v>25</v>
      </c>
      <c r="AF48" s="4">
        <v>3</v>
      </c>
      <c r="AG48" s="4">
        <v>9</v>
      </c>
      <c r="AH48" s="4">
        <v>2</v>
      </c>
      <c r="AI48" s="4">
        <v>6</v>
      </c>
      <c r="AJ48" s="4">
        <v>2</v>
      </c>
      <c r="AK48" s="4">
        <v>12</v>
      </c>
      <c r="AL48" s="4">
        <v>0</v>
      </c>
      <c r="AM48" s="4">
        <v>4</v>
      </c>
      <c r="AN48" s="4">
        <v>0</v>
      </c>
      <c r="AO48" s="4">
        <v>0</v>
      </c>
      <c r="AP48" s="3" t="s">
        <v>59</v>
      </c>
      <c r="AQ48" s="3" t="s">
        <v>59</v>
      </c>
      <c r="AS48" s="6" t="str">
        <f>HYPERLINK("https://creighton-primo.hosted.exlibrisgroup.com/primo-explore/search?tab=default_tab&amp;search_scope=EVERYTHING&amp;vid=01CRU&amp;lang=en_US&amp;offset=0&amp;query=any,contains,991002478629702656","Catalog Record")</f>
        <v>Catalog Record</v>
      </c>
      <c r="AT48" s="6" t="str">
        <f>HYPERLINK("http://www.worldcat.org/oclc/32273338","WorldCat Record")</f>
        <v>WorldCat Record</v>
      </c>
      <c r="AU48" s="3" t="s">
        <v>703</v>
      </c>
      <c r="AV48" s="3" t="s">
        <v>704</v>
      </c>
      <c r="AW48" s="3" t="s">
        <v>705</v>
      </c>
      <c r="AX48" s="3" t="s">
        <v>705</v>
      </c>
      <c r="AY48" s="3" t="s">
        <v>706</v>
      </c>
      <c r="AZ48" s="3" t="s">
        <v>75</v>
      </c>
      <c r="BB48" s="3" t="s">
        <v>707</v>
      </c>
      <c r="BC48" s="3" t="s">
        <v>708</v>
      </c>
      <c r="BD48" s="3" t="s">
        <v>709</v>
      </c>
    </row>
    <row r="49" spans="1:56" ht="48" customHeight="1" x14ac:dyDescent="0.25">
      <c r="A49" s="7" t="s">
        <v>59</v>
      </c>
      <c r="B49" s="2" t="s">
        <v>710</v>
      </c>
      <c r="C49" s="2" t="s">
        <v>711</v>
      </c>
      <c r="D49" s="2" t="s">
        <v>712</v>
      </c>
      <c r="E49" s="3" t="s">
        <v>713</v>
      </c>
      <c r="F49" s="3" t="s">
        <v>70</v>
      </c>
      <c r="G49" s="3" t="s">
        <v>60</v>
      </c>
      <c r="H49" s="3" t="s">
        <v>59</v>
      </c>
      <c r="I49" s="3" t="s">
        <v>59</v>
      </c>
      <c r="J49" s="3" t="s">
        <v>61</v>
      </c>
      <c r="L49" s="2" t="s">
        <v>714</v>
      </c>
      <c r="M49" s="3" t="s">
        <v>113</v>
      </c>
      <c r="O49" s="3" t="s">
        <v>64</v>
      </c>
      <c r="P49" s="3" t="s">
        <v>176</v>
      </c>
      <c r="R49" s="3" t="s">
        <v>67</v>
      </c>
      <c r="S49" s="4">
        <v>2</v>
      </c>
      <c r="T49" s="4">
        <v>2</v>
      </c>
      <c r="U49" s="5" t="s">
        <v>715</v>
      </c>
      <c r="V49" s="5" t="s">
        <v>715</v>
      </c>
      <c r="W49" s="5" t="s">
        <v>148</v>
      </c>
      <c r="X49" s="5" t="s">
        <v>148</v>
      </c>
      <c r="Y49" s="4">
        <v>235</v>
      </c>
      <c r="Z49" s="4">
        <v>184</v>
      </c>
      <c r="AA49" s="4">
        <v>227</v>
      </c>
      <c r="AB49" s="4">
        <v>3</v>
      </c>
      <c r="AC49" s="4">
        <v>3</v>
      </c>
      <c r="AD49" s="4">
        <v>6</v>
      </c>
      <c r="AE49" s="4">
        <v>9</v>
      </c>
      <c r="AF49" s="4">
        <v>3</v>
      </c>
      <c r="AG49" s="4">
        <v>5</v>
      </c>
      <c r="AH49" s="4">
        <v>1</v>
      </c>
      <c r="AI49" s="4">
        <v>3</v>
      </c>
      <c r="AJ49" s="4">
        <v>2</v>
      </c>
      <c r="AK49" s="4">
        <v>2</v>
      </c>
      <c r="AL49" s="4">
        <v>2</v>
      </c>
      <c r="AM49" s="4">
        <v>2</v>
      </c>
      <c r="AN49" s="4">
        <v>0</v>
      </c>
      <c r="AO49" s="4">
        <v>0</v>
      </c>
      <c r="AP49" s="3" t="s">
        <v>59</v>
      </c>
      <c r="AQ49" s="3" t="s">
        <v>70</v>
      </c>
      <c r="AR49" s="6" t="str">
        <f>HYPERLINK("http://catalog.hathitrust.org/Record/000843745","HathiTrust Record")</f>
        <v>HathiTrust Record</v>
      </c>
      <c r="AS49" s="6" t="str">
        <f>HYPERLINK("https://creighton-primo.hosted.exlibrisgroup.com/primo-explore/search?tab=default_tab&amp;search_scope=EVERYTHING&amp;vid=01CRU&amp;lang=en_US&amp;offset=0&amp;query=any,contains,991001028829702656","Catalog Record")</f>
        <v>Catalog Record</v>
      </c>
      <c r="AT49" s="6" t="str">
        <f>HYPERLINK("http://www.worldcat.org/oclc/15489385","WorldCat Record")</f>
        <v>WorldCat Record</v>
      </c>
      <c r="AU49" s="3" t="s">
        <v>716</v>
      </c>
      <c r="AV49" s="3" t="s">
        <v>717</v>
      </c>
      <c r="AW49" s="3" t="s">
        <v>718</v>
      </c>
      <c r="AX49" s="3" t="s">
        <v>718</v>
      </c>
      <c r="AY49" s="3" t="s">
        <v>719</v>
      </c>
      <c r="AZ49" s="3" t="s">
        <v>75</v>
      </c>
      <c r="BB49" s="3" t="s">
        <v>720</v>
      </c>
      <c r="BC49" s="3" t="s">
        <v>721</v>
      </c>
      <c r="BD49" s="3" t="s">
        <v>722</v>
      </c>
    </row>
    <row r="50" spans="1:56" ht="48" customHeight="1" x14ac:dyDescent="0.25">
      <c r="A50" s="7" t="s">
        <v>59</v>
      </c>
      <c r="B50" s="2" t="s">
        <v>710</v>
      </c>
      <c r="C50" s="2" t="s">
        <v>711</v>
      </c>
      <c r="D50" s="2" t="s">
        <v>712</v>
      </c>
      <c r="E50" s="3" t="s">
        <v>723</v>
      </c>
      <c r="F50" s="3" t="s">
        <v>70</v>
      </c>
      <c r="G50" s="3" t="s">
        <v>60</v>
      </c>
      <c r="H50" s="3" t="s">
        <v>59</v>
      </c>
      <c r="I50" s="3" t="s">
        <v>59</v>
      </c>
      <c r="J50" s="3" t="s">
        <v>61</v>
      </c>
      <c r="L50" s="2" t="s">
        <v>714</v>
      </c>
      <c r="M50" s="3" t="s">
        <v>113</v>
      </c>
      <c r="O50" s="3" t="s">
        <v>64</v>
      </c>
      <c r="P50" s="3" t="s">
        <v>176</v>
      </c>
      <c r="R50" s="3" t="s">
        <v>67</v>
      </c>
      <c r="S50" s="4">
        <v>0</v>
      </c>
      <c r="T50" s="4">
        <v>2</v>
      </c>
      <c r="V50" s="5" t="s">
        <v>715</v>
      </c>
      <c r="W50" s="5" t="s">
        <v>148</v>
      </c>
      <c r="X50" s="5" t="s">
        <v>148</v>
      </c>
      <c r="Y50" s="4">
        <v>235</v>
      </c>
      <c r="Z50" s="4">
        <v>184</v>
      </c>
      <c r="AA50" s="4">
        <v>227</v>
      </c>
      <c r="AB50" s="4">
        <v>3</v>
      </c>
      <c r="AC50" s="4">
        <v>3</v>
      </c>
      <c r="AD50" s="4">
        <v>6</v>
      </c>
      <c r="AE50" s="4">
        <v>9</v>
      </c>
      <c r="AF50" s="4">
        <v>3</v>
      </c>
      <c r="AG50" s="4">
        <v>5</v>
      </c>
      <c r="AH50" s="4">
        <v>1</v>
      </c>
      <c r="AI50" s="4">
        <v>3</v>
      </c>
      <c r="AJ50" s="4">
        <v>2</v>
      </c>
      <c r="AK50" s="4">
        <v>2</v>
      </c>
      <c r="AL50" s="4">
        <v>2</v>
      </c>
      <c r="AM50" s="4">
        <v>2</v>
      </c>
      <c r="AN50" s="4">
        <v>0</v>
      </c>
      <c r="AO50" s="4">
        <v>0</v>
      </c>
      <c r="AP50" s="3" t="s">
        <v>59</v>
      </c>
      <c r="AQ50" s="3" t="s">
        <v>70</v>
      </c>
      <c r="AR50" s="6" t="str">
        <f>HYPERLINK("http://catalog.hathitrust.org/Record/000843745","HathiTrust Record")</f>
        <v>HathiTrust Record</v>
      </c>
      <c r="AS50" s="6" t="str">
        <f>HYPERLINK("https://creighton-primo.hosted.exlibrisgroup.com/primo-explore/search?tab=default_tab&amp;search_scope=EVERYTHING&amp;vid=01CRU&amp;lang=en_US&amp;offset=0&amp;query=any,contains,991001028829702656","Catalog Record")</f>
        <v>Catalog Record</v>
      </c>
      <c r="AT50" s="6" t="str">
        <f>HYPERLINK("http://www.worldcat.org/oclc/15489385","WorldCat Record")</f>
        <v>WorldCat Record</v>
      </c>
      <c r="AU50" s="3" t="s">
        <v>716</v>
      </c>
      <c r="AV50" s="3" t="s">
        <v>717</v>
      </c>
      <c r="AW50" s="3" t="s">
        <v>718</v>
      </c>
      <c r="AX50" s="3" t="s">
        <v>718</v>
      </c>
      <c r="AY50" s="3" t="s">
        <v>719</v>
      </c>
      <c r="AZ50" s="3" t="s">
        <v>75</v>
      </c>
      <c r="BB50" s="3" t="s">
        <v>720</v>
      </c>
      <c r="BC50" s="3" t="s">
        <v>724</v>
      </c>
      <c r="BD50" s="3" t="s">
        <v>725</v>
      </c>
    </row>
    <row r="51" spans="1:56" ht="48" customHeight="1" x14ac:dyDescent="0.25">
      <c r="A51" s="7" t="s">
        <v>59</v>
      </c>
      <c r="B51" s="2" t="s">
        <v>726</v>
      </c>
      <c r="C51" s="2" t="s">
        <v>727</v>
      </c>
      <c r="D51" s="2" t="s">
        <v>728</v>
      </c>
      <c r="F51" s="3" t="s">
        <v>59</v>
      </c>
      <c r="G51" s="3" t="s">
        <v>60</v>
      </c>
      <c r="H51" s="3" t="s">
        <v>59</v>
      </c>
      <c r="I51" s="3" t="s">
        <v>59</v>
      </c>
      <c r="J51" s="3" t="s">
        <v>61</v>
      </c>
      <c r="K51" s="2" t="s">
        <v>729</v>
      </c>
      <c r="L51" s="2" t="s">
        <v>730</v>
      </c>
      <c r="M51" s="3" t="s">
        <v>83</v>
      </c>
      <c r="N51" s="2" t="s">
        <v>731</v>
      </c>
      <c r="O51" s="3" t="s">
        <v>64</v>
      </c>
      <c r="P51" s="3" t="s">
        <v>84</v>
      </c>
      <c r="Q51" s="2" t="s">
        <v>732</v>
      </c>
      <c r="R51" s="3" t="s">
        <v>67</v>
      </c>
      <c r="S51" s="4">
        <v>1</v>
      </c>
      <c r="T51" s="4">
        <v>1</v>
      </c>
      <c r="U51" s="5" t="s">
        <v>733</v>
      </c>
      <c r="V51" s="5" t="s">
        <v>733</v>
      </c>
      <c r="W51" s="5" t="s">
        <v>734</v>
      </c>
      <c r="X51" s="5" t="s">
        <v>734</v>
      </c>
      <c r="Y51" s="4">
        <v>375</v>
      </c>
      <c r="Z51" s="4">
        <v>216</v>
      </c>
      <c r="AA51" s="4">
        <v>230</v>
      </c>
      <c r="AB51" s="4">
        <v>2</v>
      </c>
      <c r="AC51" s="4">
        <v>2</v>
      </c>
      <c r="AD51" s="4">
        <v>11</v>
      </c>
      <c r="AE51" s="4">
        <v>12</v>
      </c>
      <c r="AF51" s="4">
        <v>4</v>
      </c>
      <c r="AG51" s="4">
        <v>5</v>
      </c>
      <c r="AH51" s="4">
        <v>4</v>
      </c>
      <c r="AI51" s="4">
        <v>4</v>
      </c>
      <c r="AJ51" s="4">
        <v>5</v>
      </c>
      <c r="AK51" s="4">
        <v>6</v>
      </c>
      <c r="AL51" s="4">
        <v>1</v>
      </c>
      <c r="AM51" s="4">
        <v>1</v>
      </c>
      <c r="AN51" s="4">
        <v>0</v>
      </c>
      <c r="AO51" s="4">
        <v>0</v>
      </c>
      <c r="AP51" s="3" t="s">
        <v>59</v>
      </c>
      <c r="AQ51" s="3" t="s">
        <v>59</v>
      </c>
      <c r="AS51" s="6" t="str">
        <f>HYPERLINK("https://creighton-primo.hosted.exlibrisgroup.com/primo-explore/search?tab=default_tab&amp;search_scope=EVERYTHING&amp;vid=01CRU&amp;lang=en_US&amp;offset=0&amp;query=any,contains,991003215449702656","Catalog Record")</f>
        <v>Catalog Record</v>
      </c>
      <c r="AT51" s="6" t="str">
        <f>HYPERLINK("http://www.worldcat.org/oclc/36267572","WorldCat Record")</f>
        <v>WorldCat Record</v>
      </c>
      <c r="AU51" s="3" t="s">
        <v>735</v>
      </c>
      <c r="AV51" s="3" t="s">
        <v>736</v>
      </c>
      <c r="AW51" s="3" t="s">
        <v>737</v>
      </c>
      <c r="AX51" s="3" t="s">
        <v>737</v>
      </c>
      <c r="AY51" s="3" t="s">
        <v>738</v>
      </c>
      <c r="AZ51" s="3" t="s">
        <v>75</v>
      </c>
      <c r="BB51" s="3" t="s">
        <v>739</v>
      </c>
      <c r="BC51" s="3" t="s">
        <v>740</v>
      </c>
      <c r="BD51" s="3" t="s">
        <v>741</v>
      </c>
    </row>
    <row r="52" spans="1:56" ht="48" customHeight="1" x14ac:dyDescent="0.25">
      <c r="A52" s="7" t="s">
        <v>59</v>
      </c>
      <c r="B52" s="2" t="s">
        <v>742</v>
      </c>
      <c r="C52" s="2" t="s">
        <v>743</v>
      </c>
      <c r="D52" s="2" t="s">
        <v>744</v>
      </c>
      <c r="F52" s="3" t="s">
        <v>59</v>
      </c>
      <c r="G52" s="3" t="s">
        <v>60</v>
      </c>
      <c r="H52" s="3" t="s">
        <v>59</v>
      </c>
      <c r="I52" s="3" t="s">
        <v>59</v>
      </c>
      <c r="J52" s="3" t="s">
        <v>61</v>
      </c>
      <c r="L52" s="2" t="s">
        <v>745</v>
      </c>
      <c r="M52" s="3" t="s">
        <v>175</v>
      </c>
      <c r="O52" s="3" t="s">
        <v>64</v>
      </c>
      <c r="P52" s="3" t="s">
        <v>191</v>
      </c>
      <c r="Q52" s="2" t="s">
        <v>746</v>
      </c>
      <c r="R52" s="3" t="s">
        <v>67</v>
      </c>
      <c r="S52" s="4">
        <v>6</v>
      </c>
      <c r="T52" s="4">
        <v>6</v>
      </c>
      <c r="U52" s="5" t="s">
        <v>747</v>
      </c>
      <c r="V52" s="5" t="s">
        <v>747</v>
      </c>
      <c r="W52" s="5" t="s">
        <v>748</v>
      </c>
      <c r="X52" s="5" t="s">
        <v>748</v>
      </c>
      <c r="Y52" s="4">
        <v>321</v>
      </c>
      <c r="Z52" s="4">
        <v>250</v>
      </c>
      <c r="AA52" s="4">
        <v>272</v>
      </c>
      <c r="AB52" s="4">
        <v>3</v>
      </c>
      <c r="AC52" s="4">
        <v>3</v>
      </c>
      <c r="AD52" s="4">
        <v>13</v>
      </c>
      <c r="AE52" s="4">
        <v>13</v>
      </c>
      <c r="AF52" s="4">
        <v>5</v>
      </c>
      <c r="AG52" s="4">
        <v>5</v>
      </c>
      <c r="AH52" s="4">
        <v>4</v>
      </c>
      <c r="AI52" s="4">
        <v>4</v>
      </c>
      <c r="AJ52" s="4">
        <v>4</v>
      </c>
      <c r="AK52" s="4">
        <v>4</v>
      </c>
      <c r="AL52" s="4">
        <v>2</v>
      </c>
      <c r="AM52" s="4">
        <v>2</v>
      </c>
      <c r="AN52" s="4">
        <v>0</v>
      </c>
      <c r="AO52" s="4">
        <v>0</v>
      </c>
      <c r="AP52" s="3" t="s">
        <v>59</v>
      </c>
      <c r="AQ52" s="3" t="s">
        <v>59</v>
      </c>
      <c r="AS52" s="6" t="str">
        <f>HYPERLINK("https://creighton-primo.hosted.exlibrisgroup.com/primo-explore/search?tab=default_tab&amp;search_scope=EVERYTHING&amp;vid=01CRU&amp;lang=en_US&amp;offset=0&amp;query=any,contains,991002988519702656","Catalog Record")</f>
        <v>Catalog Record</v>
      </c>
      <c r="AT52" s="6" t="str">
        <f>HYPERLINK("http://www.worldcat.org/oclc/40311445","WorldCat Record")</f>
        <v>WorldCat Record</v>
      </c>
      <c r="AU52" s="3" t="s">
        <v>749</v>
      </c>
      <c r="AV52" s="3" t="s">
        <v>750</v>
      </c>
      <c r="AW52" s="3" t="s">
        <v>751</v>
      </c>
      <c r="AX52" s="3" t="s">
        <v>751</v>
      </c>
      <c r="AY52" s="3" t="s">
        <v>752</v>
      </c>
      <c r="AZ52" s="3" t="s">
        <v>75</v>
      </c>
      <c r="BB52" s="3" t="s">
        <v>753</v>
      </c>
      <c r="BC52" s="3" t="s">
        <v>754</v>
      </c>
      <c r="BD52" s="3" t="s">
        <v>755</v>
      </c>
    </row>
    <row r="53" spans="1:56" ht="48" customHeight="1" x14ac:dyDescent="0.25">
      <c r="A53" s="7" t="s">
        <v>59</v>
      </c>
      <c r="B53" s="2" t="s">
        <v>756</v>
      </c>
      <c r="C53" s="2" t="s">
        <v>757</v>
      </c>
      <c r="D53" s="2" t="s">
        <v>758</v>
      </c>
      <c r="F53" s="3" t="s">
        <v>59</v>
      </c>
      <c r="G53" s="3" t="s">
        <v>60</v>
      </c>
      <c r="H53" s="3" t="s">
        <v>59</v>
      </c>
      <c r="I53" s="3" t="s">
        <v>59</v>
      </c>
      <c r="J53" s="3" t="s">
        <v>61</v>
      </c>
      <c r="K53" s="2" t="s">
        <v>759</v>
      </c>
      <c r="L53" s="2" t="s">
        <v>760</v>
      </c>
      <c r="M53" s="3" t="s">
        <v>98</v>
      </c>
      <c r="O53" s="3" t="s">
        <v>64</v>
      </c>
      <c r="P53" s="3" t="s">
        <v>115</v>
      </c>
      <c r="Q53" s="2" t="s">
        <v>761</v>
      </c>
      <c r="R53" s="3" t="s">
        <v>67</v>
      </c>
      <c r="S53" s="4">
        <v>2</v>
      </c>
      <c r="T53" s="4">
        <v>2</v>
      </c>
      <c r="U53" s="5" t="s">
        <v>762</v>
      </c>
      <c r="V53" s="5" t="s">
        <v>762</v>
      </c>
      <c r="W53" s="5" t="s">
        <v>763</v>
      </c>
      <c r="X53" s="5" t="s">
        <v>763</v>
      </c>
      <c r="Y53" s="4">
        <v>294</v>
      </c>
      <c r="Z53" s="4">
        <v>222</v>
      </c>
      <c r="AA53" s="4">
        <v>224</v>
      </c>
      <c r="AB53" s="4">
        <v>2</v>
      </c>
      <c r="AC53" s="4">
        <v>2</v>
      </c>
      <c r="AD53" s="4">
        <v>4</v>
      </c>
      <c r="AE53" s="4">
        <v>4</v>
      </c>
      <c r="AF53" s="4">
        <v>1</v>
      </c>
      <c r="AG53" s="4">
        <v>1</v>
      </c>
      <c r="AH53" s="4">
        <v>0</v>
      </c>
      <c r="AI53" s="4">
        <v>0</v>
      </c>
      <c r="AJ53" s="4">
        <v>3</v>
      </c>
      <c r="AK53" s="4">
        <v>3</v>
      </c>
      <c r="AL53" s="4">
        <v>1</v>
      </c>
      <c r="AM53" s="4">
        <v>1</v>
      </c>
      <c r="AN53" s="4">
        <v>0</v>
      </c>
      <c r="AO53" s="4">
        <v>0</v>
      </c>
      <c r="AP53" s="3" t="s">
        <v>59</v>
      </c>
      <c r="AQ53" s="3" t="s">
        <v>70</v>
      </c>
      <c r="AR53" s="6" t="str">
        <f>HYPERLINK("http://catalog.hathitrust.org/Record/001553992","HathiTrust Record")</f>
        <v>HathiTrust Record</v>
      </c>
      <c r="AS53" s="6" t="str">
        <f>HYPERLINK("https://creighton-primo.hosted.exlibrisgroup.com/primo-explore/search?tab=default_tab&amp;search_scope=EVERYTHING&amp;vid=01CRU&amp;lang=en_US&amp;offset=0&amp;query=any,contains,991000776639702656","Catalog Record")</f>
        <v>Catalog Record</v>
      </c>
      <c r="AT53" s="6" t="str">
        <f>HYPERLINK("http://www.worldcat.org/oclc/133167","WorldCat Record")</f>
        <v>WorldCat Record</v>
      </c>
      <c r="AU53" s="3" t="s">
        <v>764</v>
      </c>
      <c r="AV53" s="3" t="s">
        <v>765</v>
      </c>
      <c r="AW53" s="3" t="s">
        <v>766</v>
      </c>
      <c r="AX53" s="3" t="s">
        <v>766</v>
      </c>
      <c r="AY53" s="3" t="s">
        <v>767</v>
      </c>
      <c r="AZ53" s="3" t="s">
        <v>75</v>
      </c>
      <c r="BB53" s="3" t="s">
        <v>768</v>
      </c>
      <c r="BC53" s="3" t="s">
        <v>769</v>
      </c>
      <c r="BD53" s="3" t="s">
        <v>770</v>
      </c>
    </row>
    <row r="54" spans="1:56" ht="48" customHeight="1" x14ac:dyDescent="0.25">
      <c r="A54" s="7" t="s">
        <v>59</v>
      </c>
      <c r="B54" s="2" t="s">
        <v>771</v>
      </c>
      <c r="C54" s="2" t="s">
        <v>772</v>
      </c>
      <c r="D54" s="2" t="s">
        <v>773</v>
      </c>
      <c r="F54" s="3" t="s">
        <v>59</v>
      </c>
      <c r="G54" s="3" t="s">
        <v>60</v>
      </c>
      <c r="H54" s="3" t="s">
        <v>59</v>
      </c>
      <c r="I54" s="3" t="s">
        <v>59</v>
      </c>
      <c r="J54" s="3" t="s">
        <v>61</v>
      </c>
      <c r="K54" s="2" t="s">
        <v>774</v>
      </c>
      <c r="L54" s="2" t="s">
        <v>775</v>
      </c>
      <c r="M54" s="3" t="s">
        <v>248</v>
      </c>
      <c r="O54" s="3" t="s">
        <v>64</v>
      </c>
      <c r="P54" s="3" t="s">
        <v>389</v>
      </c>
      <c r="Q54" s="2" t="s">
        <v>776</v>
      </c>
      <c r="R54" s="3" t="s">
        <v>67</v>
      </c>
      <c r="S54" s="4">
        <v>2</v>
      </c>
      <c r="T54" s="4">
        <v>2</v>
      </c>
      <c r="U54" s="5" t="s">
        <v>777</v>
      </c>
      <c r="V54" s="5" t="s">
        <v>777</v>
      </c>
      <c r="W54" s="5" t="s">
        <v>148</v>
      </c>
      <c r="X54" s="5" t="s">
        <v>148</v>
      </c>
      <c r="Y54" s="4">
        <v>210</v>
      </c>
      <c r="Z54" s="4">
        <v>149</v>
      </c>
      <c r="AA54" s="4">
        <v>166</v>
      </c>
      <c r="AB54" s="4">
        <v>2</v>
      </c>
      <c r="AC54" s="4">
        <v>2</v>
      </c>
      <c r="AD54" s="4">
        <v>5</v>
      </c>
      <c r="AE54" s="4">
        <v>5</v>
      </c>
      <c r="AF54" s="4">
        <v>1</v>
      </c>
      <c r="AG54" s="4">
        <v>1</v>
      </c>
      <c r="AH54" s="4">
        <v>3</v>
      </c>
      <c r="AI54" s="4">
        <v>3</v>
      </c>
      <c r="AJ54" s="4">
        <v>1</v>
      </c>
      <c r="AK54" s="4">
        <v>1</v>
      </c>
      <c r="AL54" s="4">
        <v>1</v>
      </c>
      <c r="AM54" s="4">
        <v>1</v>
      </c>
      <c r="AN54" s="4">
        <v>0</v>
      </c>
      <c r="AO54" s="4">
        <v>0</v>
      </c>
      <c r="AP54" s="3" t="s">
        <v>59</v>
      </c>
      <c r="AQ54" s="3" t="s">
        <v>70</v>
      </c>
      <c r="AR54" s="6" t="str">
        <f>HYPERLINK("http://catalog.hathitrust.org/Record/000773651","HathiTrust Record")</f>
        <v>HathiTrust Record</v>
      </c>
      <c r="AS54" s="6" t="str">
        <f>HYPERLINK("https://creighton-primo.hosted.exlibrisgroup.com/primo-explore/search?tab=default_tab&amp;search_scope=EVERYTHING&amp;vid=01CRU&amp;lang=en_US&amp;offset=0&amp;query=any,contains,991005155599702656","Catalog Record")</f>
        <v>Catalog Record</v>
      </c>
      <c r="AT54" s="6" t="str">
        <f>HYPERLINK("http://www.worldcat.org/oclc/7739371","WorldCat Record")</f>
        <v>WorldCat Record</v>
      </c>
      <c r="AU54" s="3" t="s">
        <v>778</v>
      </c>
      <c r="AV54" s="3" t="s">
        <v>779</v>
      </c>
      <c r="AW54" s="3" t="s">
        <v>780</v>
      </c>
      <c r="AX54" s="3" t="s">
        <v>780</v>
      </c>
      <c r="AY54" s="3" t="s">
        <v>781</v>
      </c>
      <c r="AZ54" s="3" t="s">
        <v>75</v>
      </c>
      <c r="BB54" s="3" t="s">
        <v>782</v>
      </c>
      <c r="BC54" s="3" t="s">
        <v>783</v>
      </c>
      <c r="BD54" s="3" t="s">
        <v>784</v>
      </c>
    </row>
    <row r="55" spans="1:56" ht="48" customHeight="1" x14ac:dyDescent="0.25">
      <c r="A55" s="7" t="s">
        <v>59</v>
      </c>
      <c r="B55" s="2" t="s">
        <v>785</v>
      </c>
      <c r="C55" s="2" t="s">
        <v>786</v>
      </c>
      <c r="D55" s="2" t="s">
        <v>787</v>
      </c>
      <c r="F55" s="3" t="s">
        <v>59</v>
      </c>
      <c r="G55" s="3" t="s">
        <v>60</v>
      </c>
      <c r="H55" s="3" t="s">
        <v>59</v>
      </c>
      <c r="I55" s="3" t="s">
        <v>59</v>
      </c>
      <c r="J55" s="3" t="s">
        <v>61</v>
      </c>
      <c r="K55" s="2" t="s">
        <v>788</v>
      </c>
      <c r="L55" s="2" t="s">
        <v>789</v>
      </c>
      <c r="M55" s="3" t="s">
        <v>443</v>
      </c>
      <c r="O55" s="3" t="s">
        <v>64</v>
      </c>
      <c r="P55" s="3" t="s">
        <v>84</v>
      </c>
      <c r="R55" s="3" t="s">
        <v>67</v>
      </c>
      <c r="S55" s="4">
        <v>2</v>
      </c>
      <c r="T55" s="4">
        <v>2</v>
      </c>
      <c r="U55" s="5" t="s">
        <v>715</v>
      </c>
      <c r="V55" s="5" t="s">
        <v>715</v>
      </c>
      <c r="W55" s="5" t="s">
        <v>790</v>
      </c>
      <c r="X55" s="5" t="s">
        <v>790</v>
      </c>
      <c r="Y55" s="4">
        <v>473</v>
      </c>
      <c r="Z55" s="4">
        <v>305</v>
      </c>
      <c r="AA55" s="4">
        <v>316</v>
      </c>
      <c r="AB55" s="4">
        <v>4</v>
      </c>
      <c r="AC55" s="4">
        <v>4</v>
      </c>
      <c r="AD55" s="4">
        <v>14</v>
      </c>
      <c r="AE55" s="4">
        <v>14</v>
      </c>
      <c r="AF55" s="4">
        <v>2</v>
      </c>
      <c r="AG55" s="4">
        <v>2</v>
      </c>
      <c r="AH55" s="4">
        <v>4</v>
      </c>
      <c r="AI55" s="4">
        <v>4</v>
      </c>
      <c r="AJ55" s="4">
        <v>8</v>
      </c>
      <c r="AK55" s="4">
        <v>8</v>
      </c>
      <c r="AL55" s="4">
        <v>3</v>
      </c>
      <c r="AM55" s="4">
        <v>3</v>
      </c>
      <c r="AN55" s="4">
        <v>0</v>
      </c>
      <c r="AO55" s="4">
        <v>0</v>
      </c>
      <c r="AP55" s="3" t="s">
        <v>59</v>
      </c>
      <c r="AQ55" s="3" t="s">
        <v>70</v>
      </c>
      <c r="AR55" s="6" t="str">
        <f>HYPERLINK("http://catalog.hathitrust.org/Record/001554005","HathiTrust Record")</f>
        <v>HathiTrust Record</v>
      </c>
      <c r="AS55" s="6" t="str">
        <f>HYPERLINK("https://creighton-primo.hosted.exlibrisgroup.com/primo-explore/search?tab=default_tab&amp;search_scope=EVERYTHING&amp;vid=01CRU&amp;lang=en_US&amp;offset=0&amp;query=any,contains,991003193199702656","Catalog Record")</f>
        <v>Catalog Record</v>
      </c>
      <c r="AT55" s="6" t="str">
        <f>HYPERLINK("http://www.worldcat.org/oclc/718215","WorldCat Record")</f>
        <v>WorldCat Record</v>
      </c>
      <c r="AU55" s="3" t="s">
        <v>791</v>
      </c>
      <c r="AV55" s="3" t="s">
        <v>792</v>
      </c>
      <c r="AW55" s="3" t="s">
        <v>793</v>
      </c>
      <c r="AX55" s="3" t="s">
        <v>793</v>
      </c>
      <c r="AY55" s="3" t="s">
        <v>794</v>
      </c>
      <c r="AZ55" s="3" t="s">
        <v>75</v>
      </c>
      <c r="BB55" s="3" t="s">
        <v>795</v>
      </c>
      <c r="BC55" s="3" t="s">
        <v>796</v>
      </c>
      <c r="BD55" s="3" t="s">
        <v>797</v>
      </c>
    </row>
    <row r="56" spans="1:56" ht="48" customHeight="1" x14ac:dyDescent="0.25">
      <c r="A56" s="7" t="s">
        <v>59</v>
      </c>
      <c r="B56" s="2" t="s">
        <v>798</v>
      </c>
      <c r="C56" s="2" t="s">
        <v>799</v>
      </c>
      <c r="D56" s="2" t="s">
        <v>800</v>
      </c>
      <c r="F56" s="3" t="s">
        <v>59</v>
      </c>
      <c r="G56" s="3" t="s">
        <v>60</v>
      </c>
      <c r="H56" s="3" t="s">
        <v>70</v>
      </c>
      <c r="I56" s="3" t="s">
        <v>59</v>
      </c>
      <c r="J56" s="3" t="s">
        <v>61</v>
      </c>
      <c r="L56" s="2" t="s">
        <v>801</v>
      </c>
      <c r="M56" s="3" t="s">
        <v>161</v>
      </c>
      <c r="O56" s="3" t="s">
        <v>64</v>
      </c>
      <c r="P56" s="3" t="s">
        <v>130</v>
      </c>
      <c r="R56" s="3" t="s">
        <v>67</v>
      </c>
      <c r="S56" s="4">
        <v>11</v>
      </c>
      <c r="T56" s="4">
        <v>11</v>
      </c>
      <c r="U56" s="5" t="s">
        <v>487</v>
      </c>
      <c r="V56" s="5" t="s">
        <v>487</v>
      </c>
      <c r="W56" s="5" t="s">
        <v>148</v>
      </c>
      <c r="X56" s="5" t="s">
        <v>148</v>
      </c>
      <c r="Y56" s="4">
        <v>403</v>
      </c>
      <c r="Z56" s="4">
        <v>289</v>
      </c>
      <c r="AA56" s="4">
        <v>310</v>
      </c>
      <c r="AB56" s="4">
        <v>4</v>
      </c>
      <c r="AC56" s="4">
        <v>4</v>
      </c>
      <c r="AD56" s="4">
        <v>10</v>
      </c>
      <c r="AE56" s="4">
        <v>10</v>
      </c>
      <c r="AF56" s="4">
        <v>2</v>
      </c>
      <c r="AG56" s="4">
        <v>2</v>
      </c>
      <c r="AH56" s="4">
        <v>3</v>
      </c>
      <c r="AI56" s="4">
        <v>3</v>
      </c>
      <c r="AJ56" s="4">
        <v>6</v>
      </c>
      <c r="AK56" s="4">
        <v>6</v>
      </c>
      <c r="AL56" s="4">
        <v>2</v>
      </c>
      <c r="AM56" s="4">
        <v>2</v>
      </c>
      <c r="AN56" s="4">
        <v>0</v>
      </c>
      <c r="AO56" s="4">
        <v>0</v>
      </c>
      <c r="AP56" s="3" t="s">
        <v>59</v>
      </c>
      <c r="AQ56" s="3" t="s">
        <v>70</v>
      </c>
      <c r="AR56" s="6" t="str">
        <f>HYPERLINK("http://catalog.hathitrust.org/Record/000040580","HathiTrust Record")</f>
        <v>HathiTrust Record</v>
      </c>
      <c r="AS56" s="6" t="str">
        <f>HYPERLINK("https://creighton-primo.hosted.exlibrisgroup.com/primo-explore/search?tab=default_tab&amp;search_scope=EVERYTHING&amp;vid=01CRU&amp;lang=en_US&amp;offset=0&amp;query=any,contains,991004778539702656","Catalog Record")</f>
        <v>Catalog Record</v>
      </c>
      <c r="AT56" s="6" t="str">
        <f>HYPERLINK("http://www.worldcat.org/oclc/5101903","WorldCat Record")</f>
        <v>WorldCat Record</v>
      </c>
      <c r="AU56" s="3" t="s">
        <v>802</v>
      </c>
      <c r="AV56" s="3" t="s">
        <v>803</v>
      </c>
      <c r="AW56" s="3" t="s">
        <v>804</v>
      </c>
      <c r="AX56" s="3" t="s">
        <v>804</v>
      </c>
      <c r="AY56" s="3" t="s">
        <v>805</v>
      </c>
      <c r="AZ56" s="3" t="s">
        <v>75</v>
      </c>
      <c r="BB56" s="3" t="s">
        <v>806</v>
      </c>
      <c r="BC56" s="3" t="s">
        <v>807</v>
      </c>
      <c r="BD56" s="3" t="s">
        <v>808</v>
      </c>
    </row>
    <row r="57" spans="1:56" ht="48" customHeight="1" x14ac:dyDescent="0.25">
      <c r="A57" s="7" t="s">
        <v>59</v>
      </c>
      <c r="B57" s="2" t="s">
        <v>809</v>
      </c>
      <c r="C57" s="2" t="s">
        <v>810</v>
      </c>
      <c r="D57" s="2" t="s">
        <v>811</v>
      </c>
      <c r="F57" s="3" t="s">
        <v>59</v>
      </c>
      <c r="G57" s="3" t="s">
        <v>60</v>
      </c>
      <c r="H57" s="3" t="s">
        <v>59</v>
      </c>
      <c r="I57" s="3" t="s">
        <v>59</v>
      </c>
      <c r="J57" s="3" t="s">
        <v>61</v>
      </c>
      <c r="K57" s="2" t="s">
        <v>812</v>
      </c>
      <c r="L57" s="2" t="s">
        <v>813</v>
      </c>
      <c r="M57" s="3" t="s">
        <v>319</v>
      </c>
      <c r="O57" s="3" t="s">
        <v>64</v>
      </c>
      <c r="P57" s="3" t="s">
        <v>84</v>
      </c>
      <c r="Q57" s="2" t="s">
        <v>814</v>
      </c>
      <c r="R57" s="3" t="s">
        <v>67</v>
      </c>
      <c r="S57" s="4">
        <v>8</v>
      </c>
      <c r="T57" s="4">
        <v>8</v>
      </c>
      <c r="U57" s="5" t="s">
        <v>815</v>
      </c>
      <c r="V57" s="5" t="s">
        <v>815</v>
      </c>
      <c r="W57" s="5" t="s">
        <v>148</v>
      </c>
      <c r="X57" s="5" t="s">
        <v>148</v>
      </c>
      <c r="Y57" s="4">
        <v>263</v>
      </c>
      <c r="Z57" s="4">
        <v>165</v>
      </c>
      <c r="AA57" s="4">
        <v>165</v>
      </c>
      <c r="AB57" s="4">
        <v>2</v>
      </c>
      <c r="AC57" s="4">
        <v>2</v>
      </c>
      <c r="AD57" s="4">
        <v>7</v>
      </c>
      <c r="AE57" s="4">
        <v>7</v>
      </c>
      <c r="AF57" s="4">
        <v>3</v>
      </c>
      <c r="AG57" s="4">
        <v>3</v>
      </c>
      <c r="AH57" s="4">
        <v>3</v>
      </c>
      <c r="AI57" s="4">
        <v>3</v>
      </c>
      <c r="AJ57" s="4">
        <v>3</v>
      </c>
      <c r="AK57" s="4">
        <v>3</v>
      </c>
      <c r="AL57" s="4">
        <v>1</v>
      </c>
      <c r="AM57" s="4">
        <v>1</v>
      </c>
      <c r="AN57" s="4">
        <v>0</v>
      </c>
      <c r="AO57" s="4">
        <v>0</v>
      </c>
      <c r="AP57" s="3" t="s">
        <v>59</v>
      </c>
      <c r="AQ57" s="3" t="s">
        <v>59</v>
      </c>
      <c r="AS57" s="6" t="str">
        <f>HYPERLINK("https://creighton-primo.hosted.exlibrisgroup.com/primo-explore/search?tab=default_tab&amp;search_scope=EVERYTHING&amp;vid=01CRU&amp;lang=en_US&amp;offset=0&amp;query=any,contains,991000287759702656","Catalog Record")</f>
        <v>Catalog Record</v>
      </c>
      <c r="AT57" s="6" t="str">
        <f>HYPERLINK("http://www.worldcat.org/oclc/9945607","WorldCat Record")</f>
        <v>WorldCat Record</v>
      </c>
      <c r="AU57" s="3" t="s">
        <v>816</v>
      </c>
      <c r="AV57" s="3" t="s">
        <v>817</v>
      </c>
      <c r="AW57" s="3" t="s">
        <v>818</v>
      </c>
      <c r="AX57" s="3" t="s">
        <v>818</v>
      </c>
      <c r="AY57" s="3" t="s">
        <v>819</v>
      </c>
      <c r="AZ57" s="3" t="s">
        <v>75</v>
      </c>
      <c r="BB57" s="3" t="s">
        <v>820</v>
      </c>
      <c r="BC57" s="3" t="s">
        <v>821</v>
      </c>
      <c r="BD57" s="3" t="s">
        <v>822</v>
      </c>
    </row>
    <row r="58" spans="1:56" ht="48" customHeight="1" x14ac:dyDescent="0.25">
      <c r="A58" s="7" t="s">
        <v>59</v>
      </c>
      <c r="B58" s="2" t="s">
        <v>823</v>
      </c>
      <c r="C58" s="2" t="s">
        <v>824</v>
      </c>
      <c r="D58" s="2" t="s">
        <v>825</v>
      </c>
      <c r="F58" s="3" t="s">
        <v>59</v>
      </c>
      <c r="G58" s="3" t="s">
        <v>60</v>
      </c>
      <c r="H58" s="3" t="s">
        <v>59</v>
      </c>
      <c r="I58" s="3" t="s">
        <v>59</v>
      </c>
      <c r="J58" s="3" t="s">
        <v>61</v>
      </c>
      <c r="K58" s="2" t="s">
        <v>826</v>
      </c>
      <c r="L58" s="2" t="s">
        <v>827</v>
      </c>
      <c r="M58" s="3" t="s">
        <v>348</v>
      </c>
      <c r="O58" s="3" t="s">
        <v>64</v>
      </c>
      <c r="P58" s="3" t="s">
        <v>191</v>
      </c>
      <c r="Q58" s="2" t="s">
        <v>828</v>
      </c>
      <c r="R58" s="3" t="s">
        <v>67</v>
      </c>
      <c r="S58" s="4">
        <v>43</v>
      </c>
      <c r="T58" s="4">
        <v>43</v>
      </c>
      <c r="U58" s="5" t="s">
        <v>829</v>
      </c>
      <c r="V58" s="5" t="s">
        <v>829</v>
      </c>
      <c r="W58" s="5" t="s">
        <v>830</v>
      </c>
      <c r="X58" s="5" t="s">
        <v>830</v>
      </c>
      <c r="Y58" s="4">
        <v>424</v>
      </c>
      <c r="Z58" s="4">
        <v>324</v>
      </c>
      <c r="AA58" s="4">
        <v>335</v>
      </c>
      <c r="AB58" s="4">
        <v>3</v>
      </c>
      <c r="AC58" s="4">
        <v>3</v>
      </c>
      <c r="AD58" s="4">
        <v>13</v>
      </c>
      <c r="AE58" s="4">
        <v>13</v>
      </c>
      <c r="AF58" s="4">
        <v>7</v>
      </c>
      <c r="AG58" s="4">
        <v>7</v>
      </c>
      <c r="AH58" s="4">
        <v>3</v>
      </c>
      <c r="AI58" s="4">
        <v>3</v>
      </c>
      <c r="AJ58" s="4">
        <v>4</v>
      </c>
      <c r="AK58" s="4">
        <v>4</v>
      </c>
      <c r="AL58" s="4">
        <v>2</v>
      </c>
      <c r="AM58" s="4">
        <v>2</v>
      </c>
      <c r="AN58" s="4">
        <v>0</v>
      </c>
      <c r="AO58" s="4">
        <v>0</v>
      </c>
      <c r="AP58" s="3" t="s">
        <v>59</v>
      </c>
      <c r="AQ58" s="3" t="s">
        <v>59</v>
      </c>
      <c r="AS58" s="6" t="str">
        <f>HYPERLINK("https://creighton-primo.hosted.exlibrisgroup.com/primo-explore/search?tab=default_tab&amp;search_scope=EVERYTHING&amp;vid=01CRU&amp;lang=en_US&amp;offset=0&amp;query=any,contains,991002063349702656","Catalog Record")</f>
        <v>Catalog Record</v>
      </c>
      <c r="AT58" s="6" t="str">
        <f>HYPERLINK("http://www.worldcat.org/oclc/26398891","WorldCat Record")</f>
        <v>WorldCat Record</v>
      </c>
      <c r="AU58" s="3" t="s">
        <v>831</v>
      </c>
      <c r="AV58" s="3" t="s">
        <v>832</v>
      </c>
      <c r="AW58" s="3" t="s">
        <v>833</v>
      </c>
      <c r="AX58" s="3" t="s">
        <v>833</v>
      </c>
      <c r="AY58" s="3" t="s">
        <v>834</v>
      </c>
      <c r="AZ58" s="3" t="s">
        <v>75</v>
      </c>
      <c r="BB58" s="3" t="s">
        <v>835</v>
      </c>
      <c r="BC58" s="3" t="s">
        <v>836</v>
      </c>
      <c r="BD58" s="3" t="s">
        <v>837</v>
      </c>
    </row>
    <row r="59" spans="1:56" ht="48" customHeight="1" x14ac:dyDescent="0.25">
      <c r="A59" s="7" t="s">
        <v>59</v>
      </c>
      <c r="B59" s="2" t="s">
        <v>838</v>
      </c>
      <c r="C59" s="2" t="s">
        <v>839</v>
      </c>
      <c r="D59" s="2" t="s">
        <v>840</v>
      </c>
      <c r="F59" s="3" t="s">
        <v>59</v>
      </c>
      <c r="G59" s="3" t="s">
        <v>60</v>
      </c>
      <c r="H59" s="3" t="s">
        <v>59</v>
      </c>
      <c r="I59" s="3" t="s">
        <v>59</v>
      </c>
      <c r="J59" s="3" t="s">
        <v>61</v>
      </c>
      <c r="K59" s="2" t="s">
        <v>841</v>
      </c>
      <c r="L59" s="2" t="s">
        <v>842</v>
      </c>
      <c r="M59" s="3" t="s">
        <v>843</v>
      </c>
      <c r="O59" s="3" t="s">
        <v>64</v>
      </c>
      <c r="P59" s="3" t="s">
        <v>674</v>
      </c>
      <c r="Q59" s="2" t="s">
        <v>844</v>
      </c>
      <c r="R59" s="3" t="s">
        <v>67</v>
      </c>
      <c r="S59" s="4">
        <v>5</v>
      </c>
      <c r="T59" s="4">
        <v>5</v>
      </c>
      <c r="U59" s="5" t="s">
        <v>845</v>
      </c>
      <c r="V59" s="5" t="s">
        <v>845</v>
      </c>
      <c r="W59" s="5" t="s">
        <v>846</v>
      </c>
      <c r="X59" s="5" t="s">
        <v>846</v>
      </c>
      <c r="Y59" s="4">
        <v>227</v>
      </c>
      <c r="Z59" s="4">
        <v>149</v>
      </c>
      <c r="AA59" s="4">
        <v>149</v>
      </c>
      <c r="AB59" s="4">
        <v>2</v>
      </c>
      <c r="AC59" s="4">
        <v>2</v>
      </c>
      <c r="AD59" s="4">
        <v>7</v>
      </c>
      <c r="AE59" s="4">
        <v>7</v>
      </c>
      <c r="AF59" s="4">
        <v>5</v>
      </c>
      <c r="AG59" s="4">
        <v>5</v>
      </c>
      <c r="AH59" s="4">
        <v>1</v>
      </c>
      <c r="AI59" s="4">
        <v>1</v>
      </c>
      <c r="AJ59" s="4">
        <v>3</v>
      </c>
      <c r="AK59" s="4">
        <v>3</v>
      </c>
      <c r="AL59" s="4">
        <v>1</v>
      </c>
      <c r="AM59" s="4">
        <v>1</v>
      </c>
      <c r="AN59" s="4">
        <v>0</v>
      </c>
      <c r="AO59" s="4">
        <v>0</v>
      </c>
      <c r="AP59" s="3" t="s">
        <v>59</v>
      </c>
      <c r="AQ59" s="3" t="s">
        <v>59</v>
      </c>
      <c r="AS59" s="6" t="str">
        <f>HYPERLINK("https://creighton-primo.hosted.exlibrisgroup.com/primo-explore/search?tab=default_tab&amp;search_scope=EVERYTHING&amp;vid=01CRU&amp;lang=en_US&amp;offset=0&amp;query=any,contains,991005132719702656","Catalog Record")</f>
        <v>Catalog Record</v>
      </c>
      <c r="AT59" s="6" t="str">
        <f>HYPERLINK("http://www.worldcat.org/oclc/144598095","WorldCat Record")</f>
        <v>WorldCat Record</v>
      </c>
      <c r="AU59" s="3" t="s">
        <v>847</v>
      </c>
      <c r="AV59" s="3" t="s">
        <v>848</v>
      </c>
      <c r="AW59" s="3" t="s">
        <v>849</v>
      </c>
      <c r="AX59" s="3" t="s">
        <v>849</v>
      </c>
      <c r="AY59" s="3" t="s">
        <v>850</v>
      </c>
      <c r="AZ59" s="3" t="s">
        <v>75</v>
      </c>
      <c r="BB59" s="3" t="s">
        <v>851</v>
      </c>
      <c r="BC59" s="3" t="s">
        <v>852</v>
      </c>
      <c r="BD59" s="3" t="s">
        <v>853</v>
      </c>
    </row>
    <row r="60" spans="1:56" ht="48" customHeight="1" x14ac:dyDescent="0.25">
      <c r="A60" s="7" t="s">
        <v>59</v>
      </c>
      <c r="B60" s="2" t="s">
        <v>854</v>
      </c>
      <c r="C60" s="2" t="s">
        <v>855</v>
      </c>
      <c r="D60" s="2" t="s">
        <v>856</v>
      </c>
      <c r="F60" s="3" t="s">
        <v>59</v>
      </c>
      <c r="G60" s="3" t="s">
        <v>60</v>
      </c>
      <c r="H60" s="3" t="s">
        <v>59</v>
      </c>
      <c r="I60" s="3" t="s">
        <v>59</v>
      </c>
      <c r="J60" s="3" t="s">
        <v>61</v>
      </c>
      <c r="K60" s="2" t="s">
        <v>857</v>
      </c>
      <c r="L60" s="2" t="s">
        <v>858</v>
      </c>
      <c r="M60" s="3" t="s">
        <v>417</v>
      </c>
      <c r="O60" s="3" t="s">
        <v>64</v>
      </c>
      <c r="P60" s="3" t="s">
        <v>130</v>
      </c>
      <c r="Q60" s="2" t="s">
        <v>859</v>
      </c>
      <c r="R60" s="3" t="s">
        <v>67</v>
      </c>
      <c r="S60" s="4">
        <v>2</v>
      </c>
      <c r="T60" s="4">
        <v>2</v>
      </c>
      <c r="U60" s="5" t="s">
        <v>860</v>
      </c>
      <c r="V60" s="5" t="s">
        <v>860</v>
      </c>
      <c r="W60" s="5" t="s">
        <v>148</v>
      </c>
      <c r="X60" s="5" t="s">
        <v>148</v>
      </c>
      <c r="Y60" s="4">
        <v>171</v>
      </c>
      <c r="Z60" s="4">
        <v>132</v>
      </c>
      <c r="AA60" s="4">
        <v>136</v>
      </c>
      <c r="AB60" s="4">
        <v>2</v>
      </c>
      <c r="AC60" s="4">
        <v>2</v>
      </c>
      <c r="AD60" s="4">
        <v>3</v>
      </c>
      <c r="AE60" s="4">
        <v>3</v>
      </c>
      <c r="AF60" s="4">
        <v>1</v>
      </c>
      <c r="AG60" s="4">
        <v>1</v>
      </c>
      <c r="AH60" s="4">
        <v>1</v>
      </c>
      <c r="AI60" s="4">
        <v>1</v>
      </c>
      <c r="AJ60" s="4">
        <v>1</v>
      </c>
      <c r="AK60" s="4">
        <v>1</v>
      </c>
      <c r="AL60" s="4">
        <v>1</v>
      </c>
      <c r="AM60" s="4">
        <v>1</v>
      </c>
      <c r="AN60" s="4">
        <v>0</v>
      </c>
      <c r="AO60" s="4">
        <v>0</v>
      </c>
      <c r="AP60" s="3" t="s">
        <v>59</v>
      </c>
      <c r="AQ60" s="3" t="s">
        <v>70</v>
      </c>
      <c r="AR60" s="6" t="str">
        <f>HYPERLINK("http://catalog.hathitrust.org/Record/000203019","HathiTrust Record")</f>
        <v>HathiTrust Record</v>
      </c>
      <c r="AS60" s="6" t="str">
        <f>HYPERLINK("https://creighton-primo.hosted.exlibrisgroup.com/primo-explore/search?tab=default_tab&amp;search_scope=EVERYTHING&amp;vid=01CRU&amp;lang=en_US&amp;offset=0&amp;query=any,contains,991000300609702656","Catalog Record")</f>
        <v>Catalog Record</v>
      </c>
      <c r="AT60" s="6" t="str">
        <f>HYPERLINK("http://www.worldcat.org/oclc/9943318","WorldCat Record")</f>
        <v>WorldCat Record</v>
      </c>
      <c r="AU60" s="3" t="s">
        <v>861</v>
      </c>
      <c r="AV60" s="3" t="s">
        <v>862</v>
      </c>
      <c r="AW60" s="3" t="s">
        <v>863</v>
      </c>
      <c r="AX60" s="3" t="s">
        <v>863</v>
      </c>
      <c r="AY60" s="3" t="s">
        <v>864</v>
      </c>
      <c r="AZ60" s="3" t="s">
        <v>75</v>
      </c>
      <c r="BB60" s="3" t="s">
        <v>865</v>
      </c>
      <c r="BC60" s="3" t="s">
        <v>866</v>
      </c>
      <c r="BD60" s="3" t="s">
        <v>867</v>
      </c>
    </row>
    <row r="61" spans="1:56" ht="48" customHeight="1" x14ac:dyDescent="0.25">
      <c r="A61" s="7" t="s">
        <v>59</v>
      </c>
      <c r="B61" s="2" t="s">
        <v>868</v>
      </c>
      <c r="C61" s="2" t="s">
        <v>869</v>
      </c>
      <c r="D61" s="2" t="s">
        <v>870</v>
      </c>
      <c r="F61" s="3" t="s">
        <v>59</v>
      </c>
      <c r="G61" s="3" t="s">
        <v>60</v>
      </c>
      <c r="H61" s="3" t="s">
        <v>59</v>
      </c>
      <c r="I61" s="3" t="s">
        <v>59</v>
      </c>
      <c r="J61" s="3" t="s">
        <v>61</v>
      </c>
      <c r="L61" s="2" t="s">
        <v>871</v>
      </c>
      <c r="M61" s="3" t="s">
        <v>872</v>
      </c>
      <c r="O61" s="3" t="s">
        <v>64</v>
      </c>
      <c r="P61" s="3" t="s">
        <v>130</v>
      </c>
      <c r="R61" s="3" t="s">
        <v>67</v>
      </c>
      <c r="S61" s="4">
        <v>6</v>
      </c>
      <c r="T61" s="4">
        <v>6</v>
      </c>
      <c r="U61" s="5" t="s">
        <v>320</v>
      </c>
      <c r="V61" s="5" t="s">
        <v>320</v>
      </c>
      <c r="W61" s="5" t="s">
        <v>501</v>
      </c>
      <c r="X61" s="5" t="s">
        <v>501</v>
      </c>
      <c r="Y61" s="4">
        <v>495</v>
      </c>
      <c r="Z61" s="4">
        <v>369</v>
      </c>
      <c r="AA61" s="4">
        <v>372</v>
      </c>
      <c r="AB61" s="4">
        <v>3</v>
      </c>
      <c r="AC61" s="4">
        <v>3</v>
      </c>
      <c r="AD61" s="4">
        <v>19</v>
      </c>
      <c r="AE61" s="4">
        <v>19</v>
      </c>
      <c r="AF61" s="4">
        <v>5</v>
      </c>
      <c r="AG61" s="4">
        <v>5</v>
      </c>
      <c r="AH61" s="4">
        <v>5</v>
      </c>
      <c r="AI61" s="4">
        <v>5</v>
      </c>
      <c r="AJ61" s="4">
        <v>13</v>
      </c>
      <c r="AK61" s="4">
        <v>13</v>
      </c>
      <c r="AL61" s="4">
        <v>2</v>
      </c>
      <c r="AM61" s="4">
        <v>2</v>
      </c>
      <c r="AN61" s="4">
        <v>0</v>
      </c>
      <c r="AO61" s="4">
        <v>0</v>
      </c>
      <c r="AP61" s="3" t="s">
        <v>59</v>
      </c>
      <c r="AQ61" s="3" t="s">
        <v>70</v>
      </c>
      <c r="AR61" s="6" t="str">
        <f>HYPERLINK("http://catalog.hathitrust.org/Record/000562918","HathiTrust Record")</f>
        <v>HathiTrust Record</v>
      </c>
      <c r="AS61" s="6" t="str">
        <f>HYPERLINK("https://creighton-primo.hosted.exlibrisgroup.com/primo-explore/search?tab=default_tab&amp;search_scope=EVERYTHING&amp;vid=01CRU&amp;lang=en_US&amp;offset=0&amp;query=any,contains,991003182799702656","Catalog Record")</f>
        <v>Catalog Record</v>
      </c>
      <c r="AT61" s="6" t="str">
        <f>HYPERLINK("http://www.worldcat.org/oclc/712133","WorldCat Record")</f>
        <v>WorldCat Record</v>
      </c>
      <c r="AU61" s="3" t="s">
        <v>873</v>
      </c>
      <c r="AV61" s="3" t="s">
        <v>874</v>
      </c>
      <c r="AW61" s="3" t="s">
        <v>875</v>
      </c>
      <c r="AX61" s="3" t="s">
        <v>875</v>
      </c>
      <c r="AY61" s="3" t="s">
        <v>876</v>
      </c>
      <c r="AZ61" s="3" t="s">
        <v>75</v>
      </c>
      <c r="BC61" s="3" t="s">
        <v>877</v>
      </c>
      <c r="BD61" s="3" t="s">
        <v>878</v>
      </c>
    </row>
    <row r="62" spans="1:56" ht="48" customHeight="1" x14ac:dyDescent="0.25">
      <c r="A62" s="7" t="s">
        <v>59</v>
      </c>
      <c r="B62" s="2" t="s">
        <v>879</v>
      </c>
      <c r="C62" s="2" t="s">
        <v>880</v>
      </c>
      <c r="D62" s="2" t="s">
        <v>881</v>
      </c>
      <c r="F62" s="3" t="s">
        <v>59</v>
      </c>
      <c r="G62" s="3" t="s">
        <v>60</v>
      </c>
      <c r="H62" s="3" t="s">
        <v>59</v>
      </c>
      <c r="I62" s="3" t="s">
        <v>59</v>
      </c>
      <c r="J62" s="3" t="s">
        <v>61</v>
      </c>
      <c r="K62" s="2" t="s">
        <v>882</v>
      </c>
      <c r="L62" s="2" t="s">
        <v>883</v>
      </c>
      <c r="M62" s="3" t="s">
        <v>161</v>
      </c>
      <c r="O62" s="3" t="s">
        <v>64</v>
      </c>
      <c r="P62" s="3" t="s">
        <v>264</v>
      </c>
      <c r="R62" s="3" t="s">
        <v>67</v>
      </c>
      <c r="S62" s="4">
        <v>8</v>
      </c>
      <c r="T62" s="4">
        <v>8</v>
      </c>
      <c r="U62" s="5" t="s">
        <v>884</v>
      </c>
      <c r="V62" s="5" t="s">
        <v>884</v>
      </c>
      <c r="W62" s="5" t="s">
        <v>885</v>
      </c>
      <c r="X62" s="5" t="s">
        <v>885</v>
      </c>
      <c r="Y62" s="4">
        <v>409</v>
      </c>
      <c r="Z62" s="4">
        <v>309</v>
      </c>
      <c r="AA62" s="4">
        <v>314</v>
      </c>
      <c r="AB62" s="4">
        <v>3</v>
      </c>
      <c r="AC62" s="4">
        <v>3</v>
      </c>
      <c r="AD62" s="4">
        <v>12</v>
      </c>
      <c r="AE62" s="4">
        <v>12</v>
      </c>
      <c r="AF62" s="4">
        <v>4</v>
      </c>
      <c r="AG62" s="4">
        <v>4</v>
      </c>
      <c r="AH62" s="4">
        <v>4</v>
      </c>
      <c r="AI62" s="4">
        <v>4</v>
      </c>
      <c r="AJ62" s="4">
        <v>6</v>
      </c>
      <c r="AK62" s="4">
        <v>6</v>
      </c>
      <c r="AL62" s="4">
        <v>2</v>
      </c>
      <c r="AM62" s="4">
        <v>2</v>
      </c>
      <c r="AN62" s="4">
        <v>0</v>
      </c>
      <c r="AO62" s="4">
        <v>0</v>
      </c>
      <c r="AP62" s="3" t="s">
        <v>59</v>
      </c>
      <c r="AQ62" s="3" t="s">
        <v>70</v>
      </c>
      <c r="AR62" s="6" t="str">
        <f>HYPERLINK("http://catalog.hathitrust.org/Record/000029766","HathiTrust Record")</f>
        <v>HathiTrust Record</v>
      </c>
      <c r="AS62" s="6" t="str">
        <f>HYPERLINK("https://creighton-primo.hosted.exlibrisgroup.com/primo-explore/search?tab=default_tab&amp;search_scope=EVERYTHING&amp;vid=01CRU&amp;lang=en_US&amp;offset=0&amp;query=any,contains,991004822549702656","Catalog Record")</f>
        <v>Catalog Record</v>
      </c>
      <c r="AT62" s="6" t="str">
        <f>HYPERLINK("http://www.worldcat.org/oclc/5336832","WorldCat Record")</f>
        <v>WorldCat Record</v>
      </c>
      <c r="AU62" s="3" t="s">
        <v>886</v>
      </c>
      <c r="AV62" s="3" t="s">
        <v>887</v>
      </c>
      <c r="AW62" s="3" t="s">
        <v>888</v>
      </c>
      <c r="AX62" s="3" t="s">
        <v>888</v>
      </c>
      <c r="AY62" s="3" t="s">
        <v>889</v>
      </c>
      <c r="AZ62" s="3" t="s">
        <v>75</v>
      </c>
      <c r="BB62" s="3" t="s">
        <v>890</v>
      </c>
      <c r="BC62" s="3" t="s">
        <v>891</v>
      </c>
      <c r="BD62" s="3" t="s">
        <v>892</v>
      </c>
    </row>
    <row r="63" spans="1:56" ht="48" customHeight="1" x14ac:dyDescent="0.25">
      <c r="A63" s="7" t="s">
        <v>59</v>
      </c>
      <c r="B63" s="2" t="s">
        <v>893</v>
      </c>
      <c r="C63" s="2" t="s">
        <v>894</v>
      </c>
      <c r="D63" s="2" t="s">
        <v>895</v>
      </c>
      <c r="F63" s="3" t="s">
        <v>59</v>
      </c>
      <c r="G63" s="3" t="s">
        <v>60</v>
      </c>
      <c r="H63" s="3" t="s">
        <v>59</v>
      </c>
      <c r="I63" s="3" t="s">
        <v>59</v>
      </c>
      <c r="J63" s="3" t="s">
        <v>61</v>
      </c>
      <c r="L63" s="2" t="s">
        <v>896</v>
      </c>
      <c r="M63" s="3" t="s">
        <v>897</v>
      </c>
      <c r="O63" s="3" t="s">
        <v>64</v>
      </c>
      <c r="P63" s="3" t="s">
        <v>84</v>
      </c>
      <c r="R63" s="3" t="s">
        <v>67</v>
      </c>
      <c r="S63" s="4">
        <v>12</v>
      </c>
      <c r="T63" s="4">
        <v>12</v>
      </c>
      <c r="U63" s="5" t="s">
        <v>320</v>
      </c>
      <c r="V63" s="5" t="s">
        <v>320</v>
      </c>
      <c r="W63" s="5" t="s">
        <v>898</v>
      </c>
      <c r="X63" s="5" t="s">
        <v>898</v>
      </c>
      <c r="Y63" s="4">
        <v>130</v>
      </c>
      <c r="Z63" s="4">
        <v>78</v>
      </c>
      <c r="AA63" s="4">
        <v>229</v>
      </c>
      <c r="AB63" s="4">
        <v>2</v>
      </c>
      <c r="AC63" s="4">
        <v>2</v>
      </c>
      <c r="AD63" s="4">
        <v>2</v>
      </c>
      <c r="AE63" s="4">
        <v>7</v>
      </c>
      <c r="AF63" s="4">
        <v>0</v>
      </c>
      <c r="AG63" s="4">
        <v>1</v>
      </c>
      <c r="AH63" s="4">
        <v>0</v>
      </c>
      <c r="AI63" s="4">
        <v>3</v>
      </c>
      <c r="AJ63" s="4">
        <v>1</v>
      </c>
      <c r="AK63" s="4">
        <v>3</v>
      </c>
      <c r="AL63" s="4">
        <v>1</v>
      </c>
      <c r="AM63" s="4">
        <v>1</v>
      </c>
      <c r="AN63" s="4">
        <v>0</v>
      </c>
      <c r="AO63" s="4">
        <v>0</v>
      </c>
      <c r="AP63" s="3" t="s">
        <v>59</v>
      </c>
      <c r="AQ63" s="3" t="s">
        <v>70</v>
      </c>
      <c r="AR63" s="6" t="str">
        <f>HYPERLINK("http://catalog.hathitrust.org/Record/002524114","HathiTrust Record")</f>
        <v>HathiTrust Record</v>
      </c>
      <c r="AS63" s="6" t="str">
        <f>HYPERLINK("https://creighton-primo.hosted.exlibrisgroup.com/primo-explore/search?tab=default_tab&amp;search_scope=EVERYTHING&amp;vid=01CRU&amp;lang=en_US&amp;offset=0&amp;query=any,contains,991001961979702656","Catalog Record")</f>
        <v>Catalog Record</v>
      </c>
      <c r="AT63" s="6" t="str">
        <f>HYPERLINK("http://www.worldcat.org/oclc/26220029","WorldCat Record")</f>
        <v>WorldCat Record</v>
      </c>
      <c r="AU63" s="3" t="s">
        <v>899</v>
      </c>
      <c r="AV63" s="3" t="s">
        <v>900</v>
      </c>
      <c r="AW63" s="3" t="s">
        <v>901</v>
      </c>
      <c r="AX63" s="3" t="s">
        <v>901</v>
      </c>
      <c r="AY63" s="3" t="s">
        <v>902</v>
      </c>
      <c r="AZ63" s="3" t="s">
        <v>75</v>
      </c>
      <c r="BB63" s="3" t="s">
        <v>903</v>
      </c>
      <c r="BC63" s="3" t="s">
        <v>904</v>
      </c>
      <c r="BD63" s="3" t="s">
        <v>905</v>
      </c>
    </row>
    <row r="64" spans="1:56" ht="48" customHeight="1" x14ac:dyDescent="0.25">
      <c r="A64" s="7" t="s">
        <v>59</v>
      </c>
      <c r="B64" s="2" t="s">
        <v>906</v>
      </c>
      <c r="C64" s="2" t="s">
        <v>907</v>
      </c>
      <c r="D64" s="2" t="s">
        <v>908</v>
      </c>
      <c r="F64" s="3" t="s">
        <v>59</v>
      </c>
      <c r="G64" s="3" t="s">
        <v>60</v>
      </c>
      <c r="H64" s="3" t="s">
        <v>59</v>
      </c>
      <c r="I64" s="3" t="s">
        <v>70</v>
      </c>
      <c r="J64" s="3" t="s">
        <v>61</v>
      </c>
      <c r="K64" s="2" t="s">
        <v>909</v>
      </c>
      <c r="L64" s="2" t="s">
        <v>910</v>
      </c>
      <c r="M64" s="3" t="s">
        <v>911</v>
      </c>
      <c r="O64" s="3" t="s">
        <v>64</v>
      </c>
      <c r="P64" s="3" t="s">
        <v>912</v>
      </c>
      <c r="Q64" s="2" t="s">
        <v>913</v>
      </c>
      <c r="R64" s="3" t="s">
        <v>67</v>
      </c>
      <c r="S64" s="4">
        <v>1</v>
      </c>
      <c r="T64" s="4">
        <v>1</v>
      </c>
      <c r="U64" s="5" t="s">
        <v>521</v>
      </c>
      <c r="V64" s="5" t="s">
        <v>521</v>
      </c>
      <c r="W64" s="5" t="s">
        <v>501</v>
      </c>
      <c r="X64" s="5" t="s">
        <v>501</v>
      </c>
      <c r="Y64" s="4">
        <v>200</v>
      </c>
      <c r="Z64" s="4">
        <v>183</v>
      </c>
      <c r="AA64" s="4">
        <v>487</v>
      </c>
      <c r="AB64" s="4">
        <v>2</v>
      </c>
      <c r="AC64" s="4">
        <v>4</v>
      </c>
      <c r="AD64" s="4">
        <v>9</v>
      </c>
      <c r="AE64" s="4">
        <v>24</v>
      </c>
      <c r="AF64" s="4">
        <v>3</v>
      </c>
      <c r="AG64" s="4">
        <v>8</v>
      </c>
      <c r="AH64" s="4">
        <v>3</v>
      </c>
      <c r="AI64" s="4">
        <v>6</v>
      </c>
      <c r="AJ64" s="4">
        <v>5</v>
      </c>
      <c r="AK64" s="4">
        <v>14</v>
      </c>
      <c r="AL64" s="4">
        <v>1</v>
      </c>
      <c r="AM64" s="4">
        <v>3</v>
      </c>
      <c r="AN64" s="4">
        <v>0</v>
      </c>
      <c r="AO64" s="4">
        <v>0</v>
      </c>
      <c r="AP64" s="3" t="s">
        <v>59</v>
      </c>
      <c r="AQ64" s="3" t="s">
        <v>59</v>
      </c>
      <c r="AS64" s="6" t="str">
        <f>HYPERLINK("https://creighton-primo.hosted.exlibrisgroup.com/primo-explore/search?tab=default_tab&amp;search_scope=EVERYTHING&amp;vid=01CRU&amp;lang=en_US&amp;offset=0&amp;query=any,contains,991002989549702656","Catalog Record")</f>
        <v>Catalog Record</v>
      </c>
      <c r="AT64" s="6" t="str">
        <f>HYPERLINK("http://www.worldcat.org/oclc/559720","WorldCat Record")</f>
        <v>WorldCat Record</v>
      </c>
      <c r="AU64" s="3" t="s">
        <v>914</v>
      </c>
      <c r="AV64" s="3" t="s">
        <v>915</v>
      </c>
      <c r="AW64" s="3" t="s">
        <v>916</v>
      </c>
      <c r="AX64" s="3" t="s">
        <v>916</v>
      </c>
      <c r="AY64" s="3" t="s">
        <v>917</v>
      </c>
      <c r="AZ64" s="3" t="s">
        <v>75</v>
      </c>
      <c r="BC64" s="3" t="s">
        <v>918</v>
      </c>
      <c r="BD64" s="3" t="s">
        <v>919</v>
      </c>
    </row>
    <row r="65" spans="1:56" ht="48" customHeight="1" x14ac:dyDescent="0.25">
      <c r="A65" s="7" t="s">
        <v>59</v>
      </c>
      <c r="B65" s="2" t="s">
        <v>920</v>
      </c>
      <c r="C65" s="2" t="s">
        <v>921</v>
      </c>
      <c r="D65" s="2" t="s">
        <v>922</v>
      </c>
      <c r="F65" s="3" t="s">
        <v>59</v>
      </c>
      <c r="G65" s="3" t="s">
        <v>60</v>
      </c>
      <c r="H65" s="3" t="s">
        <v>59</v>
      </c>
      <c r="I65" s="3" t="s">
        <v>59</v>
      </c>
      <c r="J65" s="3" t="s">
        <v>61</v>
      </c>
      <c r="K65" s="2" t="s">
        <v>923</v>
      </c>
      <c r="L65" s="2" t="s">
        <v>924</v>
      </c>
      <c r="M65" s="3" t="s">
        <v>925</v>
      </c>
      <c r="N65" s="2" t="s">
        <v>926</v>
      </c>
      <c r="O65" s="3" t="s">
        <v>64</v>
      </c>
      <c r="P65" s="3" t="s">
        <v>84</v>
      </c>
      <c r="R65" s="3" t="s">
        <v>67</v>
      </c>
      <c r="S65" s="4">
        <v>13</v>
      </c>
      <c r="T65" s="4">
        <v>13</v>
      </c>
      <c r="U65" s="5" t="s">
        <v>927</v>
      </c>
      <c r="V65" s="5" t="s">
        <v>927</v>
      </c>
      <c r="W65" s="5" t="s">
        <v>928</v>
      </c>
      <c r="X65" s="5" t="s">
        <v>928</v>
      </c>
      <c r="Y65" s="4">
        <v>327</v>
      </c>
      <c r="Z65" s="4">
        <v>219</v>
      </c>
      <c r="AA65" s="4">
        <v>583</v>
      </c>
      <c r="AB65" s="4">
        <v>1</v>
      </c>
      <c r="AC65" s="4">
        <v>5</v>
      </c>
      <c r="AD65" s="4">
        <v>12</v>
      </c>
      <c r="AE65" s="4">
        <v>30</v>
      </c>
      <c r="AF65" s="4">
        <v>3</v>
      </c>
      <c r="AG65" s="4">
        <v>12</v>
      </c>
      <c r="AH65" s="4">
        <v>6</v>
      </c>
      <c r="AI65" s="4">
        <v>7</v>
      </c>
      <c r="AJ65" s="4">
        <v>9</v>
      </c>
      <c r="AK65" s="4">
        <v>17</v>
      </c>
      <c r="AL65" s="4">
        <v>0</v>
      </c>
      <c r="AM65" s="4">
        <v>4</v>
      </c>
      <c r="AN65" s="4">
        <v>0</v>
      </c>
      <c r="AO65" s="4">
        <v>0</v>
      </c>
      <c r="AP65" s="3" t="s">
        <v>59</v>
      </c>
      <c r="AQ65" s="3" t="s">
        <v>59</v>
      </c>
      <c r="AS65" s="6" t="str">
        <f>HYPERLINK("https://creighton-primo.hosted.exlibrisgroup.com/primo-explore/search?tab=default_tab&amp;search_scope=EVERYTHING&amp;vid=01CRU&amp;lang=en_US&amp;offset=0&amp;query=any,contains,991002827969702656","Catalog Record")</f>
        <v>Catalog Record</v>
      </c>
      <c r="AT65" s="6" t="str">
        <f>HYPERLINK("http://www.worldcat.org/oclc/37239013","WorldCat Record")</f>
        <v>WorldCat Record</v>
      </c>
      <c r="AU65" s="3" t="s">
        <v>929</v>
      </c>
      <c r="AV65" s="3" t="s">
        <v>930</v>
      </c>
      <c r="AW65" s="3" t="s">
        <v>931</v>
      </c>
      <c r="AX65" s="3" t="s">
        <v>931</v>
      </c>
      <c r="AY65" s="3" t="s">
        <v>932</v>
      </c>
      <c r="AZ65" s="3" t="s">
        <v>75</v>
      </c>
      <c r="BB65" s="3" t="s">
        <v>933</v>
      </c>
      <c r="BC65" s="3" t="s">
        <v>934</v>
      </c>
      <c r="BD65" s="3" t="s">
        <v>935</v>
      </c>
    </row>
    <row r="66" spans="1:56" ht="48" customHeight="1" x14ac:dyDescent="0.25">
      <c r="A66" s="7" t="s">
        <v>59</v>
      </c>
      <c r="B66" s="2" t="s">
        <v>936</v>
      </c>
      <c r="C66" s="2" t="s">
        <v>937</v>
      </c>
      <c r="D66" s="2" t="s">
        <v>938</v>
      </c>
      <c r="F66" s="3" t="s">
        <v>59</v>
      </c>
      <c r="G66" s="3" t="s">
        <v>60</v>
      </c>
      <c r="H66" s="3" t="s">
        <v>59</v>
      </c>
      <c r="I66" s="3" t="s">
        <v>59</v>
      </c>
      <c r="J66" s="3" t="s">
        <v>61</v>
      </c>
      <c r="K66" s="2" t="s">
        <v>939</v>
      </c>
      <c r="L66" s="2" t="s">
        <v>940</v>
      </c>
      <c r="M66" s="3" t="s">
        <v>500</v>
      </c>
      <c r="O66" s="3" t="s">
        <v>64</v>
      </c>
      <c r="P66" s="3" t="s">
        <v>84</v>
      </c>
      <c r="Q66" s="2" t="s">
        <v>941</v>
      </c>
      <c r="R66" s="3" t="s">
        <v>67</v>
      </c>
      <c r="S66" s="4">
        <v>1</v>
      </c>
      <c r="T66" s="4">
        <v>1</v>
      </c>
      <c r="U66" s="5" t="s">
        <v>942</v>
      </c>
      <c r="V66" s="5" t="s">
        <v>942</v>
      </c>
      <c r="W66" s="5" t="s">
        <v>501</v>
      </c>
      <c r="X66" s="5" t="s">
        <v>501</v>
      </c>
      <c r="Y66" s="4">
        <v>171</v>
      </c>
      <c r="Z66" s="4">
        <v>91</v>
      </c>
      <c r="AA66" s="4">
        <v>91</v>
      </c>
      <c r="AB66" s="4">
        <v>2</v>
      </c>
      <c r="AC66" s="4">
        <v>2</v>
      </c>
      <c r="AD66" s="4">
        <v>5</v>
      </c>
      <c r="AE66" s="4">
        <v>5</v>
      </c>
      <c r="AF66" s="4">
        <v>1</v>
      </c>
      <c r="AG66" s="4">
        <v>1</v>
      </c>
      <c r="AH66" s="4">
        <v>1</v>
      </c>
      <c r="AI66" s="4">
        <v>1</v>
      </c>
      <c r="AJ66" s="4">
        <v>3</v>
      </c>
      <c r="AK66" s="4">
        <v>3</v>
      </c>
      <c r="AL66" s="4">
        <v>1</v>
      </c>
      <c r="AM66" s="4">
        <v>1</v>
      </c>
      <c r="AN66" s="4">
        <v>0</v>
      </c>
      <c r="AO66" s="4">
        <v>0</v>
      </c>
      <c r="AP66" s="3" t="s">
        <v>59</v>
      </c>
      <c r="AQ66" s="3" t="s">
        <v>59</v>
      </c>
      <c r="AS66" s="6" t="str">
        <f>HYPERLINK("https://creighton-primo.hosted.exlibrisgroup.com/primo-explore/search?tab=default_tab&amp;search_scope=EVERYTHING&amp;vid=01CRU&amp;lang=en_US&amp;offset=0&amp;query=any,contains,991000800359702656","Catalog Record")</f>
        <v>Catalog Record</v>
      </c>
      <c r="AT66" s="6" t="str">
        <f>HYPERLINK("http://www.worldcat.org/oclc/138681","WorldCat Record")</f>
        <v>WorldCat Record</v>
      </c>
      <c r="AU66" s="3" t="s">
        <v>943</v>
      </c>
      <c r="AV66" s="3" t="s">
        <v>944</v>
      </c>
      <c r="AW66" s="3" t="s">
        <v>945</v>
      </c>
      <c r="AX66" s="3" t="s">
        <v>945</v>
      </c>
      <c r="AY66" s="3" t="s">
        <v>946</v>
      </c>
      <c r="AZ66" s="3" t="s">
        <v>75</v>
      </c>
      <c r="BB66" s="3" t="s">
        <v>947</v>
      </c>
      <c r="BC66" s="3" t="s">
        <v>948</v>
      </c>
      <c r="BD66" s="3" t="s">
        <v>949</v>
      </c>
    </row>
    <row r="67" spans="1:56" ht="48" customHeight="1" x14ac:dyDescent="0.25">
      <c r="A67" s="7" t="s">
        <v>59</v>
      </c>
      <c r="B67" s="2" t="s">
        <v>950</v>
      </c>
      <c r="C67" s="2" t="s">
        <v>951</v>
      </c>
      <c r="D67" s="2" t="s">
        <v>952</v>
      </c>
      <c r="F67" s="3" t="s">
        <v>59</v>
      </c>
      <c r="G67" s="3" t="s">
        <v>60</v>
      </c>
      <c r="H67" s="3" t="s">
        <v>59</v>
      </c>
      <c r="I67" s="3" t="s">
        <v>59</v>
      </c>
      <c r="J67" s="3" t="s">
        <v>61</v>
      </c>
      <c r="L67" s="2" t="s">
        <v>953</v>
      </c>
      <c r="M67" s="3" t="s">
        <v>590</v>
      </c>
      <c r="O67" s="3" t="s">
        <v>64</v>
      </c>
      <c r="P67" s="3" t="s">
        <v>65</v>
      </c>
      <c r="R67" s="3" t="s">
        <v>67</v>
      </c>
      <c r="S67" s="4">
        <v>4</v>
      </c>
      <c r="T67" s="4">
        <v>4</v>
      </c>
      <c r="U67" s="5" t="s">
        <v>521</v>
      </c>
      <c r="V67" s="5" t="s">
        <v>521</v>
      </c>
      <c r="W67" s="5" t="s">
        <v>148</v>
      </c>
      <c r="X67" s="5" t="s">
        <v>148</v>
      </c>
      <c r="Y67" s="4">
        <v>190</v>
      </c>
      <c r="Z67" s="4">
        <v>152</v>
      </c>
      <c r="AA67" s="4">
        <v>177</v>
      </c>
      <c r="AB67" s="4">
        <v>2</v>
      </c>
      <c r="AC67" s="4">
        <v>2</v>
      </c>
      <c r="AD67" s="4">
        <v>5</v>
      </c>
      <c r="AE67" s="4">
        <v>6</v>
      </c>
      <c r="AF67" s="4">
        <v>1</v>
      </c>
      <c r="AG67" s="4">
        <v>2</v>
      </c>
      <c r="AH67" s="4">
        <v>1</v>
      </c>
      <c r="AI67" s="4">
        <v>1</v>
      </c>
      <c r="AJ67" s="4">
        <v>3</v>
      </c>
      <c r="AK67" s="4">
        <v>4</v>
      </c>
      <c r="AL67" s="4">
        <v>1</v>
      </c>
      <c r="AM67" s="4">
        <v>1</v>
      </c>
      <c r="AN67" s="4">
        <v>0</v>
      </c>
      <c r="AO67" s="4">
        <v>0</v>
      </c>
      <c r="AP67" s="3" t="s">
        <v>59</v>
      </c>
      <c r="AQ67" s="3" t="s">
        <v>70</v>
      </c>
      <c r="AR67" s="6" t="str">
        <f>HYPERLINK("http://catalog.hathitrust.org/Record/000917536","HathiTrust Record")</f>
        <v>HathiTrust Record</v>
      </c>
      <c r="AS67" s="6" t="str">
        <f>HYPERLINK("https://creighton-primo.hosted.exlibrisgroup.com/primo-explore/search?tab=default_tab&amp;search_scope=EVERYTHING&amp;vid=01CRU&amp;lang=en_US&amp;offset=0&amp;query=any,contains,991001085929702656","Catalog Record")</f>
        <v>Catalog Record</v>
      </c>
      <c r="AT67" s="6" t="str">
        <f>HYPERLINK("http://www.worldcat.org/oclc/16129132","WorldCat Record")</f>
        <v>WorldCat Record</v>
      </c>
      <c r="AU67" s="3" t="s">
        <v>954</v>
      </c>
      <c r="AV67" s="3" t="s">
        <v>955</v>
      </c>
      <c r="AW67" s="3" t="s">
        <v>956</v>
      </c>
      <c r="AX67" s="3" t="s">
        <v>956</v>
      </c>
      <c r="AY67" s="3" t="s">
        <v>957</v>
      </c>
      <c r="AZ67" s="3" t="s">
        <v>75</v>
      </c>
      <c r="BB67" s="3" t="s">
        <v>958</v>
      </c>
      <c r="BC67" s="3" t="s">
        <v>959</v>
      </c>
      <c r="BD67" s="3" t="s">
        <v>960</v>
      </c>
    </row>
    <row r="68" spans="1:56" ht="48" customHeight="1" x14ac:dyDescent="0.25">
      <c r="A68" s="7" t="s">
        <v>59</v>
      </c>
      <c r="B68" s="2" t="s">
        <v>961</v>
      </c>
      <c r="C68" s="2" t="s">
        <v>962</v>
      </c>
      <c r="D68" s="2" t="s">
        <v>963</v>
      </c>
      <c r="F68" s="3" t="s">
        <v>59</v>
      </c>
      <c r="G68" s="3" t="s">
        <v>60</v>
      </c>
      <c r="H68" s="3" t="s">
        <v>59</v>
      </c>
      <c r="I68" s="3" t="s">
        <v>59</v>
      </c>
      <c r="J68" s="3" t="s">
        <v>61</v>
      </c>
      <c r="K68" s="2" t="s">
        <v>964</v>
      </c>
      <c r="L68" s="2" t="s">
        <v>965</v>
      </c>
      <c r="M68" s="3" t="s">
        <v>98</v>
      </c>
      <c r="O68" s="3" t="s">
        <v>64</v>
      </c>
      <c r="P68" s="3" t="s">
        <v>912</v>
      </c>
      <c r="Q68" s="2" t="s">
        <v>966</v>
      </c>
      <c r="R68" s="3" t="s">
        <v>67</v>
      </c>
      <c r="S68" s="4">
        <v>1</v>
      </c>
      <c r="T68" s="4">
        <v>1</v>
      </c>
      <c r="U68" s="5" t="s">
        <v>967</v>
      </c>
      <c r="V68" s="5" t="s">
        <v>967</v>
      </c>
      <c r="W68" s="5" t="s">
        <v>501</v>
      </c>
      <c r="X68" s="5" t="s">
        <v>501</v>
      </c>
      <c r="Y68" s="4">
        <v>588</v>
      </c>
      <c r="Z68" s="4">
        <v>449</v>
      </c>
      <c r="AA68" s="4">
        <v>451</v>
      </c>
      <c r="AB68" s="4">
        <v>8</v>
      </c>
      <c r="AC68" s="4">
        <v>8</v>
      </c>
      <c r="AD68" s="4">
        <v>18</v>
      </c>
      <c r="AE68" s="4">
        <v>18</v>
      </c>
      <c r="AF68" s="4">
        <v>5</v>
      </c>
      <c r="AG68" s="4">
        <v>5</v>
      </c>
      <c r="AH68" s="4">
        <v>2</v>
      </c>
      <c r="AI68" s="4">
        <v>2</v>
      </c>
      <c r="AJ68" s="4">
        <v>9</v>
      </c>
      <c r="AK68" s="4">
        <v>9</v>
      </c>
      <c r="AL68" s="4">
        <v>6</v>
      </c>
      <c r="AM68" s="4">
        <v>6</v>
      </c>
      <c r="AN68" s="4">
        <v>0</v>
      </c>
      <c r="AO68" s="4">
        <v>0</v>
      </c>
      <c r="AP68" s="3" t="s">
        <v>59</v>
      </c>
      <c r="AQ68" s="3" t="s">
        <v>70</v>
      </c>
      <c r="AR68" s="6" t="str">
        <f>HYPERLINK("http://catalog.hathitrust.org/Record/001554068","HathiTrust Record")</f>
        <v>HathiTrust Record</v>
      </c>
      <c r="AS68" s="6" t="str">
        <f>HYPERLINK("https://creighton-primo.hosted.exlibrisgroup.com/primo-explore/search?tab=default_tab&amp;search_scope=EVERYTHING&amp;vid=01CRU&amp;lang=en_US&amp;offset=0&amp;query=any,contains,991005266449702656","Catalog Record")</f>
        <v>Catalog Record</v>
      </c>
      <c r="AT68" s="6" t="str">
        <f>HYPERLINK("http://www.worldcat.org/oclc/141979","WorldCat Record")</f>
        <v>WorldCat Record</v>
      </c>
      <c r="AU68" s="3" t="s">
        <v>968</v>
      </c>
      <c r="AV68" s="3" t="s">
        <v>969</v>
      </c>
      <c r="AW68" s="3" t="s">
        <v>970</v>
      </c>
      <c r="AX68" s="3" t="s">
        <v>970</v>
      </c>
      <c r="AY68" s="3" t="s">
        <v>971</v>
      </c>
      <c r="AZ68" s="3" t="s">
        <v>75</v>
      </c>
      <c r="BB68" s="3" t="s">
        <v>972</v>
      </c>
      <c r="BC68" s="3" t="s">
        <v>973</v>
      </c>
      <c r="BD68" s="3" t="s">
        <v>974</v>
      </c>
    </row>
    <row r="69" spans="1:56" ht="48" customHeight="1" x14ac:dyDescent="0.25">
      <c r="A69" s="7" t="s">
        <v>59</v>
      </c>
      <c r="B69" s="2" t="s">
        <v>975</v>
      </c>
      <c r="C69" s="2" t="s">
        <v>976</v>
      </c>
      <c r="D69" s="2" t="s">
        <v>977</v>
      </c>
      <c r="F69" s="3" t="s">
        <v>59</v>
      </c>
      <c r="G69" s="3" t="s">
        <v>60</v>
      </c>
      <c r="H69" s="3" t="s">
        <v>59</v>
      </c>
      <c r="I69" s="3" t="s">
        <v>59</v>
      </c>
      <c r="J69" s="3" t="s">
        <v>61</v>
      </c>
      <c r="L69" s="2" t="s">
        <v>978</v>
      </c>
      <c r="M69" s="3" t="s">
        <v>113</v>
      </c>
      <c r="O69" s="3" t="s">
        <v>64</v>
      </c>
      <c r="P69" s="3" t="s">
        <v>130</v>
      </c>
      <c r="R69" s="3" t="s">
        <v>67</v>
      </c>
      <c r="S69" s="4">
        <v>5</v>
      </c>
      <c r="T69" s="4">
        <v>5</v>
      </c>
      <c r="U69" s="5" t="s">
        <v>979</v>
      </c>
      <c r="V69" s="5" t="s">
        <v>979</v>
      </c>
      <c r="W69" s="5" t="s">
        <v>148</v>
      </c>
      <c r="X69" s="5" t="s">
        <v>148</v>
      </c>
      <c r="Y69" s="4">
        <v>307</v>
      </c>
      <c r="Z69" s="4">
        <v>222</v>
      </c>
      <c r="AA69" s="4">
        <v>244</v>
      </c>
      <c r="AB69" s="4">
        <v>2</v>
      </c>
      <c r="AC69" s="4">
        <v>2</v>
      </c>
      <c r="AD69" s="4">
        <v>12</v>
      </c>
      <c r="AE69" s="4">
        <v>12</v>
      </c>
      <c r="AF69" s="4">
        <v>3</v>
      </c>
      <c r="AG69" s="4">
        <v>3</v>
      </c>
      <c r="AH69" s="4">
        <v>4</v>
      </c>
      <c r="AI69" s="4">
        <v>4</v>
      </c>
      <c r="AJ69" s="4">
        <v>8</v>
      </c>
      <c r="AK69" s="4">
        <v>8</v>
      </c>
      <c r="AL69" s="4">
        <v>1</v>
      </c>
      <c r="AM69" s="4">
        <v>1</v>
      </c>
      <c r="AN69" s="4">
        <v>0</v>
      </c>
      <c r="AO69" s="4">
        <v>0</v>
      </c>
      <c r="AP69" s="3" t="s">
        <v>59</v>
      </c>
      <c r="AQ69" s="3" t="s">
        <v>70</v>
      </c>
      <c r="AR69" s="6" t="str">
        <f>HYPERLINK("http://catalog.hathitrust.org/Record/000810842","HathiTrust Record")</f>
        <v>HathiTrust Record</v>
      </c>
      <c r="AS69" s="6" t="str">
        <f>HYPERLINK("https://creighton-primo.hosted.exlibrisgroup.com/primo-explore/search?tab=default_tab&amp;search_scope=EVERYTHING&amp;vid=01CRU&amp;lang=en_US&amp;offset=0&amp;query=any,contains,991000929329702656","Catalog Record")</f>
        <v>Catalog Record</v>
      </c>
      <c r="AT69" s="6" t="str">
        <f>HYPERLINK("http://www.worldcat.org/oclc/14243660","WorldCat Record")</f>
        <v>WorldCat Record</v>
      </c>
      <c r="AU69" s="3" t="s">
        <v>980</v>
      </c>
      <c r="AV69" s="3" t="s">
        <v>981</v>
      </c>
      <c r="AW69" s="3" t="s">
        <v>982</v>
      </c>
      <c r="AX69" s="3" t="s">
        <v>982</v>
      </c>
      <c r="AY69" s="3" t="s">
        <v>983</v>
      </c>
      <c r="AZ69" s="3" t="s">
        <v>75</v>
      </c>
      <c r="BB69" s="3" t="s">
        <v>984</v>
      </c>
      <c r="BC69" s="3" t="s">
        <v>985</v>
      </c>
      <c r="BD69" s="3" t="s">
        <v>986</v>
      </c>
    </row>
    <row r="70" spans="1:56" ht="48" customHeight="1" x14ac:dyDescent="0.25">
      <c r="A70" s="7" t="s">
        <v>59</v>
      </c>
      <c r="B70" s="2" t="s">
        <v>987</v>
      </c>
      <c r="C70" s="2" t="s">
        <v>988</v>
      </c>
      <c r="D70" s="2" t="s">
        <v>989</v>
      </c>
      <c r="F70" s="3" t="s">
        <v>70</v>
      </c>
      <c r="G70" s="3" t="s">
        <v>60</v>
      </c>
      <c r="H70" s="3" t="s">
        <v>70</v>
      </c>
      <c r="I70" s="3" t="s">
        <v>59</v>
      </c>
      <c r="J70" s="3" t="s">
        <v>61</v>
      </c>
      <c r="K70" s="2" t="s">
        <v>990</v>
      </c>
      <c r="L70" s="2" t="s">
        <v>991</v>
      </c>
      <c r="M70" s="3" t="s">
        <v>992</v>
      </c>
      <c r="O70" s="3" t="s">
        <v>64</v>
      </c>
      <c r="P70" s="3" t="s">
        <v>84</v>
      </c>
      <c r="Q70" s="2" t="s">
        <v>993</v>
      </c>
      <c r="R70" s="3" t="s">
        <v>67</v>
      </c>
      <c r="S70" s="4">
        <v>0</v>
      </c>
      <c r="T70" s="4">
        <v>1</v>
      </c>
      <c r="V70" s="5" t="s">
        <v>994</v>
      </c>
      <c r="W70" s="5" t="s">
        <v>995</v>
      </c>
      <c r="X70" s="5" t="s">
        <v>996</v>
      </c>
      <c r="Y70" s="4">
        <v>461</v>
      </c>
      <c r="Z70" s="4">
        <v>381</v>
      </c>
      <c r="AA70" s="4">
        <v>438</v>
      </c>
      <c r="AB70" s="4">
        <v>6</v>
      </c>
      <c r="AC70" s="4">
        <v>6</v>
      </c>
      <c r="AD70" s="4">
        <v>19</v>
      </c>
      <c r="AE70" s="4">
        <v>21</v>
      </c>
      <c r="AF70" s="4">
        <v>4</v>
      </c>
      <c r="AG70" s="4">
        <v>5</v>
      </c>
      <c r="AH70" s="4">
        <v>6</v>
      </c>
      <c r="AI70" s="4">
        <v>7</v>
      </c>
      <c r="AJ70" s="4">
        <v>9</v>
      </c>
      <c r="AK70" s="4">
        <v>9</v>
      </c>
      <c r="AL70" s="4">
        <v>5</v>
      </c>
      <c r="AM70" s="4">
        <v>5</v>
      </c>
      <c r="AN70" s="4">
        <v>0</v>
      </c>
      <c r="AO70" s="4">
        <v>0</v>
      </c>
      <c r="AP70" s="3" t="s">
        <v>59</v>
      </c>
      <c r="AQ70" s="3" t="s">
        <v>70</v>
      </c>
      <c r="AR70" s="6" t="str">
        <f>HYPERLINK("http://catalog.hathitrust.org/Record/000776765","HathiTrust Record")</f>
        <v>HathiTrust Record</v>
      </c>
      <c r="AS70" s="6" t="str">
        <f>HYPERLINK("https://creighton-primo.hosted.exlibrisgroup.com/primo-explore/search?tab=default_tab&amp;search_scope=EVERYTHING&amp;vid=01CRU&amp;lang=en_US&amp;offset=0&amp;query=any,contains,991002166039702656","Catalog Record")</f>
        <v>Catalog Record</v>
      </c>
      <c r="AT70" s="6" t="str">
        <f>HYPERLINK("http://www.worldcat.org/oclc/275402","WorldCat Record")</f>
        <v>WorldCat Record</v>
      </c>
      <c r="AU70" s="3" t="s">
        <v>997</v>
      </c>
      <c r="AV70" s="3" t="s">
        <v>998</v>
      </c>
      <c r="AW70" s="3" t="s">
        <v>999</v>
      </c>
      <c r="AX70" s="3" t="s">
        <v>999</v>
      </c>
      <c r="AY70" s="3" t="s">
        <v>1000</v>
      </c>
      <c r="AZ70" s="3" t="s">
        <v>75</v>
      </c>
      <c r="BB70" s="3" t="s">
        <v>1001</v>
      </c>
      <c r="BC70" s="3" t="s">
        <v>1002</v>
      </c>
      <c r="BD70" s="3" t="s">
        <v>1003</v>
      </c>
    </row>
    <row r="71" spans="1:56" ht="48" customHeight="1" x14ac:dyDescent="0.25">
      <c r="A71" s="7" t="s">
        <v>59</v>
      </c>
      <c r="B71" s="2" t="s">
        <v>1004</v>
      </c>
      <c r="C71" s="2" t="s">
        <v>1005</v>
      </c>
      <c r="D71" s="2" t="s">
        <v>989</v>
      </c>
      <c r="E71" s="3" t="s">
        <v>1006</v>
      </c>
      <c r="F71" s="3" t="s">
        <v>70</v>
      </c>
      <c r="G71" s="3" t="s">
        <v>60</v>
      </c>
      <c r="H71" s="3" t="s">
        <v>59</v>
      </c>
      <c r="I71" s="3" t="s">
        <v>59</v>
      </c>
      <c r="J71" s="3" t="s">
        <v>61</v>
      </c>
      <c r="K71" s="2" t="s">
        <v>990</v>
      </c>
      <c r="L71" s="2" t="s">
        <v>991</v>
      </c>
      <c r="M71" s="3" t="s">
        <v>992</v>
      </c>
      <c r="O71" s="3" t="s">
        <v>64</v>
      </c>
      <c r="P71" s="3" t="s">
        <v>84</v>
      </c>
      <c r="Q71" s="2" t="s">
        <v>993</v>
      </c>
      <c r="R71" s="3" t="s">
        <v>67</v>
      </c>
      <c r="S71" s="4">
        <v>1</v>
      </c>
      <c r="T71" s="4">
        <v>1</v>
      </c>
      <c r="U71" s="5" t="s">
        <v>994</v>
      </c>
      <c r="V71" s="5" t="s">
        <v>994</v>
      </c>
      <c r="W71" s="5" t="s">
        <v>996</v>
      </c>
      <c r="X71" s="5" t="s">
        <v>996</v>
      </c>
      <c r="Y71" s="4">
        <v>461</v>
      </c>
      <c r="Z71" s="4">
        <v>381</v>
      </c>
      <c r="AA71" s="4">
        <v>438</v>
      </c>
      <c r="AB71" s="4">
        <v>6</v>
      </c>
      <c r="AC71" s="4">
        <v>6</v>
      </c>
      <c r="AD71" s="4">
        <v>19</v>
      </c>
      <c r="AE71" s="4">
        <v>21</v>
      </c>
      <c r="AF71" s="4">
        <v>4</v>
      </c>
      <c r="AG71" s="4">
        <v>5</v>
      </c>
      <c r="AH71" s="4">
        <v>6</v>
      </c>
      <c r="AI71" s="4">
        <v>7</v>
      </c>
      <c r="AJ71" s="4">
        <v>9</v>
      </c>
      <c r="AK71" s="4">
        <v>9</v>
      </c>
      <c r="AL71" s="4">
        <v>5</v>
      </c>
      <c r="AM71" s="4">
        <v>5</v>
      </c>
      <c r="AN71" s="4">
        <v>0</v>
      </c>
      <c r="AO71" s="4">
        <v>0</v>
      </c>
      <c r="AP71" s="3" t="s">
        <v>59</v>
      </c>
      <c r="AQ71" s="3" t="s">
        <v>70</v>
      </c>
      <c r="AR71" s="6" t="str">
        <f>HYPERLINK("http://catalog.hathitrust.org/Record/000776765","HathiTrust Record")</f>
        <v>HathiTrust Record</v>
      </c>
      <c r="AS71" s="6" t="str">
        <f>HYPERLINK("https://creighton-primo.hosted.exlibrisgroup.com/primo-explore/search?tab=default_tab&amp;search_scope=EVERYTHING&amp;vid=01CRU&amp;lang=en_US&amp;offset=0&amp;query=any,contains,991002166039702656","Catalog Record")</f>
        <v>Catalog Record</v>
      </c>
      <c r="AT71" s="6" t="str">
        <f>HYPERLINK("http://www.worldcat.org/oclc/275402","WorldCat Record")</f>
        <v>WorldCat Record</v>
      </c>
      <c r="AU71" s="3" t="s">
        <v>997</v>
      </c>
      <c r="AV71" s="3" t="s">
        <v>998</v>
      </c>
      <c r="AW71" s="3" t="s">
        <v>999</v>
      </c>
      <c r="AX71" s="3" t="s">
        <v>999</v>
      </c>
      <c r="AY71" s="3" t="s">
        <v>1000</v>
      </c>
      <c r="AZ71" s="3" t="s">
        <v>75</v>
      </c>
      <c r="BB71" s="3" t="s">
        <v>1001</v>
      </c>
      <c r="BC71" s="3" t="s">
        <v>1007</v>
      </c>
      <c r="BD71" s="3" t="s">
        <v>1008</v>
      </c>
    </row>
    <row r="72" spans="1:56" ht="48" customHeight="1" x14ac:dyDescent="0.25">
      <c r="A72" s="7" t="s">
        <v>59</v>
      </c>
      <c r="B72" s="2" t="s">
        <v>1009</v>
      </c>
      <c r="C72" s="2" t="s">
        <v>1010</v>
      </c>
      <c r="D72" s="2" t="s">
        <v>1011</v>
      </c>
      <c r="F72" s="3" t="s">
        <v>59</v>
      </c>
      <c r="G72" s="3" t="s">
        <v>60</v>
      </c>
      <c r="H72" s="3" t="s">
        <v>59</v>
      </c>
      <c r="I72" s="3" t="s">
        <v>59</v>
      </c>
      <c r="J72" s="3" t="s">
        <v>61</v>
      </c>
      <c r="K72" s="2" t="s">
        <v>1012</v>
      </c>
      <c r="L72" s="2" t="s">
        <v>1013</v>
      </c>
      <c r="M72" s="3" t="s">
        <v>333</v>
      </c>
      <c r="O72" s="3" t="s">
        <v>64</v>
      </c>
      <c r="P72" s="3" t="s">
        <v>130</v>
      </c>
      <c r="R72" s="3" t="s">
        <v>67</v>
      </c>
      <c r="S72" s="4">
        <v>12</v>
      </c>
      <c r="T72" s="4">
        <v>12</v>
      </c>
      <c r="U72" s="5" t="s">
        <v>994</v>
      </c>
      <c r="V72" s="5" t="s">
        <v>994</v>
      </c>
      <c r="W72" s="5" t="s">
        <v>418</v>
      </c>
      <c r="X72" s="5" t="s">
        <v>418</v>
      </c>
      <c r="Y72" s="4">
        <v>536</v>
      </c>
      <c r="Z72" s="4">
        <v>445</v>
      </c>
      <c r="AA72" s="4">
        <v>449</v>
      </c>
      <c r="AB72" s="4">
        <v>5</v>
      </c>
      <c r="AC72" s="4">
        <v>5</v>
      </c>
      <c r="AD72" s="4">
        <v>22</v>
      </c>
      <c r="AE72" s="4">
        <v>22</v>
      </c>
      <c r="AF72" s="4">
        <v>8</v>
      </c>
      <c r="AG72" s="4">
        <v>8</v>
      </c>
      <c r="AH72" s="4">
        <v>5</v>
      </c>
      <c r="AI72" s="4">
        <v>5</v>
      </c>
      <c r="AJ72" s="4">
        <v>12</v>
      </c>
      <c r="AK72" s="4">
        <v>12</v>
      </c>
      <c r="AL72" s="4">
        <v>4</v>
      </c>
      <c r="AM72" s="4">
        <v>4</v>
      </c>
      <c r="AN72" s="4">
        <v>0</v>
      </c>
      <c r="AO72" s="4">
        <v>0</v>
      </c>
      <c r="AP72" s="3" t="s">
        <v>59</v>
      </c>
      <c r="AQ72" s="3" t="s">
        <v>70</v>
      </c>
      <c r="AR72" s="6" t="str">
        <f>HYPERLINK("http://catalog.hathitrust.org/Record/000614161","HathiTrust Record")</f>
        <v>HathiTrust Record</v>
      </c>
      <c r="AS72" s="6" t="str">
        <f>HYPERLINK("https://creighton-primo.hosted.exlibrisgroup.com/primo-explore/search?tab=default_tab&amp;search_scope=EVERYTHING&amp;vid=01CRU&amp;lang=en_US&amp;offset=0&amp;query=any,contains,991000404289702656","Catalog Record")</f>
        <v>Catalog Record</v>
      </c>
      <c r="AT72" s="6" t="str">
        <f>HYPERLINK("http://www.worldcat.org/oclc/10660082","WorldCat Record")</f>
        <v>WorldCat Record</v>
      </c>
      <c r="AU72" s="3" t="s">
        <v>1014</v>
      </c>
      <c r="AV72" s="3" t="s">
        <v>1015</v>
      </c>
      <c r="AW72" s="3" t="s">
        <v>1016</v>
      </c>
      <c r="AX72" s="3" t="s">
        <v>1016</v>
      </c>
      <c r="AY72" s="3" t="s">
        <v>1017</v>
      </c>
      <c r="AZ72" s="3" t="s">
        <v>75</v>
      </c>
      <c r="BB72" s="3" t="s">
        <v>1018</v>
      </c>
      <c r="BC72" s="3" t="s">
        <v>1019</v>
      </c>
      <c r="BD72" s="3" t="s">
        <v>1020</v>
      </c>
    </row>
    <row r="73" spans="1:56" ht="48" customHeight="1" x14ac:dyDescent="0.25">
      <c r="A73" s="7" t="s">
        <v>59</v>
      </c>
      <c r="B73" s="2" t="s">
        <v>1021</v>
      </c>
      <c r="C73" s="2" t="s">
        <v>1022</v>
      </c>
      <c r="D73" s="2" t="s">
        <v>1023</v>
      </c>
      <c r="E73" s="3" t="s">
        <v>713</v>
      </c>
      <c r="F73" s="3" t="s">
        <v>70</v>
      </c>
      <c r="G73" s="3" t="s">
        <v>60</v>
      </c>
      <c r="H73" s="3" t="s">
        <v>59</v>
      </c>
      <c r="I73" s="3" t="s">
        <v>59</v>
      </c>
      <c r="J73" s="3" t="s">
        <v>61</v>
      </c>
      <c r="L73" s="2" t="s">
        <v>1024</v>
      </c>
      <c r="M73" s="3" t="s">
        <v>190</v>
      </c>
      <c r="O73" s="3" t="s">
        <v>64</v>
      </c>
      <c r="P73" s="3" t="s">
        <v>191</v>
      </c>
      <c r="R73" s="3" t="s">
        <v>67</v>
      </c>
      <c r="S73" s="4">
        <v>5</v>
      </c>
      <c r="T73" s="4">
        <v>9</v>
      </c>
      <c r="U73" s="5" t="s">
        <v>1025</v>
      </c>
      <c r="V73" s="5" t="s">
        <v>1025</v>
      </c>
      <c r="W73" s="5" t="s">
        <v>148</v>
      </c>
      <c r="X73" s="5" t="s">
        <v>148</v>
      </c>
      <c r="Y73" s="4">
        <v>328</v>
      </c>
      <c r="Z73" s="4">
        <v>278</v>
      </c>
      <c r="AA73" s="4">
        <v>319</v>
      </c>
      <c r="AB73" s="4">
        <v>2</v>
      </c>
      <c r="AC73" s="4">
        <v>2</v>
      </c>
      <c r="AD73" s="4">
        <v>10</v>
      </c>
      <c r="AE73" s="4">
        <v>13</v>
      </c>
      <c r="AF73" s="4">
        <v>4</v>
      </c>
      <c r="AG73" s="4">
        <v>5</v>
      </c>
      <c r="AH73" s="4">
        <v>3</v>
      </c>
      <c r="AI73" s="4">
        <v>5</v>
      </c>
      <c r="AJ73" s="4">
        <v>5</v>
      </c>
      <c r="AK73" s="4">
        <v>6</v>
      </c>
      <c r="AL73" s="4">
        <v>1</v>
      </c>
      <c r="AM73" s="4">
        <v>1</v>
      </c>
      <c r="AN73" s="4">
        <v>0</v>
      </c>
      <c r="AO73" s="4">
        <v>0</v>
      </c>
      <c r="AP73" s="3" t="s">
        <v>59</v>
      </c>
      <c r="AQ73" s="3" t="s">
        <v>70</v>
      </c>
      <c r="AR73" s="6" t="str">
        <f>HYPERLINK("http://catalog.hathitrust.org/Record/000594442","HathiTrust Record")</f>
        <v>HathiTrust Record</v>
      </c>
      <c r="AS73" s="6" t="str">
        <f>HYPERLINK("https://creighton-primo.hosted.exlibrisgroup.com/primo-explore/search?tab=default_tab&amp;search_scope=EVERYTHING&amp;vid=01CRU&amp;lang=en_US&amp;offset=0&amp;query=any,contains,991000849859702656","Catalog Record")</f>
        <v>Catalog Record</v>
      </c>
      <c r="AT73" s="6" t="str">
        <f>HYPERLINK("http://www.worldcat.org/oclc/13581724","WorldCat Record")</f>
        <v>WorldCat Record</v>
      </c>
      <c r="AU73" s="3" t="s">
        <v>1026</v>
      </c>
      <c r="AV73" s="3" t="s">
        <v>1027</v>
      </c>
      <c r="AW73" s="3" t="s">
        <v>1028</v>
      </c>
      <c r="AX73" s="3" t="s">
        <v>1028</v>
      </c>
      <c r="AY73" s="3" t="s">
        <v>1029</v>
      </c>
      <c r="AZ73" s="3" t="s">
        <v>75</v>
      </c>
      <c r="BB73" s="3" t="s">
        <v>1030</v>
      </c>
      <c r="BC73" s="3" t="s">
        <v>1031</v>
      </c>
      <c r="BD73" s="3" t="s">
        <v>1032</v>
      </c>
    </row>
    <row r="74" spans="1:56" ht="48" customHeight="1" x14ac:dyDescent="0.25">
      <c r="A74" s="7" t="s">
        <v>59</v>
      </c>
      <c r="B74" s="2" t="s">
        <v>1021</v>
      </c>
      <c r="C74" s="2" t="s">
        <v>1022</v>
      </c>
      <c r="D74" s="2" t="s">
        <v>1023</v>
      </c>
      <c r="E74" s="3" t="s">
        <v>723</v>
      </c>
      <c r="F74" s="3" t="s">
        <v>70</v>
      </c>
      <c r="G74" s="3" t="s">
        <v>60</v>
      </c>
      <c r="H74" s="3" t="s">
        <v>59</v>
      </c>
      <c r="I74" s="3" t="s">
        <v>59</v>
      </c>
      <c r="J74" s="3" t="s">
        <v>61</v>
      </c>
      <c r="L74" s="2" t="s">
        <v>1024</v>
      </c>
      <c r="M74" s="3" t="s">
        <v>190</v>
      </c>
      <c r="O74" s="3" t="s">
        <v>64</v>
      </c>
      <c r="P74" s="3" t="s">
        <v>191</v>
      </c>
      <c r="R74" s="3" t="s">
        <v>67</v>
      </c>
      <c r="S74" s="4">
        <v>4</v>
      </c>
      <c r="T74" s="4">
        <v>9</v>
      </c>
      <c r="U74" s="5" t="s">
        <v>1025</v>
      </c>
      <c r="V74" s="5" t="s">
        <v>1025</v>
      </c>
      <c r="W74" s="5" t="s">
        <v>148</v>
      </c>
      <c r="X74" s="5" t="s">
        <v>148</v>
      </c>
      <c r="Y74" s="4">
        <v>328</v>
      </c>
      <c r="Z74" s="4">
        <v>278</v>
      </c>
      <c r="AA74" s="4">
        <v>319</v>
      </c>
      <c r="AB74" s="4">
        <v>2</v>
      </c>
      <c r="AC74" s="4">
        <v>2</v>
      </c>
      <c r="AD74" s="4">
        <v>10</v>
      </c>
      <c r="AE74" s="4">
        <v>13</v>
      </c>
      <c r="AF74" s="4">
        <v>4</v>
      </c>
      <c r="AG74" s="4">
        <v>5</v>
      </c>
      <c r="AH74" s="4">
        <v>3</v>
      </c>
      <c r="AI74" s="4">
        <v>5</v>
      </c>
      <c r="AJ74" s="4">
        <v>5</v>
      </c>
      <c r="AK74" s="4">
        <v>6</v>
      </c>
      <c r="AL74" s="4">
        <v>1</v>
      </c>
      <c r="AM74" s="4">
        <v>1</v>
      </c>
      <c r="AN74" s="4">
        <v>0</v>
      </c>
      <c r="AO74" s="4">
        <v>0</v>
      </c>
      <c r="AP74" s="3" t="s">
        <v>59</v>
      </c>
      <c r="AQ74" s="3" t="s">
        <v>70</v>
      </c>
      <c r="AR74" s="6" t="str">
        <f>HYPERLINK("http://catalog.hathitrust.org/Record/000594442","HathiTrust Record")</f>
        <v>HathiTrust Record</v>
      </c>
      <c r="AS74" s="6" t="str">
        <f>HYPERLINK("https://creighton-primo.hosted.exlibrisgroup.com/primo-explore/search?tab=default_tab&amp;search_scope=EVERYTHING&amp;vid=01CRU&amp;lang=en_US&amp;offset=0&amp;query=any,contains,991000849859702656","Catalog Record")</f>
        <v>Catalog Record</v>
      </c>
      <c r="AT74" s="6" t="str">
        <f>HYPERLINK("http://www.worldcat.org/oclc/13581724","WorldCat Record")</f>
        <v>WorldCat Record</v>
      </c>
      <c r="AU74" s="3" t="s">
        <v>1026</v>
      </c>
      <c r="AV74" s="3" t="s">
        <v>1027</v>
      </c>
      <c r="AW74" s="3" t="s">
        <v>1028</v>
      </c>
      <c r="AX74" s="3" t="s">
        <v>1028</v>
      </c>
      <c r="AY74" s="3" t="s">
        <v>1029</v>
      </c>
      <c r="AZ74" s="3" t="s">
        <v>75</v>
      </c>
      <c r="BB74" s="3" t="s">
        <v>1030</v>
      </c>
      <c r="BC74" s="3" t="s">
        <v>1033</v>
      </c>
      <c r="BD74" s="3" t="s">
        <v>1034</v>
      </c>
    </row>
    <row r="75" spans="1:56" ht="48" customHeight="1" x14ac:dyDescent="0.25">
      <c r="A75" s="7" t="s">
        <v>59</v>
      </c>
      <c r="B75" s="2" t="s">
        <v>1035</v>
      </c>
      <c r="C75" s="2" t="s">
        <v>1036</v>
      </c>
      <c r="D75" s="2" t="s">
        <v>1037</v>
      </c>
      <c r="F75" s="3" t="s">
        <v>59</v>
      </c>
      <c r="G75" s="3" t="s">
        <v>60</v>
      </c>
      <c r="H75" s="3" t="s">
        <v>59</v>
      </c>
      <c r="I75" s="3" t="s">
        <v>59</v>
      </c>
      <c r="J75" s="3" t="s">
        <v>61</v>
      </c>
      <c r="K75" s="2" t="s">
        <v>1038</v>
      </c>
      <c r="L75" s="2" t="s">
        <v>1039</v>
      </c>
      <c r="M75" s="3" t="s">
        <v>911</v>
      </c>
      <c r="O75" s="3" t="s">
        <v>64</v>
      </c>
      <c r="P75" s="3" t="s">
        <v>130</v>
      </c>
      <c r="R75" s="3" t="s">
        <v>67</v>
      </c>
      <c r="S75" s="4">
        <v>1</v>
      </c>
      <c r="T75" s="4">
        <v>1</v>
      </c>
      <c r="U75" s="5" t="s">
        <v>967</v>
      </c>
      <c r="V75" s="5" t="s">
        <v>967</v>
      </c>
      <c r="W75" s="5" t="s">
        <v>501</v>
      </c>
      <c r="X75" s="5" t="s">
        <v>501</v>
      </c>
      <c r="Y75" s="4">
        <v>477</v>
      </c>
      <c r="Z75" s="4">
        <v>369</v>
      </c>
      <c r="AA75" s="4">
        <v>427</v>
      </c>
      <c r="AB75" s="4">
        <v>6</v>
      </c>
      <c r="AC75" s="4">
        <v>6</v>
      </c>
      <c r="AD75" s="4">
        <v>16</v>
      </c>
      <c r="AE75" s="4">
        <v>19</v>
      </c>
      <c r="AF75" s="4">
        <v>5</v>
      </c>
      <c r="AG75" s="4">
        <v>7</v>
      </c>
      <c r="AH75" s="4">
        <v>4</v>
      </c>
      <c r="AI75" s="4">
        <v>6</v>
      </c>
      <c r="AJ75" s="4">
        <v>6</v>
      </c>
      <c r="AK75" s="4">
        <v>6</v>
      </c>
      <c r="AL75" s="4">
        <v>4</v>
      </c>
      <c r="AM75" s="4">
        <v>4</v>
      </c>
      <c r="AN75" s="4">
        <v>0</v>
      </c>
      <c r="AO75" s="4">
        <v>0</v>
      </c>
      <c r="AP75" s="3" t="s">
        <v>59</v>
      </c>
      <c r="AQ75" s="3" t="s">
        <v>70</v>
      </c>
      <c r="AR75" s="6" t="str">
        <f>HYPERLINK("http://catalog.hathitrust.org/Record/001554105","HathiTrust Record")</f>
        <v>HathiTrust Record</v>
      </c>
      <c r="AS75" s="6" t="str">
        <f>HYPERLINK("https://creighton-primo.hosted.exlibrisgroup.com/primo-explore/search?tab=default_tab&amp;search_scope=EVERYTHING&amp;vid=01CRU&amp;lang=en_US&amp;offset=0&amp;query=any,contains,991005266589702656","Catalog Record")</f>
        <v>Catalog Record</v>
      </c>
      <c r="AT75" s="6" t="str">
        <f>HYPERLINK("http://www.worldcat.org/oclc/556850","WorldCat Record")</f>
        <v>WorldCat Record</v>
      </c>
      <c r="AU75" s="3" t="s">
        <v>1040</v>
      </c>
      <c r="AV75" s="3" t="s">
        <v>1041</v>
      </c>
      <c r="AW75" s="3" t="s">
        <v>1042</v>
      </c>
      <c r="AX75" s="3" t="s">
        <v>1042</v>
      </c>
      <c r="AY75" s="3" t="s">
        <v>1043</v>
      </c>
      <c r="AZ75" s="3" t="s">
        <v>75</v>
      </c>
      <c r="BC75" s="3" t="s">
        <v>1044</v>
      </c>
      <c r="BD75" s="3" t="s">
        <v>1045</v>
      </c>
    </row>
    <row r="76" spans="1:56" ht="48" customHeight="1" x14ac:dyDescent="0.25">
      <c r="A76" s="7" t="s">
        <v>59</v>
      </c>
      <c r="B76" s="2" t="s">
        <v>1046</v>
      </c>
      <c r="C76" s="2" t="s">
        <v>1047</v>
      </c>
      <c r="D76" s="2" t="s">
        <v>1048</v>
      </c>
      <c r="F76" s="3" t="s">
        <v>59</v>
      </c>
      <c r="G76" s="3" t="s">
        <v>60</v>
      </c>
      <c r="H76" s="3" t="s">
        <v>59</v>
      </c>
      <c r="I76" s="3" t="s">
        <v>59</v>
      </c>
      <c r="J76" s="3" t="s">
        <v>61</v>
      </c>
      <c r="L76" s="2" t="s">
        <v>1049</v>
      </c>
      <c r="M76" s="3" t="s">
        <v>604</v>
      </c>
      <c r="O76" s="3" t="s">
        <v>64</v>
      </c>
      <c r="P76" s="3" t="s">
        <v>191</v>
      </c>
      <c r="R76" s="3" t="s">
        <v>67</v>
      </c>
      <c r="S76" s="4">
        <v>10</v>
      </c>
      <c r="T76" s="4">
        <v>10</v>
      </c>
      <c r="U76" s="5" t="s">
        <v>1050</v>
      </c>
      <c r="V76" s="5" t="s">
        <v>1050</v>
      </c>
      <c r="W76" s="5" t="s">
        <v>193</v>
      </c>
      <c r="X76" s="5" t="s">
        <v>193</v>
      </c>
      <c r="Y76" s="4">
        <v>195</v>
      </c>
      <c r="Z76" s="4">
        <v>165</v>
      </c>
      <c r="AA76" s="4">
        <v>170</v>
      </c>
      <c r="AB76" s="4">
        <v>2</v>
      </c>
      <c r="AC76" s="4">
        <v>2</v>
      </c>
      <c r="AD76" s="4">
        <v>7</v>
      </c>
      <c r="AE76" s="4">
        <v>7</v>
      </c>
      <c r="AF76" s="4">
        <v>2</v>
      </c>
      <c r="AG76" s="4">
        <v>2</v>
      </c>
      <c r="AH76" s="4">
        <v>1</v>
      </c>
      <c r="AI76" s="4">
        <v>1</v>
      </c>
      <c r="AJ76" s="4">
        <v>4</v>
      </c>
      <c r="AK76" s="4">
        <v>4</v>
      </c>
      <c r="AL76" s="4">
        <v>1</v>
      </c>
      <c r="AM76" s="4">
        <v>1</v>
      </c>
      <c r="AN76" s="4">
        <v>0</v>
      </c>
      <c r="AO76" s="4">
        <v>0</v>
      </c>
      <c r="AP76" s="3" t="s">
        <v>59</v>
      </c>
      <c r="AQ76" s="3" t="s">
        <v>59</v>
      </c>
      <c r="AS76" s="6" t="str">
        <f>HYPERLINK("https://creighton-primo.hosted.exlibrisgroup.com/primo-explore/search?tab=default_tab&amp;search_scope=EVERYTHING&amp;vid=01CRU&amp;lang=en_US&amp;offset=0&amp;query=any,contains,991002403319702656","Catalog Record")</f>
        <v>Catalog Record</v>
      </c>
      <c r="AT76" s="6" t="str">
        <f>HYPERLINK("http://www.worldcat.org/oclc/31242894","WorldCat Record")</f>
        <v>WorldCat Record</v>
      </c>
      <c r="AU76" s="3" t="s">
        <v>1051</v>
      </c>
      <c r="AV76" s="3" t="s">
        <v>1052</v>
      </c>
      <c r="AW76" s="3" t="s">
        <v>1053</v>
      </c>
      <c r="AX76" s="3" t="s">
        <v>1053</v>
      </c>
      <c r="AY76" s="3" t="s">
        <v>1054</v>
      </c>
      <c r="AZ76" s="3" t="s">
        <v>75</v>
      </c>
      <c r="BB76" s="3" t="s">
        <v>1055</v>
      </c>
      <c r="BC76" s="3" t="s">
        <v>1056</v>
      </c>
      <c r="BD76" s="3" t="s">
        <v>1057</v>
      </c>
    </row>
    <row r="77" spans="1:56" ht="48" customHeight="1" x14ac:dyDescent="0.25">
      <c r="A77" s="7" t="s">
        <v>59</v>
      </c>
      <c r="B77" s="2" t="s">
        <v>1058</v>
      </c>
      <c r="C77" s="2" t="s">
        <v>1059</v>
      </c>
      <c r="D77" s="2" t="s">
        <v>1060</v>
      </c>
      <c r="F77" s="3" t="s">
        <v>59</v>
      </c>
      <c r="G77" s="3" t="s">
        <v>60</v>
      </c>
      <c r="H77" s="3" t="s">
        <v>59</v>
      </c>
      <c r="I77" s="3" t="s">
        <v>59</v>
      </c>
      <c r="J77" s="3" t="s">
        <v>61</v>
      </c>
      <c r="M77" s="3" t="s">
        <v>590</v>
      </c>
      <c r="O77" s="3" t="s">
        <v>64</v>
      </c>
      <c r="P77" s="3" t="s">
        <v>130</v>
      </c>
      <c r="Q77" s="2" t="s">
        <v>1061</v>
      </c>
      <c r="R77" s="3" t="s">
        <v>67</v>
      </c>
      <c r="S77" s="4">
        <v>1</v>
      </c>
      <c r="T77" s="4">
        <v>1</v>
      </c>
      <c r="U77" s="5" t="s">
        <v>521</v>
      </c>
      <c r="V77" s="5" t="s">
        <v>521</v>
      </c>
      <c r="W77" s="5" t="s">
        <v>148</v>
      </c>
      <c r="X77" s="5" t="s">
        <v>148</v>
      </c>
      <c r="Y77" s="4">
        <v>91</v>
      </c>
      <c r="Z77" s="4">
        <v>70</v>
      </c>
      <c r="AA77" s="4">
        <v>72</v>
      </c>
      <c r="AB77" s="4">
        <v>2</v>
      </c>
      <c r="AC77" s="4">
        <v>2</v>
      </c>
      <c r="AD77" s="4">
        <v>3</v>
      </c>
      <c r="AE77" s="4">
        <v>3</v>
      </c>
      <c r="AF77" s="4">
        <v>0</v>
      </c>
      <c r="AG77" s="4">
        <v>0</v>
      </c>
      <c r="AH77" s="4">
        <v>1</v>
      </c>
      <c r="AI77" s="4">
        <v>1</v>
      </c>
      <c r="AJ77" s="4">
        <v>2</v>
      </c>
      <c r="AK77" s="4">
        <v>2</v>
      </c>
      <c r="AL77" s="4">
        <v>1</v>
      </c>
      <c r="AM77" s="4">
        <v>1</v>
      </c>
      <c r="AN77" s="4">
        <v>0</v>
      </c>
      <c r="AO77" s="4">
        <v>0</v>
      </c>
      <c r="AP77" s="3" t="s">
        <v>59</v>
      </c>
      <c r="AQ77" s="3" t="s">
        <v>70</v>
      </c>
      <c r="AR77" s="6" t="str">
        <f>HYPERLINK("http://catalog.hathitrust.org/Record/001815713","HathiTrust Record")</f>
        <v>HathiTrust Record</v>
      </c>
      <c r="AS77" s="6" t="str">
        <f>HYPERLINK("https://creighton-primo.hosted.exlibrisgroup.com/primo-explore/search?tab=default_tab&amp;search_scope=EVERYTHING&amp;vid=01CRU&amp;lang=en_US&amp;offset=0&amp;query=any,contains,991001446479702656","Catalog Record")</f>
        <v>Catalog Record</v>
      </c>
      <c r="AT77" s="6" t="str">
        <f>HYPERLINK("http://www.worldcat.org/oclc/19280666","WorldCat Record")</f>
        <v>WorldCat Record</v>
      </c>
      <c r="AU77" s="3" t="s">
        <v>1062</v>
      </c>
      <c r="AV77" s="3" t="s">
        <v>1063</v>
      </c>
      <c r="AW77" s="3" t="s">
        <v>1064</v>
      </c>
      <c r="AX77" s="3" t="s">
        <v>1064</v>
      </c>
      <c r="AY77" s="3" t="s">
        <v>1065</v>
      </c>
      <c r="AZ77" s="3" t="s">
        <v>75</v>
      </c>
      <c r="BB77" s="3" t="s">
        <v>1066</v>
      </c>
      <c r="BC77" s="3" t="s">
        <v>1067</v>
      </c>
      <c r="BD77" s="3" t="s">
        <v>1068</v>
      </c>
    </row>
    <row r="78" spans="1:56" ht="48" customHeight="1" x14ac:dyDescent="0.25">
      <c r="A78" s="7" t="s">
        <v>59</v>
      </c>
      <c r="B78" s="2" t="s">
        <v>1069</v>
      </c>
      <c r="C78" s="2" t="s">
        <v>1070</v>
      </c>
      <c r="D78" s="2" t="s">
        <v>1071</v>
      </c>
      <c r="E78" s="3" t="s">
        <v>58</v>
      </c>
      <c r="F78" s="3" t="s">
        <v>59</v>
      </c>
      <c r="G78" s="3" t="s">
        <v>60</v>
      </c>
      <c r="H78" s="3" t="s">
        <v>59</v>
      </c>
      <c r="I78" s="3" t="s">
        <v>59</v>
      </c>
      <c r="J78" s="3" t="s">
        <v>61</v>
      </c>
      <c r="L78" s="2" t="s">
        <v>1072</v>
      </c>
      <c r="M78" s="3" t="s">
        <v>319</v>
      </c>
      <c r="O78" s="3" t="s">
        <v>64</v>
      </c>
      <c r="P78" s="3" t="s">
        <v>130</v>
      </c>
      <c r="Q78" s="2" t="s">
        <v>1073</v>
      </c>
      <c r="R78" s="3" t="s">
        <v>67</v>
      </c>
      <c r="S78" s="4">
        <v>1</v>
      </c>
      <c r="T78" s="4">
        <v>1</v>
      </c>
      <c r="U78" s="5" t="s">
        <v>1074</v>
      </c>
      <c r="V78" s="5" t="s">
        <v>1074</v>
      </c>
      <c r="W78" s="5" t="s">
        <v>148</v>
      </c>
      <c r="X78" s="5" t="s">
        <v>148</v>
      </c>
      <c r="Y78" s="4">
        <v>261</v>
      </c>
      <c r="Z78" s="4">
        <v>196</v>
      </c>
      <c r="AA78" s="4">
        <v>198</v>
      </c>
      <c r="AB78" s="4">
        <v>3</v>
      </c>
      <c r="AC78" s="4">
        <v>3</v>
      </c>
      <c r="AD78" s="4">
        <v>4</v>
      </c>
      <c r="AE78" s="4">
        <v>4</v>
      </c>
      <c r="AF78" s="4">
        <v>0</v>
      </c>
      <c r="AG78" s="4">
        <v>0</v>
      </c>
      <c r="AH78" s="4">
        <v>1</v>
      </c>
      <c r="AI78" s="4">
        <v>1</v>
      </c>
      <c r="AJ78" s="4">
        <v>2</v>
      </c>
      <c r="AK78" s="4">
        <v>2</v>
      </c>
      <c r="AL78" s="4">
        <v>2</v>
      </c>
      <c r="AM78" s="4">
        <v>2</v>
      </c>
      <c r="AN78" s="4">
        <v>0</v>
      </c>
      <c r="AO78" s="4">
        <v>0</v>
      </c>
      <c r="AP78" s="3" t="s">
        <v>59</v>
      </c>
      <c r="AQ78" s="3" t="s">
        <v>70</v>
      </c>
      <c r="AR78" s="6" t="str">
        <f>HYPERLINK("http://catalog.hathitrust.org/Record/000122465","HathiTrust Record")</f>
        <v>HathiTrust Record</v>
      </c>
      <c r="AS78" s="6" t="str">
        <f>HYPERLINK("https://creighton-primo.hosted.exlibrisgroup.com/primo-explore/search?tab=default_tab&amp;search_scope=EVERYTHING&amp;vid=01CRU&amp;lang=en_US&amp;offset=0&amp;query=any,contains,991000389259702656","Catalog Record")</f>
        <v>Catalog Record</v>
      </c>
      <c r="AT78" s="6" t="str">
        <f>HYPERLINK("http://www.worldcat.org/oclc/10533622","WorldCat Record")</f>
        <v>WorldCat Record</v>
      </c>
      <c r="AU78" s="3" t="s">
        <v>1075</v>
      </c>
      <c r="AV78" s="3" t="s">
        <v>1076</v>
      </c>
      <c r="AW78" s="3" t="s">
        <v>1077</v>
      </c>
      <c r="AX78" s="3" t="s">
        <v>1077</v>
      </c>
      <c r="AY78" s="3" t="s">
        <v>1078</v>
      </c>
      <c r="AZ78" s="3" t="s">
        <v>75</v>
      </c>
      <c r="BB78" s="3" t="s">
        <v>1079</v>
      </c>
      <c r="BC78" s="3" t="s">
        <v>1080</v>
      </c>
      <c r="BD78" s="3" t="s">
        <v>1081</v>
      </c>
    </row>
    <row r="79" spans="1:56" ht="48" customHeight="1" x14ac:dyDescent="0.25">
      <c r="A79" s="7" t="s">
        <v>59</v>
      </c>
      <c r="B79" s="2" t="s">
        <v>1082</v>
      </c>
      <c r="C79" s="2" t="s">
        <v>1083</v>
      </c>
      <c r="D79" s="2" t="s">
        <v>1084</v>
      </c>
      <c r="E79" s="3" t="s">
        <v>512</v>
      </c>
      <c r="F79" s="3" t="s">
        <v>59</v>
      </c>
      <c r="G79" s="3" t="s">
        <v>60</v>
      </c>
      <c r="H79" s="3" t="s">
        <v>59</v>
      </c>
      <c r="I79" s="3" t="s">
        <v>59</v>
      </c>
      <c r="J79" s="3" t="s">
        <v>61</v>
      </c>
      <c r="L79" s="2" t="s">
        <v>1085</v>
      </c>
      <c r="M79" s="3" t="s">
        <v>485</v>
      </c>
      <c r="O79" s="3" t="s">
        <v>64</v>
      </c>
      <c r="P79" s="3" t="s">
        <v>130</v>
      </c>
      <c r="Q79" s="2" t="s">
        <v>1086</v>
      </c>
      <c r="R79" s="3" t="s">
        <v>67</v>
      </c>
      <c r="S79" s="4">
        <v>3</v>
      </c>
      <c r="T79" s="4">
        <v>3</v>
      </c>
      <c r="U79" s="5" t="s">
        <v>979</v>
      </c>
      <c r="V79" s="5" t="s">
        <v>979</v>
      </c>
      <c r="W79" s="5" t="s">
        <v>148</v>
      </c>
      <c r="X79" s="5" t="s">
        <v>148</v>
      </c>
      <c r="Y79" s="4">
        <v>324</v>
      </c>
      <c r="Z79" s="4">
        <v>235</v>
      </c>
      <c r="AA79" s="4">
        <v>237</v>
      </c>
      <c r="AB79" s="4">
        <v>2</v>
      </c>
      <c r="AC79" s="4">
        <v>2</v>
      </c>
      <c r="AD79" s="4">
        <v>9</v>
      </c>
      <c r="AE79" s="4">
        <v>9</v>
      </c>
      <c r="AF79" s="4">
        <v>2</v>
      </c>
      <c r="AG79" s="4">
        <v>2</v>
      </c>
      <c r="AH79" s="4">
        <v>3</v>
      </c>
      <c r="AI79" s="4">
        <v>3</v>
      </c>
      <c r="AJ79" s="4">
        <v>4</v>
      </c>
      <c r="AK79" s="4">
        <v>4</v>
      </c>
      <c r="AL79" s="4">
        <v>1</v>
      </c>
      <c r="AM79" s="4">
        <v>1</v>
      </c>
      <c r="AN79" s="4">
        <v>0</v>
      </c>
      <c r="AO79" s="4">
        <v>0</v>
      </c>
      <c r="AP79" s="3" t="s">
        <v>59</v>
      </c>
      <c r="AQ79" s="3" t="s">
        <v>70</v>
      </c>
      <c r="AR79" s="6" t="str">
        <f>HYPERLINK("http://catalog.hathitrust.org/Record/000299112","HathiTrust Record")</f>
        <v>HathiTrust Record</v>
      </c>
      <c r="AS79" s="6" t="str">
        <f>HYPERLINK("https://creighton-primo.hosted.exlibrisgroup.com/primo-explore/search?tab=default_tab&amp;search_scope=EVERYTHING&amp;vid=01CRU&amp;lang=en_US&amp;offset=0&amp;query=any,contains,991004731719702656","Catalog Record")</f>
        <v>Catalog Record</v>
      </c>
      <c r="AT79" s="6" t="str">
        <f>HYPERLINK("http://www.worldcat.org/oclc/4835190","WorldCat Record")</f>
        <v>WorldCat Record</v>
      </c>
      <c r="AU79" s="3" t="s">
        <v>1087</v>
      </c>
      <c r="AV79" s="3" t="s">
        <v>1088</v>
      </c>
      <c r="AW79" s="3" t="s">
        <v>1089</v>
      </c>
      <c r="AX79" s="3" t="s">
        <v>1089</v>
      </c>
      <c r="AY79" s="3" t="s">
        <v>1090</v>
      </c>
      <c r="AZ79" s="3" t="s">
        <v>75</v>
      </c>
      <c r="BB79" s="3" t="s">
        <v>1091</v>
      </c>
      <c r="BC79" s="3" t="s">
        <v>1092</v>
      </c>
      <c r="BD79" s="3" t="s">
        <v>1093</v>
      </c>
    </row>
    <row r="80" spans="1:56" ht="48" customHeight="1" x14ac:dyDescent="0.25">
      <c r="A80" s="7" t="s">
        <v>59</v>
      </c>
      <c r="B80" s="2" t="s">
        <v>1094</v>
      </c>
      <c r="C80" s="2" t="s">
        <v>1095</v>
      </c>
      <c r="D80" s="2" t="s">
        <v>1096</v>
      </c>
      <c r="E80" s="3" t="s">
        <v>1097</v>
      </c>
      <c r="F80" s="3" t="s">
        <v>59</v>
      </c>
      <c r="G80" s="3" t="s">
        <v>60</v>
      </c>
      <c r="H80" s="3" t="s">
        <v>70</v>
      </c>
      <c r="I80" s="3" t="s">
        <v>59</v>
      </c>
      <c r="J80" s="3" t="s">
        <v>61</v>
      </c>
      <c r="L80" s="2" t="s">
        <v>1098</v>
      </c>
      <c r="M80" s="3" t="s">
        <v>161</v>
      </c>
      <c r="O80" s="3" t="s">
        <v>64</v>
      </c>
      <c r="P80" s="3" t="s">
        <v>130</v>
      </c>
      <c r="Q80" s="2" t="s">
        <v>1099</v>
      </c>
      <c r="R80" s="3" t="s">
        <v>67</v>
      </c>
      <c r="S80" s="4">
        <v>4</v>
      </c>
      <c r="T80" s="4">
        <v>6</v>
      </c>
      <c r="U80" s="5" t="s">
        <v>1100</v>
      </c>
      <c r="V80" s="5" t="s">
        <v>1101</v>
      </c>
      <c r="W80" s="5" t="s">
        <v>148</v>
      </c>
      <c r="X80" s="5" t="s">
        <v>148</v>
      </c>
      <c r="Y80" s="4">
        <v>293</v>
      </c>
      <c r="Z80" s="4">
        <v>217</v>
      </c>
      <c r="AA80" s="4">
        <v>224</v>
      </c>
      <c r="AB80" s="4">
        <v>3</v>
      </c>
      <c r="AC80" s="4">
        <v>3</v>
      </c>
      <c r="AD80" s="4">
        <v>9</v>
      </c>
      <c r="AE80" s="4">
        <v>9</v>
      </c>
      <c r="AF80" s="4">
        <v>1</v>
      </c>
      <c r="AG80" s="4">
        <v>1</v>
      </c>
      <c r="AH80" s="4">
        <v>5</v>
      </c>
      <c r="AI80" s="4">
        <v>5</v>
      </c>
      <c r="AJ80" s="4">
        <v>5</v>
      </c>
      <c r="AK80" s="4">
        <v>5</v>
      </c>
      <c r="AL80" s="4">
        <v>1</v>
      </c>
      <c r="AM80" s="4">
        <v>1</v>
      </c>
      <c r="AN80" s="4">
        <v>0</v>
      </c>
      <c r="AO80" s="4">
        <v>0</v>
      </c>
      <c r="AP80" s="3" t="s">
        <v>59</v>
      </c>
      <c r="AQ80" s="3" t="s">
        <v>70</v>
      </c>
      <c r="AR80" s="6" t="str">
        <f>HYPERLINK("http://catalog.hathitrust.org/Record/000725685","HathiTrust Record")</f>
        <v>HathiTrust Record</v>
      </c>
      <c r="AS80" s="6" t="str">
        <f>HYPERLINK("https://creighton-primo.hosted.exlibrisgroup.com/primo-explore/search?tab=default_tab&amp;search_scope=EVERYTHING&amp;vid=01CRU&amp;lang=en_US&amp;offset=0&amp;query=any,contains,991001791649702656","Catalog Record")</f>
        <v>Catalog Record</v>
      </c>
      <c r="AT80" s="6" t="str">
        <f>HYPERLINK("http://www.worldcat.org/oclc/6891090","WorldCat Record")</f>
        <v>WorldCat Record</v>
      </c>
      <c r="AU80" s="3" t="s">
        <v>1102</v>
      </c>
      <c r="AV80" s="3" t="s">
        <v>1103</v>
      </c>
      <c r="AW80" s="3" t="s">
        <v>1104</v>
      </c>
      <c r="AX80" s="3" t="s">
        <v>1104</v>
      </c>
      <c r="AY80" s="3" t="s">
        <v>1105</v>
      </c>
      <c r="AZ80" s="3" t="s">
        <v>75</v>
      </c>
      <c r="BB80" s="3" t="s">
        <v>1106</v>
      </c>
      <c r="BC80" s="3" t="s">
        <v>1107</v>
      </c>
      <c r="BD80" s="3" t="s">
        <v>1108</v>
      </c>
    </row>
    <row r="81" spans="1:56" ht="48" customHeight="1" x14ac:dyDescent="0.25">
      <c r="A81" s="7" t="s">
        <v>59</v>
      </c>
      <c r="B81" s="2" t="s">
        <v>1109</v>
      </c>
      <c r="C81" s="2" t="s">
        <v>1110</v>
      </c>
      <c r="D81" s="2" t="s">
        <v>1111</v>
      </c>
      <c r="F81" s="3" t="s">
        <v>59</v>
      </c>
      <c r="G81" s="3" t="s">
        <v>60</v>
      </c>
      <c r="H81" s="3" t="s">
        <v>59</v>
      </c>
      <c r="I81" s="3" t="s">
        <v>59</v>
      </c>
      <c r="J81" s="3" t="s">
        <v>61</v>
      </c>
      <c r="K81" s="2" t="s">
        <v>1112</v>
      </c>
      <c r="L81" s="2" t="s">
        <v>1113</v>
      </c>
      <c r="M81" s="3" t="s">
        <v>219</v>
      </c>
      <c r="O81" s="3" t="s">
        <v>64</v>
      </c>
      <c r="P81" s="3" t="s">
        <v>130</v>
      </c>
      <c r="Q81" s="2" t="s">
        <v>1114</v>
      </c>
      <c r="R81" s="3" t="s">
        <v>67</v>
      </c>
      <c r="S81" s="4">
        <v>9</v>
      </c>
      <c r="T81" s="4">
        <v>9</v>
      </c>
      <c r="U81" s="5" t="s">
        <v>1115</v>
      </c>
      <c r="V81" s="5" t="s">
        <v>1115</v>
      </c>
      <c r="W81" s="5" t="s">
        <v>1116</v>
      </c>
      <c r="X81" s="5" t="s">
        <v>1116</v>
      </c>
      <c r="Y81" s="4">
        <v>160</v>
      </c>
      <c r="Z81" s="4">
        <v>123</v>
      </c>
      <c r="AA81" s="4">
        <v>126</v>
      </c>
      <c r="AB81" s="4">
        <v>1</v>
      </c>
      <c r="AC81" s="4">
        <v>2</v>
      </c>
      <c r="AD81" s="4">
        <v>3</v>
      </c>
      <c r="AE81" s="4">
        <v>4</v>
      </c>
      <c r="AF81" s="4">
        <v>1</v>
      </c>
      <c r="AG81" s="4">
        <v>1</v>
      </c>
      <c r="AH81" s="4">
        <v>1</v>
      </c>
      <c r="AI81" s="4">
        <v>1</v>
      </c>
      <c r="AJ81" s="4">
        <v>3</v>
      </c>
      <c r="AK81" s="4">
        <v>3</v>
      </c>
      <c r="AL81" s="4">
        <v>0</v>
      </c>
      <c r="AM81" s="4">
        <v>1</v>
      </c>
      <c r="AN81" s="4">
        <v>0</v>
      </c>
      <c r="AO81" s="4">
        <v>0</v>
      </c>
      <c r="AP81" s="3" t="s">
        <v>59</v>
      </c>
      <c r="AQ81" s="3" t="s">
        <v>70</v>
      </c>
      <c r="AR81" s="6" t="str">
        <f>HYPERLINK("http://catalog.hathitrust.org/Record/002060074","HathiTrust Record")</f>
        <v>HathiTrust Record</v>
      </c>
      <c r="AS81" s="6" t="str">
        <f>HYPERLINK("https://creighton-primo.hosted.exlibrisgroup.com/primo-explore/search?tab=default_tab&amp;search_scope=EVERYTHING&amp;vid=01CRU&amp;lang=en_US&amp;offset=0&amp;query=any,contains,991001657369702656","Catalog Record")</f>
        <v>Catalog Record</v>
      </c>
      <c r="AT81" s="6" t="str">
        <f>HYPERLINK("http://www.worldcat.org/oclc/21149031","WorldCat Record")</f>
        <v>WorldCat Record</v>
      </c>
      <c r="AU81" s="3" t="s">
        <v>1117</v>
      </c>
      <c r="AV81" s="3" t="s">
        <v>1118</v>
      </c>
      <c r="AW81" s="3" t="s">
        <v>1119</v>
      </c>
      <c r="AX81" s="3" t="s">
        <v>1119</v>
      </c>
      <c r="AY81" s="3" t="s">
        <v>1120</v>
      </c>
      <c r="AZ81" s="3" t="s">
        <v>75</v>
      </c>
      <c r="BB81" s="3" t="s">
        <v>1121</v>
      </c>
      <c r="BC81" s="3" t="s">
        <v>1122</v>
      </c>
      <c r="BD81" s="3" t="s">
        <v>1123</v>
      </c>
    </row>
    <row r="82" spans="1:56" ht="48" customHeight="1" x14ac:dyDescent="0.25">
      <c r="A82" s="7" t="s">
        <v>59</v>
      </c>
      <c r="B82" s="2" t="s">
        <v>1124</v>
      </c>
      <c r="C82" s="2" t="s">
        <v>1125</v>
      </c>
      <c r="D82" s="2" t="s">
        <v>1126</v>
      </c>
      <c r="F82" s="3" t="s">
        <v>59</v>
      </c>
      <c r="G82" s="3" t="s">
        <v>60</v>
      </c>
      <c r="H82" s="3" t="s">
        <v>59</v>
      </c>
      <c r="I82" s="3" t="s">
        <v>59</v>
      </c>
      <c r="J82" s="3" t="s">
        <v>61</v>
      </c>
      <c r="K82" s="2" t="s">
        <v>1127</v>
      </c>
      <c r="L82" s="2" t="s">
        <v>1128</v>
      </c>
      <c r="M82" s="3" t="s">
        <v>161</v>
      </c>
      <c r="O82" s="3" t="s">
        <v>64</v>
      </c>
      <c r="P82" s="3" t="s">
        <v>1129</v>
      </c>
      <c r="Q82" s="2" t="s">
        <v>1130</v>
      </c>
      <c r="R82" s="3" t="s">
        <v>67</v>
      </c>
      <c r="S82" s="4">
        <v>3</v>
      </c>
      <c r="T82" s="4">
        <v>3</v>
      </c>
      <c r="U82" s="5" t="s">
        <v>1131</v>
      </c>
      <c r="V82" s="5" t="s">
        <v>1131</v>
      </c>
      <c r="W82" s="5" t="s">
        <v>148</v>
      </c>
      <c r="X82" s="5" t="s">
        <v>148</v>
      </c>
      <c r="Y82" s="4">
        <v>209</v>
      </c>
      <c r="Z82" s="4">
        <v>177</v>
      </c>
      <c r="AA82" s="4">
        <v>179</v>
      </c>
      <c r="AB82" s="4">
        <v>3</v>
      </c>
      <c r="AC82" s="4">
        <v>3</v>
      </c>
      <c r="AD82" s="4">
        <v>4</v>
      </c>
      <c r="AE82" s="4">
        <v>4</v>
      </c>
      <c r="AF82" s="4">
        <v>1</v>
      </c>
      <c r="AG82" s="4">
        <v>1</v>
      </c>
      <c r="AH82" s="4">
        <v>1</v>
      </c>
      <c r="AI82" s="4">
        <v>1</v>
      </c>
      <c r="AJ82" s="4">
        <v>1</v>
      </c>
      <c r="AK82" s="4">
        <v>1</v>
      </c>
      <c r="AL82" s="4">
        <v>2</v>
      </c>
      <c r="AM82" s="4">
        <v>2</v>
      </c>
      <c r="AN82" s="4">
        <v>0</v>
      </c>
      <c r="AO82" s="4">
        <v>0</v>
      </c>
      <c r="AP82" s="3" t="s">
        <v>59</v>
      </c>
      <c r="AQ82" s="3" t="s">
        <v>70</v>
      </c>
      <c r="AR82" s="6" t="str">
        <f>HYPERLINK("http://catalog.hathitrust.org/Record/000689912","HathiTrust Record")</f>
        <v>HathiTrust Record</v>
      </c>
      <c r="AS82" s="6" t="str">
        <f>HYPERLINK("https://creighton-primo.hosted.exlibrisgroup.com/primo-explore/search?tab=default_tab&amp;search_scope=EVERYTHING&amp;vid=01CRU&amp;lang=en_US&amp;offset=0&amp;query=any,contains,991005099249702656","Catalog Record")</f>
        <v>Catalog Record</v>
      </c>
      <c r="AT82" s="6" t="str">
        <f>HYPERLINK("http://www.worldcat.org/oclc/7279364","WorldCat Record")</f>
        <v>WorldCat Record</v>
      </c>
      <c r="AU82" s="3" t="s">
        <v>1132</v>
      </c>
      <c r="AV82" s="3" t="s">
        <v>1133</v>
      </c>
      <c r="AW82" s="3" t="s">
        <v>1134</v>
      </c>
      <c r="AX82" s="3" t="s">
        <v>1134</v>
      </c>
      <c r="AY82" s="3" t="s">
        <v>1135</v>
      </c>
      <c r="AZ82" s="3" t="s">
        <v>75</v>
      </c>
      <c r="BB82" s="3" t="s">
        <v>1136</v>
      </c>
      <c r="BC82" s="3" t="s">
        <v>1137</v>
      </c>
      <c r="BD82" s="3" t="s">
        <v>1138</v>
      </c>
    </row>
    <row r="83" spans="1:56" ht="48" customHeight="1" x14ac:dyDescent="0.25">
      <c r="A83" s="7" t="s">
        <v>59</v>
      </c>
      <c r="B83" s="2" t="s">
        <v>1139</v>
      </c>
      <c r="C83" s="2" t="s">
        <v>1140</v>
      </c>
      <c r="D83" s="2" t="s">
        <v>1141</v>
      </c>
      <c r="F83" s="3" t="s">
        <v>59</v>
      </c>
      <c r="G83" s="3" t="s">
        <v>60</v>
      </c>
      <c r="H83" s="3" t="s">
        <v>59</v>
      </c>
      <c r="I83" s="3" t="s">
        <v>59</v>
      </c>
      <c r="J83" s="3" t="s">
        <v>61</v>
      </c>
      <c r="L83" s="2" t="s">
        <v>1142</v>
      </c>
      <c r="M83" s="3" t="s">
        <v>897</v>
      </c>
      <c r="O83" s="3" t="s">
        <v>64</v>
      </c>
      <c r="P83" s="3" t="s">
        <v>84</v>
      </c>
      <c r="R83" s="3" t="s">
        <v>67</v>
      </c>
      <c r="S83" s="4">
        <v>9</v>
      </c>
      <c r="T83" s="4">
        <v>9</v>
      </c>
      <c r="U83" s="5" t="s">
        <v>1143</v>
      </c>
      <c r="V83" s="5" t="s">
        <v>1143</v>
      </c>
      <c r="W83" s="5" t="s">
        <v>1144</v>
      </c>
      <c r="X83" s="5" t="s">
        <v>1144</v>
      </c>
      <c r="Y83" s="4">
        <v>163</v>
      </c>
      <c r="Z83" s="4">
        <v>116</v>
      </c>
      <c r="AA83" s="4">
        <v>122</v>
      </c>
      <c r="AB83" s="4">
        <v>1</v>
      </c>
      <c r="AC83" s="4">
        <v>1</v>
      </c>
      <c r="AD83" s="4">
        <v>3</v>
      </c>
      <c r="AE83" s="4">
        <v>4</v>
      </c>
      <c r="AF83" s="4">
        <v>0</v>
      </c>
      <c r="AG83" s="4">
        <v>0</v>
      </c>
      <c r="AH83" s="4">
        <v>2</v>
      </c>
      <c r="AI83" s="4">
        <v>3</v>
      </c>
      <c r="AJ83" s="4">
        <v>2</v>
      </c>
      <c r="AK83" s="4">
        <v>3</v>
      </c>
      <c r="AL83" s="4">
        <v>0</v>
      </c>
      <c r="AM83" s="4">
        <v>0</v>
      </c>
      <c r="AN83" s="4">
        <v>0</v>
      </c>
      <c r="AO83" s="4">
        <v>0</v>
      </c>
      <c r="AP83" s="3" t="s">
        <v>59</v>
      </c>
      <c r="AQ83" s="3" t="s">
        <v>70</v>
      </c>
      <c r="AR83" s="6" t="str">
        <f>HYPERLINK("http://catalog.hathitrust.org/Record/002463653","HathiTrust Record")</f>
        <v>HathiTrust Record</v>
      </c>
      <c r="AS83" s="6" t="str">
        <f>HYPERLINK("https://creighton-primo.hosted.exlibrisgroup.com/primo-explore/search?tab=default_tab&amp;search_scope=EVERYTHING&amp;vid=01CRU&amp;lang=en_US&amp;offset=0&amp;query=any,contains,991001854579702656","Catalog Record")</f>
        <v>Catalog Record</v>
      </c>
      <c r="AT83" s="6" t="str">
        <f>HYPERLINK("http://www.worldcat.org/oclc/27817174","WorldCat Record")</f>
        <v>WorldCat Record</v>
      </c>
      <c r="AU83" s="3" t="s">
        <v>1145</v>
      </c>
      <c r="AV83" s="3" t="s">
        <v>1146</v>
      </c>
      <c r="AW83" s="3" t="s">
        <v>1147</v>
      </c>
      <c r="AX83" s="3" t="s">
        <v>1147</v>
      </c>
      <c r="AY83" s="3" t="s">
        <v>1148</v>
      </c>
      <c r="AZ83" s="3" t="s">
        <v>75</v>
      </c>
      <c r="BB83" s="3" t="s">
        <v>1149</v>
      </c>
      <c r="BC83" s="3" t="s">
        <v>1150</v>
      </c>
      <c r="BD83" s="3" t="s">
        <v>1151</v>
      </c>
    </row>
    <row r="84" spans="1:56" ht="48" customHeight="1" x14ac:dyDescent="0.25">
      <c r="A84" s="7" t="s">
        <v>59</v>
      </c>
      <c r="B84" s="2" t="s">
        <v>1152</v>
      </c>
      <c r="C84" s="2" t="s">
        <v>1153</v>
      </c>
      <c r="D84" s="2" t="s">
        <v>1154</v>
      </c>
      <c r="F84" s="3" t="s">
        <v>59</v>
      </c>
      <c r="G84" s="3" t="s">
        <v>60</v>
      </c>
      <c r="H84" s="3" t="s">
        <v>59</v>
      </c>
      <c r="I84" s="3" t="s">
        <v>59</v>
      </c>
      <c r="J84" s="3" t="s">
        <v>61</v>
      </c>
      <c r="K84" s="2" t="s">
        <v>1155</v>
      </c>
      <c r="L84" s="2" t="s">
        <v>1156</v>
      </c>
      <c r="M84" s="3" t="s">
        <v>590</v>
      </c>
      <c r="O84" s="3" t="s">
        <v>64</v>
      </c>
      <c r="P84" s="3" t="s">
        <v>912</v>
      </c>
      <c r="Q84" s="2" t="s">
        <v>1157</v>
      </c>
      <c r="R84" s="3" t="s">
        <v>67</v>
      </c>
      <c r="S84" s="4">
        <v>2</v>
      </c>
      <c r="T84" s="4">
        <v>2</v>
      </c>
      <c r="U84" s="5" t="s">
        <v>1158</v>
      </c>
      <c r="V84" s="5" t="s">
        <v>1158</v>
      </c>
      <c r="W84" s="5" t="s">
        <v>148</v>
      </c>
      <c r="X84" s="5" t="s">
        <v>148</v>
      </c>
      <c r="Y84" s="4">
        <v>148</v>
      </c>
      <c r="Z84" s="4">
        <v>120</v>
      </c>
      <c r="AA84" s="4">
        <v>121</v>
      </c>
      <c r="AB84" s="4">
        <v>3</v>
      </c>
      <c r="AC84" s="4">
        <v>3</v>
      </c>
      <c r="AD84" s="4">
        <v>7</v>
      </c>
      <c r="AE84" s="4">
        <v>7</v>
      </c>
      <c r="AF84" s="4">
        <v>2</v>
      </c>
      <c r="AG84" s="4">
        <v>2</v>
      </c>
      <c r="AH84" s="4">
        <v>1</v>
      </c>
      <c r="AI84" s="4">
        <v>1</v>
      </c>
      <c r="AJ84" s="4">
        <v>5</v>
      </c>
      <c r="AK84" s="4">
        <v>5</v>
      </c>
      <c r="AL84" s="4">
        <v>2</v>
      </c>
      <c r="AM84" s="4">
        <v>2</v>
      </c>
      <c r="AN84" s="4">
        <v>0</v>
      </c>
      <c r="AO84" s="4">
        <v>0</v>
      </c>
      <c r="AP84" s="3" t="s">
        <v>59</v>
      </c>
      <c r="AQ84" s="3" t="s">
        <v>70</v>
      </c>
      <c r="AR84" s="6" t="str">
        <f>HYPERLINK("http://catalog.hathitrust.org/Record/004406897","HathiTrust Record")</f>
        <v>HathiTrust Record</v>
      </c>
      <c r="AS84" s="6" t="str">
        <f>HYPERLINK("https://creighton-primo.hosted.exlibrisgroup.com/primo-explore/search?tab=default_tab&amp;search_scope=EVERYTHING&amp;vid=01CRU&amp;lang=en_US&amp;offset=0&amp;query=any,contains,991001097229702656","Catalog Record")</f>
        <v>Catalog Record</v>
      </c>
      <c r="AT84" s="6" t="str">
        <f>HYPERLINK("http://www.worldcat.org/oclc/16276731","WorldCat Record")</f>
        <v>WorldCat Record</v>
      </c>
      <c r="AU84" s="3" t="s">
        <v>1159</v>
      </c>
      <c r="AV84" s="3" t="s">
        <v>1160</v>
      </c>
      <c r="AW84" s="3" t="s">
        <v>1161</v>
      </c>
      <c r="AX84" s="3" t="s">
        <v>1161</v>
      </c>
      <c r="AY84" s="3" t="s">
        <v>1162</v>
      </c>
      <c r="AZ84" s="3" t="s">
        <v>75</v>
      </c>
      <c r="BB84" s="3" t="s">
        <v>1163</v>
      </c>
      <c r="BC84" s="3" t="s">
        <v>1164</v>
      </c>
      <c r="BD84" s="3" t="s">
        <v>1165</v>
      </c>
    </row>
    <row r="85" spans="1:56" ht="48" customHeight="1" x14ac:dyDescent="0.25">
      <c r="A85" s="7" t="s">
        <v>59</v>
      </c>
      <c r="B85" s="2" t="s">
        <v>1166</v>
      </c>
      <c r="C85" s="2" t="s">
        <v>1167</v>
      </c>
      <c r="D85" s="2" t="s">
        <v>1168</v>
      </c>
      <c r="F85" s="3" t="s">
        <v>59</v>
      </c>
      <c r="G85" s="3" t="s">
        <v>60</v>
      </c>
      <c r="H85" s="3" t="s">
        <v>59</v>
      </c>
      <c r="I85" s="3" t="s">
        <v>59</v>
      </c>
      <c r="J85" s="3" t="s">
        <v>61</v>
      </c>
      <c r="K85" s="2" t="s">
        <v>1169</v>
      </c>
      <c r="L85" s="2" t="s">
        <v>1170</v>
      </c>
      <c r="M85" s="3" t="s">
        <v>1171</v>
      </c>
      <c r="O85" s="3" t="s">
        <v>64</v>
      </c>
      <c r="P85" s="3" t="s">
        <v>84</v>
      </c>
      <c r="R85" s="3" t="s">
        <v>67</v>
      </c>
      <c r="S85" s="4">
        <v>2</v>
      </c>
      <c r="T85" s="4">
        <v>2</v>
      </c>
      <c r="U85" s="5" t="s">
        <v>1172</v>
      </c>
      <c r="V85" s="5" t="s">
        <v>1172</v>
      </c>
      <c r="W85" s="5" t="s">
        <v>1173</v>
      </c>
      <c r="X85" s="5" t="s">
        <v>1173</v>
      </c>
      <c r="Y85" s="4">
        <v>46</v>
      </c>
      <c r="Z85" s="4">
        <v>29</v>
      </c>
      <c r="AA85" s="4">
        <v>29</v>
      </c>
      <c r="AB85" s="4">
        <v>1</v>
      </c>
      <c r="AC85" s="4">
        <v>1</v>
      </c>
      <c r="AD85" s="4">
        <v>0</v>
      </c>
      <c r="AE85" s="4">
        <v>0</v>
      </c>
      <c r="AF85" s="4">
        <v>0</v>
      </c>
      <c r="AG85" s="4">
        <v>0</v>
      </c>
      <c r="AH85" s="4">
        <v>0</v>
      </c>
      <c r="AI85" s="4">
        <v>0</v>
      </c>
      <c r="AJ85" s="4">
        <v>0</v>
      </c>
      <c r="AK85" s="4">
        <v>0</v>
      </c>
      <c r="AL85" s="4">
        <v>0</v>
      </c>
      <c r="AM85" s="4">
        <v>0</v>
      </c>
      <c r="AN85" s="4">
        <v>0</v>
      </c>
      <c r="AO85" s="4">
        <v>0</v>
      </c>
      <c r="AP85" s="3" t="s">
        <v>59</v>
      </c>
      <c r="AQ85" s="3" t="s">
        <v>59</v>
      </c>
      <c r="AS85" s="6" t="str">
        <f>HYPERLINK("https://creighton-primo.hosted.exlibrisgroup.com/primo-explore/search?tab=default_tab&amp;search_scope=EVERYTHING&amp;vid=01CRU&amp;lang=en_US&amp;offset=0&amp;query=any,contains,991005143449702656","Catalog Record")</f>
        <v>Catalog Record</v>
      </c>
      <c r="AT85" s="6" t="str">
        <f>HYPERLINK("http://www.worldcat.org/oclc/71542948","WorldCat Record")</f>
        <v>WorldCat Record</v>
      </c>
      <c r="AU85" s="3" t="s">
        <v>1174</v>
      </c>
      <c r="AV85" s="3" t="s">
        <v>1175</v>
      </c>
      <c r="AW85" s="3" t="s">
        <v>1176</v>
      </c>
      <c r="AX85" s="3" t="s">
        <v>1176</v>
      </c>
      <c r="AY85" s="3" t="s">
        <v>1177</v>
      </c>
      <c r="AZ85" s="3" t="s">
        <v>75</v>
      </c>
      <c r="BB85" s="3" t="s">
        <v>1178</v>
      </c>
      <c r="BC85" s="3" t="s">
        <v>1179</v>
      </c>
      <c r="BD85" s="3" t="s">
        <v>1180</v>
      </c>
    </row>
    <row r="86" spans="1:56" ht="48" customHeight="1" x14ac:dyDescent="0.25">
      <c r="A86" s="7" t="s">
        <v>59</v>
      </c>
      <c r="B86" s="2" t="s">
        <v>1181</v>
      </c>
      <c r="C86" s="2" t="s">
        <v>1182</v>
      </c>
      <c r="D86" s="2" t="s">
        <v>1183</v>
      </c>
      <c r="F86" s="3" t="s">
        <v>59</v>
      </c>
      <c r="G86" s="3" t="s">
        <v>60</v>
      </c>
      <c r="H86" s="3" t="s">
        <v>59</v>
      </c>
      <c r="I86" s="3" t="s">
        <v>59</v>
      </c>
      <c r="J86" s="3" t="s">
        <v>61</v>
      </c>
      <c r="K86" s="2" t="s">
        <v>1184</v>
      </c>
      <c r="L86" s="2" t="s">
        <v>1185</v>
      </c>
      <c r="M86" s="3" t="s">
        <v>333</v>
      </c>
      <c r="O86" s="3" t="s">
        <v>64</v>
      </c>
      <c r="P86" s="3" t="s">
        <v>1186</v>
      </c>
      <c r="R86" s="3" t="s">
        <v>67</v>
      </c>
      <c r="S86" s="4">
        <v>1</v>
      </c>
      <c r="T86" s="4">
        <v>1</v>
      </c>
      <c r="U86" s="5" t="s">
        <v>1187</v>
      </c>
      <c r="V86" s="5" t="s">
        <v>1187</v>
      </c>
      <c r="W86" s="5" t="s">
        <v>1188</v>
      </c>
      <c r="X86" s="5" t="s">
        <v>1188</v>
      </c>
      <c r="Y86" s="4">
        <v>246</v>
      </c>
      <c r="Z86" s="4">
        <v>229</v>
      </c>
      <c r="AA86" s="4">
        <v>235</v>
      </c>
      <c r="AB86" s="4">
        <v>2</v>
      </c>
      <c r="AC86" s="4">
        <v>2</v>
      </c>
      <c r="AD86" s="4">
        <v>5</v>
      </c>
      <c r="AE86" s="4">
        <v>5</v>
      </c>
      <c r="AF86" s="4">
        <v>2</v>
      </c>
      <c r="AG86" s="4">
        <v>2</v>
      </c>
      <c r="AH86" s="4">
        <v>2</v>
      </c>
      <c r="AI86" s="4">
        <v>2</v>
      </c>
      <c r="AJ86" s="4">
        <v>3</v>
      </c>
      <c r="AK86" s="4">
        <v>3</v>
      </c>
      <c r="AL86" s="4">
        <v>0</v>
      </c>
      <c r="AM86" s="4">
        <v>0</v>
      </c>
      <c r="AN86" s="4">
        <v>0</v>
      </c>
      <c r="AO86" s="4">
        <v>0</v>
      </c>
      <c r="AP86" s="3" t="s">
        <v>59</v>
      </c>
      <c r="AQ86" s="3" t="s">
        <v>70</v>
      </c>
      <c r="AR86" s="6" t="str">
        <f>HYPERLINK("http://catalog.hathitrust.org/Record/000435259","HathiTrust Record")</f>
        <v>HathiTrust Record</v>
      </c>
      <c r="AS86" s="6" t="str">
        <f>HYPERLINK("https://creighton-primo.hosted.exlibrisgroup.com/primo-explore/search?tab=default_tab&amp;search_scope=EVERYTHING&amp;vid=01CRU&amp;lang=en_US&amp;offset=0&amp;query=any,contains,991000746879702656","Catalog Record")</f>
        <v>Catalog Record</v>
      </c>
      <c r="AT86" s="6" t="str">
        <f>HYPERLINK("http://www.worldcat.org/oclc/12864514","WorldCat Record")</f>
        <v>WorldCat Record</v>
      </c>
      <c r="AU86" s="3" t="s">
        <v>1189</v>
      </c>
      <c r="AV86" s="3" t="s">
        <v>1190</v>
      </c>
      <c r="AW86" s="3" t="s">
        <v>1191</v>
      </c>
      <c r="AX86" s="3" t="s">
        <v>1191</v>
      </c>
      <c r="AY86" s="3" t="s">
        <v>1192</v>
      </c>
      <c r="AZ86" s="3" t="s">
        <v>75</v>
      </c>
      <c r="BB86" s="3" t="s">
        <v>1193</v>
      </c>
      <c r="BC86" s="3" t="s">
        <v>1194</v>
      </c>
      <c r="BD86" s="3" t="s">
        <v>1195</v>
      </c>
    </row>
    <row r="87" spans="1:56" ht="48" customHeight="1" x14ac:dyDescent="0.25">
      <c r="A87" s="7" t="s">
        <v>59</v>
      </c>
      <c r="B87" s="2" t="s">
        <v>1196</v>
      </c>
      <c r="C87" s="2" t="s">
        <v>1197</v>
      </c>
      <c r="D87" s="2" t="s">
        <v>1198</v>
      </c>
      <c r="F87" s="3" t="s">
        <v>59</v>
      </c>
      <c r="G87" s="3" t="s">
        <v>60</v>
      </c>
      <c r="H87" s="3" t="s">
        <v>59</v>
      </c>
      <c r="I87" s="3" t="s">
        <v>59</v>
      </c>
      <c r="J87" s="3" t="s">
        <v>61</v>
      </c>
      <c r="K87" s="2" t="s">
        <v>1199</v>
      </c>
      <c r="L87" s="2" t="s">
        <v>1200</v>
      </c>
      <c r="M87" s="3" t="s">
        <v>500</v>
      </c>
      <c r="O87" s="3" t="s">
        <v>64</v>
      </c>
      <c r="P87" s="3" t="s">
        <v>1201</v>
      </c>
      <c r="Q87" s="2" t="s">
        <v>1202</v>
      </c>
      <c r="R87" s="3" t="s">
        <v>67</v>
      </c>
      <c r="S87" s="4">
        <v>4</v>
      </c>
      <c r="T87" s="4">
        <v>4</v>
      </c>
      <c r="U87" s="5" t="s">
        <v>85</v>
      </c>
      <c r="V87" s="5" t="s">
        <v>85</v>
      </c>
      <c r="W87" s="5" t="s">
        <v>501</v>
      </c>
      <c r="X87" s="5" t="s">
        <v>501</v>
      </c>
      <c r="Y87" s="4">
        <v>260</v>
      </c>
      <c r="Z87" s="4">
        <v>201</v>
      </c>
      <c r="AA87" s="4">
        <v>251</v>
      </c>
      <c r="AB87" s="4">
        <v>3</v>
      </c>
      <c r="AC87" s="4">
        <v>3</v>
      </c>
      <c r="AD87" s="4">
        <v>7</v>
      </c>
      <c r="AE87" s="4">
        <v>10</v>
      </c>
      <c r="AF87" s="4">
        <v>0</v>
      </c>
      <c r="AG87" s="4">
        <v>2</v>
      </c>
      <c r="AH87" s="4">
        <v>3</v>
      </c>
      <c r="AI87" s="4">
        <v>5</v>
      </c>
      <c r="AJ87" s="4">
        <v>3</v>
      </c>
      <c r="AK87" s="4">
        <v>3</v>
      </c>
      <c r="AL87" s="4">
        <v>2</v>
      </c>
      <c r="AM87" s="4">
        <v>2</v>
      </c>
      <c r="AN87" s="4">
        <v>0</v>
      </c>
      <c r="AO87" s="4">
        <v>0</v>
      </c>
      <c r="AP87" s="3" t="s">
        <v>59</v>
      </c>
      <c r="AQ87" s="3" t="s">
        <v>70</v>
      </c>
      <c r="AR87" s="6" t="str">
        <f>HYPERLINK("http://catalog.hathitrust.org/Record/001554173","HathiTrust Record")</f>
        <v>HathiTrust Record</v>
      </c>
      <c r="AS87" s="6" t="str">
        <f>HYPERLINK("https://creighton-primo.hosted.exlibrisgroup.com/primo-explore/search?tab=default_tab&amp;search_scope=EVERYTHING&amp;vid=01CRU&amp;lang=en_US&amp;offset=0&amp;query=any,contains,991000609399702656","Catalog Record")</f>
        <v>Catalog Record</v>
      </c>
      <c r="AT87" s="6" t="str">
        <f>HYPERLINK("http://www.worldcat.org/oclc/100166","WorldCat Record")</f>
        <v>WorldCat Record</v>
      </c>
      <c r="AU87" s="3" t="s">
        <v>1203</v>
      </c>
      <c r="AV87" s="3" t="s">
        <v>1204</v>
      </c>
      <c r="AW87" s="3" t="s">
        <v>1205</v>
      </c>
      <c r="AX87" s="3" t="s">
        <v>1205</v>
      </c>
      <c r="AY87" s="3" t="s">
        <v>1206</v>
      </c>
      <c r="AZ87" s="3" t="s">
        <v>75</v>
      </c>
      <c r="BB87" s="3" t="s">
        <v>1207</v>
      </c>
      <c r="BC87" s="3" t="s">
        <v>1208</v>
      </c>
      <c r="BD87" s="3" t="s">
        <v>1209</v>
      </c>
    </row>
    <row r="88" spans="1:56" ht="48" customHeight="1" x14ac:dyDescent="0.25">
      <c r="A88" s="7" t="s">
        <v>59</v>
      </c>
      <c r="B88" s="2" t="s">
        <v>1210</v>
      </c>
      <c r="C88" s="2" t="s">
        <v>1211</v>
      </c>
      <c r="D88" s="2" t="s">
        <v>1212</v>
      </c>
      <c r="F88" s="3" t="s">
        <v>59</v>
      </c>
      <c r="G88" s="3" t="s">
        <v>60</v>
      </c>
      <c r="H88" s="3" t="s">
        <v>59</v>
      </c>
      <c r="I88" s="3" t="s">
        <v>59</v>
      </c>
      <c r="J88" s="3" t="s">
        <v>61</v>
      </c>
      <c r="K88" s="2" t="s">
        <v>1213</v>
      </c>
      <c r="L88" s="2" t="s">
        <v>1214</v>
      </c>
      <c r="M88" s="3" t="s">
        <v>190</v>
      </c>
      <c r="O88" s="3" t="s">
        <v>64</v>
      </c>
      <c r="P88" s="3" t="s">
        <v>84</v>
      </c>
      <c r="Q88" s="2" t="s">
        <v>1215</v>
      </c>
      <c r="R88" s="3" t="s">
        <v>67</v>
      </c>
      <c r="S88" s="4">
        <v>2</v>
      </c>
      <c r="T88" s="4">
        <v>2</v>
      </c>
      <c r="U88" s="5" t="s">
        <v>1216</v>
      </c>
      <c r="V88" s="5" t="s">
        <v>1216</v>
      </c>
      <c r="W88" s="5" t="s">
        <v>1217</v>
      </c>
      <c r="X88" s="5" t="s">
        <v>1217</v>
      </c>
      <c r="Y88" s="4">
        <v>147</v>
      </c>
      <c r="Z88" s="4">
        <v>80</v>
      </c>
      <c r="AA88" s="4">
        <v>80</v>
      </c>
      <c r="AB88" s="4">
        <v>2</v>
      </c>
      <c r="AC88" s="4">
        <v>2</v>
      </c>
      <c r="AD88" s="4">
        <v>3</v>
      </c>
      <c r="AE88" s="4">
        <v>3</v>
      </c>
      <c r="AF88" s="4">
        <v>1</v>
      </c>
      <c r="AG88" s="4">
        <v>1</v>
      </c>
      <c r="AH88" s="4">
        <v>0</v>
      </c>
      <c r="AI88" s="4">
        <v>0</v>
      </c>
      <c r="AJ88" s="4">
        <v>2</v>
      </c>
      <c r="AK88" s="4">
        <v>2</v>
      </c>
      <c r="AL88" s="4">
        <v>1</v>
      </c>
      <c r="AM88" s="4">
        <v>1</v>
      </c>
      <c r="AN88" s="4">
        <v>0</v>
      </c>
      <c r="AO88" s="4">
        <v>0</v>
      </c>
      <c r="AP88" s="3" t="s">
        <v>59</v>
      </c>
      <c r="AQ88" s="3" t="s">
        <v>59</v>
      </c>
      <c r="AS88" s="6" t="str">
        <f>HYPERLINK("https://creighton-primo.hosted.exlibrisgroup.com/primo-explore/search?tab=default_tab&amp;search_scope=EVERYTHING&amp;vid=01CRU&amp;lang=en_US&amp;offset=0&amp;query=any,contains,991000713599702656","Catalog Record")</f>
        <v>Catalog Record</v>
      </c>
      <c r="AT88" s="6" t="str">
        <f>HYPERLINK("http://www.worldcat.org/oclc/15518679","WorldCat Record")</f>
        <v>WorldCat Record</v>
      </c>
      <c r="AU88" s="3" t="s">
        <v>1218</v>
      </c>
      <c r="AV88" s="3" t="s">
        <v>1219</v>
      </c>
      <c r="AW88" s="3" t="s">
        <v>1220</v>
      </c>
      <c r="AX88" s="3" t="s">
        <v>1220</v>
      </c>
      <c r="AY88" s="3" t="s">
        <v>1221</v>
      </c>
      <c r="AZ88" s="3" t="s">
        <v>75</v>
      </c>
      <c r="BB88" s="3" t="s">
        <v>1222</v>
      </c>
      <c r="BC88" s="3" t="s">
        <v>1223</v>
      </c>
      <c r="BD88" s="3" t="s">
        <v>1224</v>
      </c>
    </row>
    <row r="89" spans="1:56" ht="48" customHeight="1" x14ac:dyDescent="0.25">
      <c r="A89" s="7" t="s">
        <v>59</v>
      </c>
      <c r="B89" s="2" t="s">
        <v>1225</v>
      </c>
      <c r="C89" s="2" t="s">
        <v>1226</v>
      </c>
      <c r="D89" s="2" t="s">
        <v>1227</v>
      </c>
      <c r="F89" s="3" t="s">
        <v>59</v>
      </c>
      <c r="G89" s="3" t="s">
        <v>60</v>
      </c>
      <c r="H89" s="3" t="s">
        <v>59</v>
      </c>
      <c r="I89" s="3" t="s">
        <v>59</v>
      </c>
      <c r="J89" s="3" t="s">
        <v>61</v>
      </c>
      <c r="K89" s="2" t="s">
        <v>1228</v>
      </c>
      <c r="L89" s="2" t="s">
        <v>1229</v>
      </c>
      <c r="M89" s="3" t="s">
        <v>113</v>
      </c>
      <c r="O89" s="3" t="s">
        <v>64</v>
      </c>
      <c r="P89" s="3" t="s">
        <v>84</v>
      </c>
      <c r="Q89" s="2" t="s">
        <v>1230</v>
      </c>
      <c r="R89" s="3" t="s">
        <v>67</v>
      </c>
      <c r="S89" s="4">
        <v>3</v>
      </c>
      <c r="T89" s="4">
        <v>3</v>
      </c>
      <c r="U89" s="5" t="s">
        <v>1231</v>
      </c>
      <c r="V89" s="5" t="s">
        <v>1231</v>
      </c>
      <c r="W89" s="5" t="s">
        <v>1232</v>
      </c>
      <c r="X89" s="5" t="s">
        <v>1232</v>
      </c>
      <c r="Y89" s="4">
        <v>190</v>
      </c>
      <c r="Z89" s="4">
        <v>132</v>
      </c>
      <c r="AA89" s="4">
        <v>143</v>
      </c>
      <c r="AB89" s="4">
        <v>2</v>
      </c>
      <c r="AC89" s="4">
        <v>2</v>
      </c>
      <c r="AD89" s="4">
        <v>4</v>
      </c>
      <c r="AE89" s="4">
        <v>4</v>
      </c>
      <c r="AF89" s="4">
        <v>0</v>
      </c>
      <c r="AG89" s="4">
        <v>0</v>
      </c>
      <c r="AH89" s="4">
        <v>2</v>
      </c>
      <c r="AI89" s="4">
        <v>2</v>
      </c>
      <c r="AJ89" s="4">
        <v>1</v>
      </c>
      <c r="AK89" s="4">
        <v>1</v>
      </c>
      <c r="AL89" s="4">
        <v>1</v>
      </c>
      <c r="AM89" s="4">
        <v>1</v>
      </c>
      <c r="AN89" s="4">
        <v>0</v>
      </c>
      <c r="AO89" s="4">
        <v>0</v>
      </c>
      <c r="AP89" s="3" t="s">
        <v>59</v>
      </c>
      <c r="AQ89" s="3" t="s">
        <v>59</v>
      </c>
      <c r="AS89" s="6" t="str">
        <f>HYPERLINK("https://creighton-primo.hosted.exlibrisgroup.com/primo-explore/search?tab=default_tab&amp;search_scope=EVERYTHING&amp;vid=01CRU&amp;lang=en_US&amp;offset=0&amp;query=any,contains,991000889809702656","Catalog Record")</f>
        <v>Catalog Record</v>
      </c>
      <c r="AT89" s="6" t="str">
        <f>HYPERLINK("http://www.worldcat.org/oclc/13903725","WorldCat Record")</f>
        <v>WorldCat Record</v>
      </c>
      <c r="AU89" s="3" t="s">
        <v>1233</v>
      </c>
      <c r="AV89" s="3" t="s">
        <v>1234</v>
      </c>
      <c r="AW89" s="3" t="s">
        <v>1235</v>
      </c>
      <c r="AX89" s="3" t="s">
        <v>1235</v>
      </c>
      <c r="AY89" s="3" t="s">
        <v>1236</v>
      </c>
      <c r="AZ89" s="3" t="s">
        <v>75</v>
      </c>
      <c r="BB89" s="3" t="s">
        <v>1237</v>
      </c>
      <c r="BC89" s="3" t="s">
        <v>1238</v>
      </c>
      <c r="BD89" s="3" t="s">
        <v>1239</v>
      </c>
    </row>
    <row r="90" spans="1:56" ht="48" customHeight="1" x14ac:dyDescent="0.25">
      <c r="A90" s="7" t="s">
        <v>59</v>
      </c>
      <c r="B90" s="2" t="s">
        <v>1240</v>
      </c>
      <c r="C90" s="2" t="s">
        <v>1241</v>
      </c>
      <c r="D90" s="2" t="s">
        <v>1242</v>
      </c>
      <c r="F90" s="3" t="s">
        <v>59</v>
      </c>
      <c r="G90" s="3" t="s">
        <v>60</v>
      </c>
      <c r="H90" s="3" t="s">
        <v>59</v>
      </c>
      <c r="I90" s="3" t="s">
        <v>59</v>
      </c>
      <c r="J90" s="3" t="s">
        <v>61</v>
      </c>
      <c r="K90" s="2" t="s">
        <v>1243</v>
      </c>
      <c r="L90" s="2" t="s">
        <v>1244</v>
      </c>
      <c r="M90" s="3" t="s">
        <v>911</v>
      </c>
      <c r="O90" s="3" t="s">
        <v>64</v>
      </c>
      <c r="P90" s="3" t="s">
        <v>84</v>
      </c>
      <c r="R90" s="3" t="s">
        <v>67</v>
      </c>
      <c r="S90" s="4">
        <v>1</v>
      </c>
      <c r="T90" s="4">
        <v>1</v>
      </c>
      <c r="U90" s="5" t="s">
        <v>1245</v>
      </c>
      <c r="V90" s="5" t="s">
        <v>1245</v>
      </c>
      <c r="W90" s="5" t="s">
        <v>501</v>
      </c>
      <c r="X90" s="5" t="s">
        <v>501</v>
      </c>
      <c r="Y90" s="4">
        <v>459</v>
      </c>
      <c r="Z90" s="4">
        <v>340</v>
      </c>
      <c r="AA90" s="4">
        <v>349</v>
      </c>
      <c r="AB90" s="4">
        <v>3</v>
      </c>
      <c r="AC90" s="4">
        <v>3</v>
      </c>
      <c r="AD90" s="4">
        <v>13</v>
      </c>
      <c r="AE90" s="4">
        <v>13</v>
      </c>
      <c r="AF90" s="4">
        <v>6</v>
      </c>
      <c r="AG90" s="4">
        <v>6</v>
      </c>
      <c r="AH90" s="4">
        <v>2</v>
      </c>
      <c r="AI90" s="4">
        <v>2</v>
      </c>
      <c r="AJ90" s="4">
        <v>7</v>
      </c>
      <c r="AK90" s="4">
        <v>7</v>
      </c>
      <c r="AL90" s="4">
        <v>2</v>
      </c>
      <c r="AM90" s="4">
        <v>2</v>
      </c>
      <c r="AN90" s="4">
        <v>0</v>
      </c>
      <c r="AO90" s="4">
        <v>0</v>
      </c>
      <c r="AP90" s="3" t="s">
        <v>59</v>
      </c>
      <c r="AQ90" s="3" t="s">
        <v>70</v>
      </c>
      <c r="AR90" s="6" t="str">
        <f>HYPERLINK("http://catalog.hathitrust.org/Record/001554185","HathiTrust Record")</f>
        <v>HathiTrust Record</v>
      </c>
      <c r="AS90" s="6" t="str">
        <f>HYPERLINK("https://creighton-primo.hosted.exlibrisgroup.com/primo-explore/search?tab=default_tab&amp;search_scope=EVERYTHING&amp;vid=01CRU&amp;lang=en_US&amp;offset=0&amp;query=any,contains,991002984439702656","Catalog Record")</f>
        <v>Catalog Record</v>
      </c>
      <c r="AT90" s="6" t="str">
        <f>HYPERLINK("http://www.worldcat.org/oclc/556830","WorldCat Record")</f>
        <v>WorldCat Record</v>
      </c>
      <c r="AU90" s="3" t="s">
        <v>1246</v>
      </c>
      <c r="AV90" s="3" t="s">
        <v>1247</v>
      </c>
      <c r="AW90" s="3" t="s">
        <v>1248</v>
      </c>
      <c r="AX90" s="3" t="s">
        <v>1248</v>
      </c>
      <c r="AY90" s="3" t="s">
        <v>1249</v>
      </c>
      <c r="AZ90" s="3" t="s">
        <v>75</v>
      </c>
      <c r="BC90" s="3" t="s">
        <v>1250</v>
      </c>
      <c r="BD90" s="3" t="s">
        <v>1251</v>
      </c>
    </row>
    <row r="91" spans="1:56" ht="48" customHeight="1" x14ac:dyDescent="0.25">
      <c r="A91" s="7" t="s">
        <v>59</v>
      </c>
      <c r="B91" s="2" t="s">
        <v>1252</v>
      </c>
      <c r="C91" s="2" t="s">
        <v>1253</v>
      </c>
      <c r="D91" s="2" t="s">
        <v>1254</v>
      </c>
      <c r="F91" s="3" t="s">
        <v>59</v>
      </c>
      <c r="G91" s="3" t="s">
        <v>60</v>
      </c>
      <c r="H91" s="3" t="s">
        <v>59</v>
      </c>
      <c r="I91" s="3" t="s">
        <v>59</v>
      </c>
      <c r="J91" s="3" t="s">
        <v>61</v>
      </c>
      <c r="K91" s="2" t="s">
        <v>1255</v>
      </c>
      <c r="L91" s="2" t="s">
        <v>1256</v>
      </c>
      <c r="M91" s="3" t="s">
        <v>376</v>
      </c>
      <c r="O91" s="3" t="s">
        <v>64</v>
      </c>
      <c r="P91" s="3" t="s">
        <v>1257</v>
      </c>
      <c r="R91" s="3" t="s">
        <v>67</v>
      </c>
      <c r="S91" s="4">
        <v>3</v>
      </c>
      <c r="T91" s="4">
        <v>3</v>
      </c>
      <c r="U91" s="5" t="s">
        <v>1245</v>
      </c>
      <c r="V91" s="5" t="s">
        <v>1245</v>
      </c>
      <c r="W91" s="5" t="s">
        <v>1258</v>
      </c>
      <c r="X91" s="5" t="s">
        <v>1258</v>
      </c>
      <c r="Y91" s="4">
        <v>203</v>
      </c>
      <c r="Z91" s="4">
        <v>135</v>
      </c>
      <c r="AA91" s="4">
        <v>137</v>
      </c>
      <c r="AB91" s="4">
        <v>3</v>
      </c>
      <c r="AC91" s="4">
        <v>3</v>
      </c>
      <c r="AD91" s="4">
        <v>3</v>
      </c>
      <c r="AE91" s="4">
        <v>3</v>
      </c>
      <c r="AF91" s="4">
        <v>0</v>
      </c>
      <c r="AG91" s="4">
        <v>0</v>
      </c>
      <c r="AH91" s="4">
        <v>2</v>
      </c>
      <c r="AI91" s="4">
        <v>2</v>
      </c>
      <c r="AJ91" s="4">
        <v>0</v>
      </c>
      <c r="AK91" s="4">
        <v>0</v>
      </c>
      <c r="AL91" s="4">
        <v>1</v>
      </c>
      <c r="AM91" s="4">
        <v>1</v>
      </c>
      <c r="AN91" s="4">
        <v>0</v>
      </c>
      <c r="AO91" s="4">
        <v>0</v>
      </c>
      <c r="AP91" s="3" t="s">
        <v>59</v>
      </c>
      <c r="AQ91" s="3" t="s">
        <v>70</v>
      </c>
      <c r="AR91" s="6" t="str">
        <f>HYPERLINK("http://catalog.hathitrust.org/Record/001576785","HathiTrust Record")</f>
        <v>HathiTrust Record</v>
      </c>
      <c r="AS91" s="6" t="str">
        <f>HYPERLINK("https://creighton-primo.hosted.exlibrisgroup.com/primo-explore/search?tab=default_tab&amp;search_scope=EVERYTHING&amp;vid=01CRU&amp;lang=en_US&amp;offset=0&amp;query=any,contains,991005265169702656","Catalog Record")</f>
        <v>Catalog Record</v>
      </c>
      <c r="AT91" s="6" t="str">
        <f>HYPERLINK("http://www.worldcat.org/oclc/672583","WorldCat Record")</f>
        <v>WorldCat Record</v>
      </c>
      <c r="AU91" s="3" t="s">
        <v>1259</v>
      </c>
      <c r="AV91" s="3" t="s">
        <v>1260</v>
      </c>
      <c r="AW91" s="3" t="s">
        <v>1261</v>
      </c>
      <c r="AX91" s="3" t="s">
        <v>1261</v>
      </c>
      <c r="AY91" s="3" t="s">
        <v>1262</v>
      </c>
      <c r="AZ91" s="3" t="s">
        <v>75</v>
      </c>
      <c r="BB91" s="3" t="s">
        <v>1263</v>
      </c>
      <c r="BC91" s="3" t="s">
        <v>1264</v>
      </c>
      <c r="BD91" s="3" t="s">
        <v>1265</v>
      </c>
    </row>
    <row r="92" spans="1:56" ht="48" customHeight="1" x14ac:dyDescent="0.25">
      <c r="A92" s="7" t="s">
        <v>59</v>
      </c>
      <c r="B92" s="2" t="s">
        <v>1266</v>
      </c>
      <c r="C92" s="2" t="s">
        <v>1267</v>
      </c>
      <c r="D92" s="2" t="s">
        <v>1268</v>
      </c>
      <c r="F92" s="3" t="s">
        <v>59</v>
      </c>
      <c r="G92" s="3" t="s">
        <v>60</v>
      </c>
      <c r="H92" s="3" t="s">
        <v>59</v>
      </c>
      <c r="I92" s="3" t="s">
        <v>59</v>
      </c>
      <c r="J92" s="3" t="s">
        <v>61</v>
      </c>
      <c r="L92" s="2" t="s">
        <v>1269</v>
      </c>
      <c r="M92" s="3" t="s">
        <v>219</v>
      </c>
      <c r="O92" s="3" t="s">
        <v>64</v>
      </c>
      <c r="P92" s="3" t="s">
        <v>1270</v>
      </c>
      <c r="R92" s="3" t="s">
        <v>67</v>
      </c>
      <c r="S92" s="4">
        <v>3</v>
      </c>
      <c r="T92" s="4">
        <v>3</v>
      </c>
      <c r="U92" s="5" t="s">
        <v>1271</v>
      </c>
      <c r="V92" s="5" t="s">
        <v>1271</v>
      </c>
      <c r="W92" s="5" t="s">
        <v>1272</v>
      </c>
      <c r="X92" s="5" t="s">
        <v>1272</v>
      </c>
      <c r="Y92" s="4">
        <v>333</v>
      </c>
      <c r="Z92" s="4">
        <v>247</v>
      </c>
      <c r="AA92" s="4">
        <v>269</v>
      </c>
      <c r="AB92" s="4">
        <v>3</v>
      </c>
      <c r="AC92" s="4">
        <v>3</v>
      </c>
      <c r="AD92" s="4">
        <v>11</v>
      </c>
      <c r="AE92" s="4">
        <v>11</v>
      </c>
      <c r="AF92" s="4">
        <v>1</v>
      </c>
      <c r="AG92" s="4">
        <v>1</v>
      </c>
      <c r="AH92" s="4">
        <v>4</v>
      </c>
      <c r="AI92" s="4">
        <v>4</v>
      </c>
      <c r="AJ92" s="4">
        <v>6</v>
      </c>
      <c r="AK92" s="4">
        <v>6</v>
      </c>
      <c r="AL92" s="4">
        <v>2</v>
      </c>
      <c r="AM92" s="4">
        <v>2</v>
      </c>
      <c r="AN92" s="4">
        <v>1</v>
      </c>
      <c r="AO92" s="4">
        <v>1</v>
      </c>
      <c r="AP92" s="3" t="s">
        <v>59</v>
      </c>
      <c r="AQ92" s="3" t="s">
        <v>70</v>
      </c>
      <c r="AR92" s="6" t="str">
        <f>HYPERLINK("http://catalog.hathitrust.org/Record/001946558","HathiTrust Record")</f>
        <v>HathiTrust Record</v>
      </c>
      <c r="AS92" s="6" t="str">
        <f>HYPERLINK("https://creighton-primo.hosted.exlibrisgroup.com/primo-explore/search?tab=default_tab&amp;search_scope=EVERYTHING&amp;vid=01CRU&amp;lang=en_US&amp;offset=0&amp;query=any,contains,991001626969702656","Catalog Record")</f>
        <v>Catalog Record</v>
      </c>
      <c r="AT92" s="6" t="str">
        <f>HYPERLINK("http://www.worldcat.org/oclc/20853241","WorldCat Record")</f>
        <v>WorldCat Record</v>
      </c>
      <c r="AU92" s="3" t="s">
        <v>1273</v>
      </c>
      <c r="AV92" s="3" t="s">
        <v>1274</v>
      </c>
      <c r="AW92" s="3" t="s">
        <v>1275</v>
      </c>
      <c r="AX92" s="3" t="s">
        <v>1275</v>
      </c>
      <c r="AY92" s="3" t="s">
        <v>1276</v>
      </c>
      <c r="AZ92" s="3" t="s">
        <v>75</v>
      </c>
      <c r="BB92" s="3" t="s">
        <v>1277</v>
      </c>
      <c r="BC92" s="3" t="s">
        <v>1278</v>
      </c>
      <c r="BD92" s="3" t="s">
        <v>1279</v>
      </c>
    </row>
    <row r="93" spans="1:56" ht="48" customHeight="1" x14ac:dyDescent="0.25">
      <c r="A93" s="7" t="s">
        <v>59</v>
      </c>
      <c r="B93" s="2" t="s">
        <v>1280</v>
      </c>
      <c r="C93" s="2" t="s">
        <v>1281</v>
      </c>
      <c r="D93" s="2" t="s">
        <v>1282</v>
      </c>
      <c r="F93" s="3" t="s">
        <v>59</v>
      </c>
      <c r="G93" s="3" t="s">
        <v>60</v>
      </c>
      <c r="H93" s="3" t="s">
        <v>59</v>
      </c>
      <c r="I93" s="3" t="s">
        <v>59</v>
      </c>
      <c r="J93" s="3" t="s">
        <v>61</v>
      </c>
      <c r="K93" s="2" t="s">
        <v>1283</v>
      </c>
      <c r="L93" s="2" t="s">
        <v>1284</v>
      </c>
      <c r="M93" s="3" t="s">
        <v>535</v>
      </c>
      <c r="N93" s="2" t="s">
        <v>1285</v>
      </c>
      <c r="O93" s="3" t="s">
        <v>64</v>
      </c>
      <c r="P93" s="3" t="s">
        <v>130</v>
      </c>
      <c r="R93" s="3" t="s">
        <v>67</v>
      </c>
      <c r="S93" s="4">
        <v>1</v>
      </c>
      <c r="T93" s="4">
        <v>1</v>
      </c>
      <c r="U93" s="5" t="s">
        <v>1286</v>
      </c>
      <c r="V93" s="5" t="s">
        <v>1286</v>
      </c>
      <c r="W93" s="5" t="s">
        <v>501</v>
      </c>
      <c r="X93" s="5" t="s">
        <v>501</v>
      </c>
      <c r="Y93" s="4">
        <v>373</v>
      </c>
      <c r="Z93" s="4">
        <v>331</v>
      </c>
      <c r="AA93" s="4">
        <v>370</v>
      </c>
      <c r="AB93" s="4">
        <v>6</v>
      </c>
      <c r="AC93" s="4">
        <v>6</v>
      </c>
      <c r="AD93" s="4">
        <v>14</v>
      </c>
      <c r="AE93" s="4">
        <v>14</v>
      </c>
      <c r="AF93" s="4">
        <v>3</v>
      </c>
      <c r="AG93" s="4">
        <v>3</v>
      </c>
      <c r="AH93" s="4">
        <v>2</v>
      </c>
      <c r="AI93" s="4">
        <v>2</v>
      </c>
      <c r="AJ93" s="4">
        <v>5</v>
      </c>
      <c r="AK93" s="4">
        <v>5</v>
      </c>
      <c r="AL93" s="4">
        <v>5</v>
      </c>
      <c r="AM93" s="4">
        <v>5</v>
      </c>
      <c r="AN93" s="4">
        <v>0</v>
      </c>
      <c r="AO93" s="4">
        <v>0</v>
      </c>
      <c r="AP93" s="3" t="s">
        <v>59</v>
      </c>
      <c r="AQ93" s="3" t="s">
        <v>70</v>
      </c>
      <c r="AR93" s="6" t="str">
        <f>HYPERLINK("http://catalog.hathitrust.org/Record/001508209","HathiTrust Record")</f>
        <v>HathiTrust Record</v>
      </c>
      <c r="AS93" s="6" t="str">
        <f>HYPERLINK("https://creighton-primo.hosted.exlibrisgroup.com/primo-explore/search?tab=default_tab&amp;search_scope=EVERYTHING&amp;vid=01CRU&amp;lang=en_US&amp;offset=0&amp;query=any,contains,991002984809702656","Catalog Record")</f>
        <v>Catalog Record</v>
      </c>
      <c r="AT93" s="6" t="str">
        <f>HYPERLINK("http://www.worldcat.org/oclc/557027","WorldCat Record")</f>
        <v>WorldCat Record</v>
      </c>
      <c r="AU93" s="3" t="s">
        <v>1287</v>
      </c>
      <c r="AV93" s="3" t="s">
        <v>1288</v>
      </c>
      <c r="AW93" s="3" t="s">
        <v>1289</v>
      </c>
      <c r="AX93" s="3" t="s">
        <v>1289</v>
      </c>
      <c r="AY93" s="3" t="s">
        <v>1290</v>
      </c>
      <c r="AZ93" s="3" t="s">
        <v>75</v>
      </c>
      <c r="BC93" s="3" t="s">
        <v>1291</v>
      </c>
      <c r="BD93" s="3" t="s">
        <v>1292</v>
      </c>
    </row>
    <row r="94" spans="1:56" ht="48" customHeight="1" x14ac:dyDescent="0.25">
      <c r="A94" s="7" t="s">
        <v>59</v>
      </c>
      <c r="B94" s="2" t="s">
        <v>1293</v>
      </c>
      <c r="C94" s="2" t="s">
        <v>1294</v>
      </c>
      <c r="D94" s="2" t="s">
        <v>1295</v>
      </c>
      <c r="F94" s="3" t="s">
        <v>59</v>
      </c>
      <c r="G94" s="3" t="s">
        <v>60</v>
      </c>
      <c r="H94" s="3" t="s">
        <v>59</v>
      </c>
      <c r="I94" s="3" t="s">
        <v>59</v>
      </c>
      <c r="J94" s="3" t="s">
        <v>61</v>
      </c>
      <c r="K94" s="2" t="s">
        <v>1296</v>
      </c>
      <c r="L94" s="2" t="s">
        <v>1297</v>
      </c>
      <c r="M94" s="3" t="s">
        <v>333</v>
      </c>
      <c r="N94" s="2" t="s">
        <v>731</v>
      </c>
      <c r="O94" s="3" t="s">
        <v>64</v>
      </c>
      <c r="P94" s="3" t="s">
        <v>130</v>
      </c>
      <c r="R94" s="3" t="s">
        <v>67</v>
      </c>
      <c r="S94" s="4">
        <v>8</v>
      </c>
      <c r="T94" s="4">
        <v>8</v>
      </c>
      <c r="U94" s="5" t="s">
        <v>1298</v>
      </c>
      <c r="V94" s="5" t="s">
        <v>1298</v>
      </c>
      <c r="W94" s="5" t="s">
        <v>552</v>
      </c>
      <c r="X94" s="5" t="s">
        <v>552</v>
      </c>
      <c r="Y94" s="4">
        <v>879</v>
      </c>
      <c r="Z94" s="4">
        <v>775</v>
      </c>
      <c r="AA94" s="4">
        <v>846</v>
      </c>
      <c r="AB94" s="4">
        <v>4</v>
      </c>
      <c r="AC94" s="4">
        <v>5</v>
      </c>
      <c r="AD94" s="4">
        <v>19</v>
      </c>
      <c r="AE94" s="4">
        <v>23</v>
      </c>
      <c r="AF94" s="4">
        <v>7</v>
      </c>
      <c r="AG94" s="4">
        <v>8</v>
      </c>
      <c r="AH94" s="4">
        <v>3</v>
      </c>
      <c r="AI94" s="4">
        <v>4</v>
      </c>
      <c r="AJ94" s="4">
        <v>11</v>
      </c>
      <c r="AK94" s="4">
        <v>13</v>
      </c>
      <c r="AL94" s="4">
        <v>2</v>
      </c>
      <c r="AM94" s="4">
        <v>3</v>
      </c>
      <c r="AN94" s="4">
        <v>1</v>
      </c>
      <c r="AO94" s="4">
        <v>1</v>
      </c>
      <c r="AP94" s="3" t="s">
        <v>59</v>
      </c>
      <c r="AQ94" s="3" t="s">
        <v>70</v>
      </c>
      <c r="AR94" s="6" t="str">
        <f>HYPERLINK("http://catalog.hathitrust.org/Record/000462780","HathiTrust Record")</f>
        <v>HathiTrust Record</v>
      </c>
      <c r="AS94" s="6" t="str">
        <f>HYPERLINK("https://creighton-primo.hosted.exlibrisgroup.com/primo-explore/search?tab=default_tab&amp;search_scope=EVERYTHING&amp;vid=01CRU&amp;lang=en_US&amp;offset=0&amp;query=any,contains,991000484379702656","Catalog Record")</f>
        <v>Catalog Record</v>
      </c>
      <c r="AT94" s="6" t="str">
        <f>HYPERLINK("http://www.worldcat.org/oclc/11068031","WorldCat Record")</f>
        <v>WorldCat Record</v>
      </c>
      <c r="AU94" s="3" t="s">
        <v>1299</v>
      </c>
      <c r="AV94" s="3" t="s">
        <v>1300</v>
      </c>
      <c r="AW94" s="3" t="s">
        <v>1301</v>
      </c>
      <c r="AX94" s="3" t="s">
        <v>1301</v>
      </c>
      <c r="AY94" s="3" t="s">
        <v>1302</v>
      </c>
      <c r="AZ94" s="3" t="s">
        <v>75</v>
      </c>
      <c r="BB94" s="3" t="s">
        <v>1303</v>
      </c>
      <c r="BC94" s="3" t="s">
        <v>1304</v>
      </c>
      <c r="BD94" s="3" t="s">
        <v>1305</v>
      </c>
    </row>
    <row r="95" spans="1:56" ht="48" customHeight="1" x14ac:dyDescent="0.25">
      <c r="A95" s="7" t="s">
        <v>59</v>
      </c>
      <c r="B95" s="2" t="s">
        <v>1306</v>
      </c>
      <c r="C95" s="2" t="s">
        <v>1307</v>
      </c>
      <c r="D95" s="2" t="s">
        <v>1308</v>
      </c>
      <c r="F95" s="3" t="s">
        <v>59</v>
      </c>
      <c r="G95" s="3" t="s">
        <v>60</v>
      </c>
      <c r="H95" s="3" t="s">
        <v>59</v>
      </c>
      <c r="I95" s="3" t="s">
        <v>59</v>
      </c>
      <c r="J95" s="3" t="s">
        <v>61</v>
      </c>
      <c r="K95" s="2" t="s">
        <v>1309</v>
      </c>
      <c r="L95" s="2" t="s">
        <v>1310</v>
      </c>
      <c r="M95" s="3" t="s">
        <v>1311</v>
      </c>
      <c r="O95" s="3" t="s">
        <v>64</v>
      </c>
      <c r="P95" s="3" t="s">
        <v>912</v>
      </c>
      <c r="R95" s="3" t="s">
        <v>67</v>
      </c>
      <c r="S95" s="4">
        <v>1</v>
      </c>
      <c r="T95" s="4">
        <v>1</v>
      </c>
      <c r="U95" s="5" t="s">
        <v>942</v>
      </c>
      <c r="V95" s="5" t="s">
        <v>942</v>
      </c>
      <c r="W95" s="5" t="s">
        <v>501</v>
      </c>
      <c r="X95" s="5" t="s">
        <v>501</v>
      </c>
      <c r="Y95" s="4">
        <v>182</v>
      </c>
      <c r="Z95" s="4">
        <v>171</v>
      </c>
      <c r="AA95" s="4">
        <v>573</v>
      </c>
      <c r="AB95" s="4">
        <v>3</v>
      </c>
      <c r="AC95" s="4">
        <v>5</v>
      </c>
      <c r="AD95" s="4">
        <v>6</v>
      </c>
      <c r="AE95" s="4">
        <v>24</v>
      </c>
      <c r="AF95" s="4">
        <v>1</v>
      </c>
      <c r="AG95" s="4">
        <v>9</v>
      </c>
      <c r="AH95" s="4">
        <v>1</v>
      </c>
      <c r="AI95" s="4">
        <v>8</v>
      </c>
      <c r="AJ95" s="4">
        <v>3</v>
      </c>
      <c r="AK95" s="4">
        <v>11</v>
      </c>
      <c r="AL95" s="4">
        <v>1</v>
      </c>
      <c r="AM95" s="4">
        <v>3</v>
      </c>
      <c r="AN95" s="4">
        <v>0</v>
      </c>
      <c r="AO95" s="4">
        <v>0</v>
      </c>
      <c r="AP95" s="3" t="s">
        <v>59</v>
      </c>
      <c r="AQ95" s="3" t="s">
        <v>59</v>
      </c>
      <c r="AS95" s="6" t="str">
        <f>HYPERLINK("https://creighton-primo.hosted.exlibrisgroup.com/primo-explore/search?tab=default_tab&amp;search_scope=EVERYTHING&amp;vid=01CRU&amp;lang=en_US&amp;offset=0&amp;query=any,contains,991005266469702656","Catalog Record")</f>
        <v>Catalog Record</v>
      </c>
      <c r="AT95" s="6" t="str">
        <f>HYPERLINK("http://www.worldcat.org/oclc/972361","WorldCat Record")</f>
        <v>WorldCat Record</v>
      </c>
      <c r="AU95" s="3" t="s">
        <v>1312</v>
      </c>
      <c r="AV95" s="3" t="s">
        <v>1313</v>
      </c>
      <c r="AW95" s="3" t="s">
        <v>1314</v>
      </c>
      <c r="AX95" s="3" t="s">
        <v>1314</v>
      </c>
      <c r="AY95" s="3" t="s">
        <v>1315</v>
      </c>
      <c r="AZ95" s="3" t="s">
        <v>75</v>
      </c>
      <c r="BC95" s="3" t="s">
        <v>1316</v>
      </c>
      <c r="BD95" s="3" t="s">
        <v>1317</v>
      </c>
    </row>
    <row r="96" spans="1:56" ht="48" customHeight="1" x14ac:dyDescent="0.25">
      <c r="A96" s="7" t="s">
        <v>59</v>
      </c>
      <c r="B96" s="2" t="s">
        <v>1318</v>
      </c>
      <c r="C96" s="2" t="s">
        <v>1319</v>
      </c>
      <c r="D96" s="2" t="s">
        <v>1320</v>
      </c>
      <c r="F96" s="3" t="s">
        <v>59</v>
      </c>
      <c r="G96" s="3" t="s">
        <v>60</v>
      </c>
      <c r="H96" s="3" t="s">
        <v>59</v>
      </c>
      <c r="I96" s="3" t="s">
        <v>59</v>
      </c>
      <c r="J96" s="3" t="s">
        <v>61</v>
      </c>
      <c r="K96" s="2" t="s">
        <v>1321</v>
      </c>
      <c r="L96" s="2" t="s">
        <v>1322</v>
      </c>
      <c r="M96" s="3" t="s">
        <v>1323</v>
      </c>
      <c r="N96" s="2" t="s">
        <v>1324</v>
      </c>
      <c r="O96" s="3" t="s">
        <v>64</v>
      </c>
      <c r="P96" s="3" t="s">
        <v>278</v>
      </c>
      <c r="Q96" s="2" t="s">
        <v>1325</v>
      </c>
      <c r="R96" s="3" t="s">
        <v>67</v>
      </c>
      <c r="S96" s="4">
        <v>1</v>
      </c>
      <c r="T96" s="4">
        <v>1</v>
      </c>
      <c r="U96" s="5" t="s">
        <v>1326</v>
      </c>
      <c r="V96" s="5" t="s">
        <v>1326</v>
      </c>
      <c r="W96" s="5" t="s">
        <v>501</v>
      </c>
      <c r="X96" s="5" t="s">
        <v>501</v>
      </c>
      <c r="Y96" s="4">
        <v>158</v>
      </c>
      <c r="Z96" s="4">
        <v>119</v>
      </c>
      <c r="AA96" s="4">
        <v>325</v>
      </c>
      <c r="AB96" s="4">
        <v>2</v>
      </c>
      <c r="AC96" s="4">
        <v>3</v>
      </c>
      <c r="AD96" s="4">
        <v>3</v>
      </c>
      <c r="AE96" s="4">
        <v>8</v>
      </c>
      <c r="AF96" s="4">
        <v>1</v>
      </c>
      <c r="AG96" s="4">
        <v>3</v>
      </c>
      <c r="AH96" s="4">
        <v>0</v>
      </c>
      <c r="AI96" s="4">
        <v>2</v>
      </c>
      <c r="AJ96" s="4">
        <v>1</v>
      </c>
      <c r="AK96" s="4">
        <v>5</v>
      </c>
      <c r="AL96" s="4">
        <v>1</v>
      </c>
      <c r="AM96" s="4">
        <v>1</v>
      </c>
      <c r="AN96" s="4">
        <v>0</v>
      </c>
      <c r="AO96" s="4">
        <v>0</v>
      </c>
      <c r="AP96" s="3" t="s">
        <v>59</v>
      </c>
      <c r="AQ96" s="3" t="s">
        <v>70</v>
      </c>
      <c r="AR96" s="6" t="str">
        <f>HYPERLINK("http://catalog.hathitrust.org/Record/001554208","HathiTrust Record")</f>
        <v>HathiTrust Record</v>
      </c>
      <c r="AS96" s="6" t="str">
        <f>HYPERLINK("https://creighton-primo.hosted.exlibrisgroup.com/primo-explore/search?tab=default_tab&amp;search_scope=EVERYTHING&amp;vid=01CRU&amp;lang=en_US&amp;offset=0&amp;query=any,contains,991000951349702656","Catalog Record")</f>
        <v>Catalog Record</v>
      </c>
      <c r="AT96" s="6" t="str">
        <f>HYPERLINK("http://www.worldcat.org/oclc/14677889","WorldCat Record")</f>
        <v>WorldCat Record</v>
      </c>
      <c r="AU96" s="3" t="s">
        <v>1327</v>
      </c>
      <c r="AV96" s="3" t="s">
        <v>1328</v>
      </c>
      <c r="AW96" s="3" t="s">
        <v>1329</v>
      </c>
      <c r="AX96" s="3" t="s">
        <v>1329</v>
      </c>
      <c r="AY96" s="3" t="s">
        <v>1330</v>
      </c>
      <c r="AZ96" s="3" t="s">
        <v>75</v>
      </c>
      <c r="BC96" s="3" t="s">
        <v>1331</v>
      </c>
      <c r="BD96" s="3" t="s">
        <v>1332</v>
      </c>
    </row>
    <row r="97" spans="1:56" ht="48" customHeight="1" x14ac:dyDescent="0.25">
      <c r="A97" s="7" t="s">
        <v>59</v>
      </c>
      <c r="B97" s="2" t="s">
        <v>1333</v>
      </c>
      <c r="C97" s="2" t="s">
        <v>1334</v>
      </c>
      <c r="D97" s="2" t="s">
        <v>1335</v>
      </c>
      <c r="F97" s="3" t="s">
        <v>59</v>
      </c>
      <c r="G97" s="3" t="s">
        <v>60</v>
      </c>
      <c r="H97" s="3" t="s">
        <v>59</v>
      </c>
      <c r="I97" s="3" t="s">
        <v>59</v>
      </c>
      <c r="J97" s="3" t="s">
        <v>61</v>
      </c>
      <c r="K97" s="2" t="s">
        <v>1336</v>
      </c>
      <c r="L97" s="2" t="s">
        <v>1337</v>
      </c>
      <c r="M97" s="3" t="s">
        <v>1338</v>
      </c>
      <c r="O97" s="3" t="s">
        <v>64</v>
      </c>
      <c r="P97" s="3" t="s">
        <v>130</v>
      </c>
      <c r="R97" s="3" t="s">
        <v>67</v>
      </c>
      <c r="S97" s="4">
        <v>2</v>
      </c>
      <c r="T97" s="4">
        <v>2</v>
      </c>
      <c r="U97" s="5" t="s">
        <v>1339</v>
      </c>
      <c r="V97" s="5" t="s">
        <v>1339</v>
      </c>
      <c r="W97" s="5" t="s">
        <v>501</v>
      </c>
      <c r="X97" s="5" t="s">
        <v>501</v>
      </c>
      <c r="Y97" s="4">
        <v>187</v>
      </c>
      <c r="Z97" s="4">
        <v>162</v>
      </c>
      <c r="AA97" s="4">
        <v>169</v>
      </c>
      <c r="AB97" s="4">
        <v>2</v>
      </c>
      <c r="AC97" s="4">
        <v>2</v>
      </c>
      <c r="AD97" s="4">
        <v>7</v>
      </c>
      <c r="AE97" s="4">
        <v>7</v>
      </c>
      <c r="AF97" s="4">
        <v>3</v>
      </c>
      <c r="AG97" s="4">
        <v>3</v>
      </c>
      <c r="AH97" s="4">
        <v>2</v>
      </c>
      <c r="AI97" s="4">
        <v>2</v>
      </c>
      <c r="AJ97" s="4">
        <v>5</v>
      </c>
      <c r="AK97" s="4">
        <v>5</v>
      </c>
      <c r="AL97" s="4">
        <v>1</v>
      </c>
      <c r="AM97" s="4">
        <v>1</v>
      </c>
      <c r="AN97" s="4">
        <v>0</v>
      </c>
      <c r="AO97" s="4">
        <v>0</v>
      </c>
      <c r="AP97" s="3" t="s">
        <v>59</v>
      </c>
      <c r="AQ97" s="3" t="s">
        <v>70</v>
      </c>
      <c r="AR97" s="6" t="str">
        <f>HYPERLINK("http://catalog.hathitrust.org/Record/001554211","HathiTrust Record")</f>
        <v>HathiTrust Record</v>
      </c>
      <c r="AS97" s="6" t="str">
        <f>HYPERLINK("https://creighton-primo.hosted.exlibrisgroup.com/primo-explore/search?tab=default_tab&amp;search_scope=EVERYTHING&amp;vid=01CRU&amp;lang=en_US&amp;offset=0&amp;query=any,contains,991005264379702656","Catalog Record")</f>
        <v>Catalog Record</v>
      </c>
      <c r="AT97" s="6" t="str">
        <f>HYPERLINK("http://www.worldcat.org/oclc/953644","WorldCat Record")</f>
        <v>WorldCat Record</v>
      </c>
      <c r="AU97" s="3" t="s">
        <v>1340</v>
      </c>
      <c r="AV97" s="3" t="s">
        <v>1341</v>
      </c>
      <c r="AW97" s="3" t="s">
        <v>1342</v>
      </c>
      <c r="AX97" s="3" t="s">
        <v>1342</v>
      </c>
      <c r="AY97" s="3" t="s">
        <v>1343</v>
      </c>
      <c r="AZ97" s="3" t="s">
        <v>75</v>
      </c>
      <c r="BC97" s="3" t="s">
        <v>1344</v>
      </c>
      <c r="BD97" s="3" t="s">
        <v>1345</v>
      </c>
    </row>
    <row r="98" spans="1:56" ht="48" customHeight="1" x14ac:dyDescent="0.25">
      <c r="A98" s="7" t="s">
        <v>59</v>
      </c>
      <c r="B98" s="2" t="s">
        <v>1346</v>
      </c>
      <c r="C98" s="2" t="s">
        <v>1347</v>
      </c>
      <c r="D98" s="2" t="s">
        <v>1348</v>
      </c>
      <c r="F98" s="3" t="s">
        <v>59</v>
      </c>
      <c r="G98" s="3" t="s">
        <v>60</v>
      </c>
      <c r="H98" s="3" t="s">
        <v>59</v>
      </c>
      <c r="I98" s="3" t="s">
        <v>59</v>
      </c>
      <c r="J98" s="3" t="s">
        <v>61</v>
      </c>
      <c r="K98" s="2" t="s">
        <v>1349</v>
      </c>
      <c r="L98" s="2" t="s">
        <v>1350</v>
      </c>
      <c r="M98" s="3" t="s">
        <v>1351</v>
      </c>
      <c r="N98" s="2" t="s">
        <v>731</v>
      </c>
      <c r="O98" s="3" t="s">
        <v>64</v>
      </c>
      <c r="P98" s="3" t="s">
        <v>130</v>
      </c>
      <c r="R98" s="3" t="s">
        <v>67</v>
      </c>
      <c r="S98" s="4">
        <v>5</v>
      </c>
      <c r="T98" s="4">
        <v>5</v>
      </c>
      <c r="U98" s="5" t="s">
        <v>1352</v>
      </c>
      <c r="V98" s="5" t="s">
        <v>1352</v>
      </c>
      <c r="W98" s="5" t="s">
        <v>1353</v>
      </c>
      <c r="X98" s="5" t="s">
        <v>1353</v>
      </c>
      <c r="Y98" s="4">
        <v>779</v>
      </c>
      <c r="Z98" s="4">
        <v>672</v>
      </c>
      <c r="AA98" s="4">
        <v>676</v>
      </c>
      <c r="AB98" s="4">
        <v>6</v>
      </c>
      <c r="AC98" s="4">
        <v>6</v>
      </c>
      <c r="AD98" s="4">
        <v>19</v>
      </c>
      <c r="AE98" s="4">
        <v>19</v>
      </c>
      <c r="AF98" s="4">
        <v>5</v>
      </c>
      <c r="AG98" s="4">
        <v>5</v>
      </c>
      <c r="AH98" s="4">
        <v>5</v>
      </c>
      <c r="AI98" s="4">
        <v>5</v>
      </c>
      <c r="AJ98" s="4">
        <v>8</v>
      </c>
      <c r="AK98" s="4">
        <v>8</v>
      </c>
      <c r="AL98" s="4">
        <v>4</v>
      </c>
      <c r="AM98" s="4">
        <v>4</v>
      </c>
      <c r="AN98" s="4">
        <v>0</v>
      </c>
      <c r="AO98" s="4">
        <v>0</v>
      </c>
      <c r="AP98" s="3" t="s">
        <v>59</v>
      </c>
      <c r="AQ98" s="3" t="s">
        <v>59</v>
      </c>
      <c r="AS98" s="6" t="str">
        <f>HYPERLINK("https://creighton-primo.hosted.exlibrisgroup.com/primo-explore/search?tab=default_tab&amp;search_scope=EVERYTHING&amp;vid=01CRU&amp;lang=en_US&amp;offset=0&amp;query=any,contains,991004518499702656","Catalog Record")</f>
        <v>Catalog Record</v>
      </c>
      <c r="AT98" s="6" t="str">
        <f>HYPERLINK("http://www.worldcat.org/oclc/53970701","WorldCat Record")</f>
        <v>WorldCat Record</v>
      </c>
      <c r="AU98" s="3" t="s">
        <v>1354</v>
      </c>
      <c r="AV98" s="3" t="s">
        <v>1355</v>
      </c>
      <c r="AW98" s="3" t="s">
        <v>1356</v>
      </c>
      <c r="AX98" s="3" t="s">
        <v>1356</v>
      </c>
      <c r="AY98" s="3" t="s">
        <v>1357</v>
      </c>
      <c r="AZ98" s="3" t="s">
        <v>75</v>
      </c>
      <c r="BB98" s="3" t="s">
        <v>1358</v>
      </c>
      <c r="BC98" s="3" t="s">
        <v>1359</v>
      </c>
      <c r="BD98" s="3" t="s">
        <v>1360</v>
      </c>
    </row>
    <row r="99" spans="1:56" ht="48" customHeight="1" x14ac:dyDescent="0.25">
      <c r="A99" s="7" t="s">
        <v>59</v>
      </c>
      <c r="B99" s="2" t="s">
        <v>1361</v>
      </c>
      <c r="C99" s="2" t="s">
        <v>1362</v>
      </c>
      <c r="D99" s="2" t="s">
        <v>1363</v>
      </c>
      <c r="F99" s="3" t="s">
        <v>59</v>
      </c>
      <c r="G99" s="3" t="s">
        <v>60</v>
      </c>
      <c r="H99" s="3" t="s">
        <v>59</v>
      </c>
      <c r="I99" s="3" t="s">
        <v>59</v>
      </c>
      <c r="J99" s="3" t="s">
        <v>61</v>
      </c>
      <c r="L99" s="2" t="s">
        <v>1364</v>
      </c>
      <c r="M99" s="3" t="s">
        <v>219</v>
      </c>
      <c r="O99" s="3" t="s">
        <v>64</v>
      </c>
      <c r="P99" s="3" t="s">
        <v>1365</v>
      </c>
      <c r="R99" s="3" t="s">
        <v>67</v>
      </c>
      <c r="S99" s="4">
        <v>14</v>
      </c>
      <c r="T99" s="4">
        <v>14</v>
      </c>
      <c r="U99" s="5" t="s">
        <v>1366</v>
      </c>
      <c r="V99" s="5" t="s">
        <v>1366</v>
      </c>
      <c r="W99" s="5" t="s">
        <v>1367</v>
      </c>
      <c r="X99" s="5" t="s">
        <v>1367</v>
      </c>
      <c r="Y99" s="4">
        <v>194</v>
      </c>
      <c r="Z99" s="4">
        <v>188</v>
      </c>
      <c r="AA99" s="4">
        <v>195</v>
      </c>
      <c r="AB99" s="4">
        <v>2</v>
      </c>
      <c r="AC99" s="4">
        <v>2</v>
      </c>
      <c r="AD99" s="4">
        <v>31</v>
      </c>
      <c r="AE99" s="4">
        <v>31</v>
      </c>
      <c r="AF99" s="4">
        <v>12</v>
      </c>
      <c r="AG99" s="4">
        <v>12</v>
      </c>
      <c r="AH99" s="4">
        <v>8</v>
      </c>
      <c r="AI99" s="4">
        <v>8</v>
      </c>
      <c r="AJ99" s="4">
        <v>22</v>
      </c>
      <c r="AK99" s="4">
        <v>22</v>
      </c>
      <c r="AL99" s="4">
        <v>0</v>
      </c>
      <c r="AM99" s="4">
        <v>0</v>
      </c>
      <c r="AN99" s="4">
        <v>0</v>
      </c>
      <c r="AO99" s="4">
        <v>0</v>
      </c>
      <c r="AP99" s="3" t="s">
        <v>59</v>
      </c>
      <c r="AQ99" s="3" t="s">
        <v>70</v>
      </c>
      <c r="AR99" s="6" t="str">
        <f>HYPERLINK("http://catalog.hathitrust.org/Record/002712195","HathiTrust Record")</f>
        <v>HathiTrust Record</v>
      </c>
      <c r="AS99" s="6" t="str">
        <f>HYPERLINK("https://creighton-primo.hosted.exlibrisgroup.com/primo-explore/search?tab=default_tab&amp;search_scope=EVERYTHING&amp;vid=01CRU&amp;lang=en_US&amp;offset=0&amp;query=any,contains,991001743199702656","Catalog Record")</f>
        <v>Catalog Record</v>
      </c>
      <c r="AT99" s="6" t="str">
        <f>HYPERLINK("http://www.worldcat.org/oclc/22115805","WorldCat Record")</f>
        <v>WorldCat Record</v>
      </c>
      <c r="AU99" s="3" t="s">
        <v>1368</v>
      </c>
      <c r="AV99" s="3" t="s">
        <v>1369</v>
      </c>
      <c r="AW99" s="3" t="s">
        <v>1370</v>
      </c>
      <c r="AX99" s="3" t="s">
        <v>1370</v>
      </c>
      <c r="AY99" s="3" t="s">
        <v>1371</v>
      </c>
      <c r="AZ99" s="3" t="s">
        <v>75</v>
      </c>
      <c r="BB99" s="3" t="s">
        <v>1372</v>
      </c>
      <c r="BC99" s="3" t="s">
        <v>1373</v>
      </c>
      <c r="BD99" s="3" t="s">
        <v>1374</v>
      </c>
    </row>
    <row r="100" spans="1:56" ht="48" customHeight="1" x14ac:dyDescent="0.25">
      <c r="A100" s="7" t="s">
        <v>59</v>
      </c>
      <c r="B100" s="2" t="s">
        <v>1375</v>
      </c>
      <c r="C100" s="2" t="s">
        <v>1376</v>
      </c>
      <c r="D100" s="2" t="s">
        <v>1377</v>
      </c>
      <c r="F100" s="3" t="s">
        <v>70</v>
      </c>
      <c r="G100" s="3" t="s">
        <v>60</v>
      </c>
      <c r="H100" s="3" t="s">
        <v>59</v>
      </c>
      <c r="I100" s="3" t="s">
        <v>59</v>
      </c>
      <c r="J100" s="3" t="s">
        <v>61</v>
      </c>
      <c r="K100" s="2" t="s">
        <v>1378</v>
      </c>
      <c r="L100" s="2" t="s">
        <v>1379</v>
      </c>
      <c r="M100" s="3" t="s">
        <v>471</v>
      </c>
      <c r="O100" s="3" t="s">
        <v>64</v>
      </c>
      <c r="P100" s="3" t="s">
        <v>130</v>
      </c>
      <c r="Q100" s="2" t="s">
        <v>1380</v>
      </c>
      <c r="R100" s="3" t="s">
        <v>67</v>
      </c>
      <c r="S100" s="4">
        <v>4</v>
      </c>
      <c r="T100" s="4">
        <v>4</v>
      </c>
      <c r="U100" s="5" t="s">
        <v>1381</v>
      </c>
      <c r="V100" s="5" t="s">
        <v>1381</v>
      </c>
      <c r="W100" s="5" t="s">
        <v>1258</v>
      </c>
      <c r="X100" s="5" t="s">
        <v>1258</v>
      </c>
      <c r="Y100" s="4">
        <v>273</v>
      </c>
      <c r="Z100" s="4">
        <v>206</v>
      </c>
      <c r="AA100" s="4">
        <v>208</v>
      </c>
      <c r="AB100" s="4">
        <v>2</v>
      </c>
      <c r="AC100" s="4">
        <v>2</v>
      </c>
      <c r="AD100" s="4">
        <v>6</v>
      </c>
      <c r="AE100" s="4">
        <v>6</v>
      </c>
      <c r="AF100" s="4">
        <v>0</v>
      </c>
      <c r="AG100" s="4">
        <v>0</v>
      </c>
      <c r="AH100" s="4">
        <v>4</v>
      </c>
      <c r="AI100" s="4">
        <v>4</v>
      </c>
      <c r="AJ100" s="4">
        <v>3</v>
      </c>
      <c r="AK100" s="4">
        <v>3</v>
      </c>
      <c r="AL100" s="4">
        <v>1</v>
      </c>
      <c r="AM100" s="4">
        <v>1</v>
      </c>
      <c r="AN100" s="4">
        <v>0</v>
      </c>
      <c r="AO100" s="4">
        <v>0</v>
      </c>
      <c r="AP100" s="3" t="s">
        <v>59</v>
      </c>
      <c r="AQ100" s="3" t="s">
        <v>70</v>
      </c>
      <c r="AR100" s="6" t="str">
        <f>HYPERLINK("http://catalog.hathitrust.org/Record/001576788","HathiTrust Record")</f>
        <v>HathiTrust Record</v>
      </c>
      <c r="AS100" s="6" t="str">
        <f>HYPERLINK("https://creighton-primo.hosted.exlibrisgroup.com/primo-explore/search?tab=default_tab&amp;search_scope=EVERYTHING&amp;vid=01CRU&amp;lang=en_US&amp;offset=0&amp;query=any,contains,991003495579702656","Catalog Record")</f>
        <v>Catalog Record</v>
      </c>
      <c r="AT100" s="6" t="str">
        <f>HYPERLINK("http://www.worldcat.org/oclc/1046037","WorldCat Record")</f>
        <v>WorldCat Record</v>
      </c>
      <c r="AU100" s="3" t="s">
        <v>1382</v>
      </c>
      <c r="AV100" s="3" t="s">
        <v>1383</v>
      </c>
      <c r="AW100" s="3" t="s">
        <v>1384</v>
      </c>
      <c r="AX100" s="3" t="s">
        <v>1384</v>
      </c>
      <c r="AY100" s="3" t="s">
        <v>1385</v>
      </c>
      <c r="AZ100" s="3" t="s">
        <v>75</v>
      </c>
      <c r="BB100" s="3" t="s">
        <v>1386</v>
      </c>
      <c r="BC100" s="3" t="s">
        <v>1387</v>
      </c>
      <c r="BD100" s="3" t="s">
        <v>1388</v>
      </c>
    </row>
    <row r="101" spans="1:56" ht="48" customHeight="1" x14ac:dyDescent="0.25">
      <c r="A101" s="7" t="s">
        <v>59</v>
      </c>
      <c r="B101" s="2" t="s">
        <v>1389</v>
      </c>
      <c r="C101" s="2" t="s">
        <v>1390</v>
      </c>
      <c r="D101" s="2" t="s">
        <v>1391</v>
      </c>
      <c r="F101" s="3" t="s">
        <v>59</v>
      </c>
      <c r="G101" s="3" t="s">
        <v>60</v>
      </c>
      <c r="H101" s="3" t="s">
        <v>59</v>
      </c>
      <c r="I101" s="3" t="s">
        <v>59</v>
      </c>
      <c r="J101" s="3" t="s">
        <v>61</v>
      </c>
      <c r="K101" s="2" t="s">
        <v>1392</v>
      </c>
      <c r="L101" s="2" t="s">
        <v>1393</v>
      </c>
      <c r="M101" s="3" t="s">
        <v>363</v>
      </c>
      <c r="O101" s="3" t="s">
        <v>64</v>
      </c>
      <c r="P101" s="3" t="s">
        <v>1394</v>
      </c>
      <c r="Q101" s="2" t="s">
        <v>1395</v>
      </c>
      <c r="R101" s="3" t="s">
        <v>67</v>
      </c>
      <c r="S101" s="4">
        <v>11</v>
      </c>
      <c r="T101" s="4">
        <v>11</v>
      </c>
      <c r="U101" s="5" t="s">
        <v>1381</v>
      </c>
      <c r="V101" s="5" t="s">
        <v>1381</v>
      </c>
      <c r="W101" s="5" t="s">
        <v>1396</v>
      </c>
      <c r="X101" s="5" t="s">
        <v>1396</v>
      </c>
      <c r="Y101" s="4">
        <v>677</v>
      </c>
      <c r="Z101" s="4">
        <v>649</v>
      </c>
      <c r="AA101" s="4">
        <v>772</v>
      </c>
      <c r="AB101" s="4">
        <v>6</v>
      </c>
      <c r="AC101" s="4">
        <v>9</v>
      </c>
      <c r="AD101" s="4">
        <v>14</v>
      </c>
      <c r="AE101" s="4">
        <v>15</v>
      </c>
      <c r="AF101" s="4">
        <v>5</v>
      </c>
      <c r="AG101" s="4">
        <v>5</v>
      </c>
      <c r="AH101" s="4">
        <v>2</v>
      </c>
      <c r="AI101" s="4">
        <v>2</v>
      </c>
      <c r="AJ101" s="4">
        <v>6</v>
      </c>
      <c r="AK101" s="4">
        <v>6</v>
      </c>
      <c r="AL101" s="4">
        <v>3</v>
      </c>
      <c r="AM101" s="4">
        <v>4</v>
      </c>
      <c r="AN101" s="4">
        <v>0</v>
      </c>
      <c r="AO101" s="4">
        <v>0</v>
      </c>
      <c r="AP101" s="3" t="s">
        <v>59</v>
      </c>
      <c r="AQ101" s="3" t="s">
        <v>59</v>
      </c>
      <c r="AS101" s="6" t="str">
        <f>HYPERLINK("https://creighton-primo.hosted.exlibrisgroup.com/primo-explore/search?tab=default_tab&amp;search_scope=EVERYTHING&amp;vid=01CRU&amp;lang=en_US&amp;offset=0&amp;query=any,contains,991005226359702656","Catalog Record")</f>
        <v>Catalog Record</v>
      </c>
      <c r="AT101" s="6" t="str">
        <f>HYPERLINK("http://www.worldcat.org/oclc/8282975","WorldCat Record")</f>
        <v>WorldCat Record</v>
      </c>
      <c r="AU101" s="3" t="s">
        <v>1397</v>
      </c>
      <c r="AV101" s="3" t="s">
        <v>1398</v>
      </c>
      <c r="AW101" s="3" t="s">
        <v>1399</v>
      </c>
      <c r="AX101" s="3" t="s">
        <v>1399</v>
      </c>
      <c r="AY101" s="3" t="s">
        <v>1400</v>
      </c>
      <c r="AZ101" s="3" t="s">
        <v>75</v>
      </c>
      <c r="BB101" s="3" t="s">
        <v>1401</v>
      </c>
      <c r="BC101" s="3" t="s">
        <v>1402</v>
      </c>
      <c r="BD101" s="3" t="s">
        <v>1403</v>
      </c>
    </row>
    <row r="102" spans="1:56" ht="48" customHeight="1" x14ac:dyDescent="0.25">
      <c r="A102" s="7" t="s">
        <v>59</v>
      </c>
      <c r="B102" s="2" t="s">
        <v>1404</v>
      </c>
      <c r="C102" s="2" t="s">
        <v>1405</v>
      </c>
      <c r="D102" s="2" t="s">
        <v>1406</v>
      </c>
      <c r="F102" s="3" t="s">
        <v>59</v>
      </c>
      <c r="G102" s="3" t="s">
        <v>60</v>
      </c>
      <c r="H102" s="3" t="s">
        <v>59</v>
      </c>
      <c r="I102" s="3" t="s">
        <v>59</v>
      </c>
      <c r="J102" s="3" t="s">
        <v>61</v>
      </c>
      <c r="K102" s="2" t="s">
        <v>1407</v>
      </c>
      <c r="L102" s="2" t="s">
        <v>1408</v>
      </c>
      <c r="M102" s="3" t="s">
        <v>319</v>
      </c>
      <c r="O102" s="3" t="s">
        <v>64</v>
      </c>
      <c r="P102" s="3" t="s">
        <v>912</v>
      </c>
      <c r="R102" s="3" t="s">
        <v>67</v>
      </c>
      <c r="S102" s="4">
        <v>30</v>
      </c>
      <c r="T102" s="4">
        <v>30</v>
      </c>
      <c r="U102" s="5" t="s">
        <v>1381</v>
      </c>
      <c r="V102" s="5" t="s">
        <v>1381</v>
      </c>
      <c r="W102" s="5" t="s">
        <v>1409</v>
      </c>
      <c r="X102" s="5" t="s">
        <v>1409</v>
      </c>
      <c r="Y102" s="4">
        <v>298</v>
      </c>
      <c r="Z102" s="4">
        <v>262</v>
      </c>
      <c r="AA102" s="4">
        <v>262</v>
      </c>
      <c r="AB102" s="4">
        <v>1</v>
      </c>
      <c r="AC102" s="4">
        <v>1</v>
      </c>
      <c r="AD102" s="4">
        <v>12</v>
      </c>
      <c r="AE102" s="4">
        <v>12</v>
      </c>
      <c r="AF102" s="4">
        <v>5</v>
      </c>
      <c r="AG102" s="4">
        <v>5</v>
      </c>
      <c r="AH102" s="4">
        <v>5</v>
      </c>
      <c r="AI102" s="4">
        <v>5</v>
      </c>
      <c r="AJ102" s="4">
        <v>7</v>
      </c>
      <c r="AK102" s="4">
        <v>7</v>
      </c>
      <c r="AL102" s="4">
        <v>0</v>
      </c>
      <c r="AM102" s="4">
        <v>0</v>
      </c>
      <c r="AN102" s="4">
        <v>0</v>
      </c>
      <c r="AO102" s="4">
        <v>0</v>
      </c>
      <c r="AP102" s="3" t="s">
        <v>59</v>
      </c>
      <c r="AQ102" s="3" t="s">
        <v>59</v>
      </c>
      <c r="AS102" s="6" t="str">
        <f>HYPERLINK("https://creighton-primo.hosted.exlibrisgroup.com/primo-explore/search?tab=default_tab&amp;search_scope=EVERYTHING&amp;vid=01CRU&amp;lang=en_US&amp;offset=0&amp;query=any,contains,991000182169702656","Catalog Record")</f>
        <v>Catalog Record</v>
      </c>
      <c r="AT102" s="6" t="str">
        <f>HYPERLINK("http://www.worldcat.org/oclc/9392294","WorldCat Record")</f>
        <v>WorldCat Record</v>
      </c>
      <c r="AU102" s="3" t="s">
        <v>1410</v>
      </c>
      <c r="AV102" s="3" t="s">
        <v>1411</v>
      </c>
      <c r="AW102" s="3" t="s">
        <v>1412</v>
      </c>
      <c r="AX102" s="3" t="s">
        <v>1412</v>
      </c>
      <c r="AY102" s="3" t="s">
        <v>1413</v>
      </c>
      <c r="AZ102" s="3" t="s">
        <v>75</v>
      </c>
      <c r="BB102" s="3" t="s">
        <v>1414</v>
      </c>
      <c r="BC102" s="3" t="s">
        <v>1415</v>
      </c>
      <c r="BD102" s="3" t="s">
        <v>1416</v>
      </c>
    </row>
    <row r="103" spans="1:56" ht="48" customHeight="1" x14ac:dyDescent="0.25">
      <c r="A103" s="7" t="s">
        <v>59</v>
      </c>
      <c r="B103" s="2" t="s">
        <v>1417</v>
      </c>
      <c r="C103" s="2" t="s">
        <v>1418</v>
      </c>
      <c r="D103" s="2" t="s">
        <v>1419</v>
      </c>
      <c r="F103" s="3" t="s">
        <v>59</v>
      </c>
      <c r="G103" s="3" t="s">
        <v>60</v>
      </c>
      <c r="H103" s="3" t="s">
        <v>59</v>
      </c>
      <c r="I103" s="3" t="s">
        <v>59</v>
      </c>
      <c r="J103" s="3" t="s">
        <v>61</v>
      </c>
      <c r="K103" s="2" t="s">
        <v>1420</v>
      </c>
      <c r="L103" s="2" t="s">
        <v>1421</v>
      </c>
      <c r="M103" s="3" t="s">
        <v>113</v>
      </c>
      <c r="O103" s="3" t="s">
        <v>64</v>
      </c>
      <c r="P103" s="3" t="s">
        <v>264</v>
      </c>
      <c r="R103" s="3" t="s">
        <v>67</v>
      </c>
      <c r="S103" s="4">
        <v>4</v>
      </c>
      <c r="T103" s="4">
        <v>4</v>
      </c>
      <c r="U103" s="5" t="s">
        <v>1422</v>
      </c>
      <c r="V103" s="5" t="s">
        <v>1422</v>
      </c>
      <c r="W103" s="5" t="s">
        <v>1423</v>
      </c>
      <c r="X103" s="5" t="s">
        <v>1423</v>
      </c>
      <c r="Y103" s="4">
        <v>599</v>
      </c>
      <c r="Z103" s="4">
        <v>545</v>
      </c>
      <c r="AA103" s="4">
        <v>829</v>
      </c>
      <c r="AB103" s="4">
        <v>2</v>
      </c>
      <c r="AC103" s="4">
        <v>2</v>
      </c>
      <c r="AD103" s="4">
        <v>12</v>
      </c>
      <c r="AE103" s="4">
        <v>26</v>
      </c>
      <c r="AF103" s="4">
        <v>5</v>
      </c>
      <c r="AG103" s="4">
        <v>12</v>
      </c>
      <c r="AH103" s="4">
        <v>2</v>
      </c>
      <c r="AI103" s="4">
        <v>7</v>
      </c>
      <c r="AJ103" s="4">
        <v>6</v>
      </c>
      <c r="AK103" s="4">
        <v>14</v>
      </c>
      <c r="AL103" s="4">
        <v>1</v>
      </c>
      <c r="AM103" s="4">
        <v>1</v>
      </c>
      <c r="AN103" s="4">
        <v>1</v>
      </c>
      <c r="AO103" s="4">
        <v>1</v>
      </c>
      <c r="AP103" s="3" t="s">
        <v>59</v>
      </c>
      <c r="AQ103" s="3" t="s">
        <v>70</v>
      </c>
      <c r="AR103" s="6" t="str">
        <f>HYPERLINK("http://catalog.hathitrust.org/Record/000843138","HathiTrust Record")</f>
        <v>HathiTrust Record</v>
      </c>
      <c r="AS103" s="6" t="str">
        <f>HYPERLINK("https://creighton-primo.hosted.exlibrisgroup.com/primo-explore/search?tab=default_tab&amp;search_scope=EVERYTHING&amp;vid=01CRU&amp;lang=en_US&amp;offset=0&amp;query=any,contains,991001032199702656","Catalog Record")</f>
        <v>Catalog Record</v>
      </c>
      <c r="AT103" s="6" t="str">
        <f>HYPERLINK("http://www.worldcat.org/oclc/15519697","WorldCat Record")</f>
        <v>WorldCat Record</v>
      </c>
      <c r="AU103" s="3" t="s">
        <v>1424</v>
      </c>
      <c r="AV103" s="3" t="s">
        <v>1425</v>
      </c>
      <c r="AW103" s="3" t="s">
        <v>1426</v>
      </c>
      <c r="AX103" s="3" t="s">
        <v>1426</v>
      </c>
      <c r="AY103" s="3" t="s">
        <v>1427</v>
      </c>
      <c r="AZ103" s="3" t="s">
        <v>75</v>
      </c>
      <c r="BB103" s="3" t="s">
        <v>1428</v>
      </c>
      <c r="BC103" s="3" t="s">
        <v>1429</v>
      </c>
      <c r="BD103" s="3" t="s">
        <v>1430</v>
      </c>
    </row>
    <row r="104" spans="1:56" ht="48" customHeight="1" x14ac:dyDescent="0.25">
      <c r="A104" s="7" t="s">
        <v>59</v>
      </c>
      <c r="B104" s="2" t="s">
        <v>1431</v>
      </c>
      <c r="C104" s="2" t="s">
        <v>1432</v>
      </c>
      <c r="D104" s="2" t="s">
        <v>1433</v>
      </c>
      <c r="F104" s="3" t="s">
        <v>59</v>
      </c>
      <c r="G104" s="3" t="s">
        <v>60</v>
      </c>
      <c r="H104" s="3" t="s">
        <v>59</v>
      </c>
      <c r="I104" s="3" t="s">
        <v>59</v>
      </c>
      <c r="J104" s="3" t="s">
        <v>61</v>
      </c>
      <c r="K104" s="2" t="s">
        <v>1434</v>
      </c>
      <c r="L104" s="2" t="s">
        <v>1435</v>
      </c>
      <c r="M104" s="3" t="s">
        <v>63</v>
      </c>
      <c r="O104" s="3" t="s">
        <v>64</v>
      </c>
      <c r="P104" s="3" t="s">
        <v>674</v>
      </c>
      <c r="R104" s="3" t="s">
        <v>67</v>
      </c>
      <c r="S104" s="4">
        <v>4</v>
      </c>
      <c r="T104" s="4">
        <v>4</v>
      </c>
      <c r="U104" s="5" t="s">
        <v>1381</v>
      </c>
      <c r="V104" s="5" t="s">
        <v>1381</v>
      </c>
      <c r="W104" s="5" t="s">
        <v>148</v>
      </c>
      <c r="X104" s="5" t="s">
        <v>148</v>
      </c>
      <c r="Y104" s="4">
        <v>382</v>
      </c>
      <c r="Z104" s="4">
        <v>319</v>
      </c>
      <c r="AA104" s="4">
        <v>319</v>
      </c>
      <c r="AB104" s="4">
        <v>3</v>
      </c>
      <c r="AC104" s="4">
        <v>3</v>
      </c>
      <c r="AD104" s="4">
        <v>9</v>
      </c>
      <c r="AE104" s="4">
        <v>9</v>
      </c>
      <c r="AF104" s="4">
        <v>2</v>
      </c>
      <c r="AG104" s="4">
        <v>2</v>
      </c>
      <c r="AH104" s="4">
        <v>3</v>
      </c>
      <c r="AI104" s="4">
        <v>3</v>
      </c>
      <c r="AJ104" s="4">
        <v>4</v>
      </c>
      <c r="AK104" s="4">
        <v>4</v>
      </c>
      <c r="AL104" s="4">
        <v>2</v>
      </c>
      <c r="AM104" s="4">
        <v>2</v>
      </c>
      <c r="AN104" s="4">
        <v>0</v>
      </c>
      <c r="AO104" s="4">
        <v>0</v>
      </c>
      <c r="AP104" s="3" t="s">
        <v>59</v>
      </c>
      <c r="AQ104" s="3" t="s">
        <v>59</v>
      </c>
      <c r="AS104" s="6" t="str">
        <f>HYPERLINK("https://creighton-primo.hosted.exlibrisgroup.com/primo-explore/search?tab=default_tab&amp;search_scope=EVERYTHING&amp;vid=01CRU&amp;lang=en_US&amp;offset=0&amp;query=any,contains,991004244219702656","Catalog Record")</f>
        <v>Catalog Record</v>
      </c>
      <c r="AT104" s="6" t="str">
        <f>HYPERLINK("http://www.worldcat.org/oclc/2797816","WorldCat Record")</f>
        <v>WorldCat Record</v>
      </c>
      <c r="AU104" s="3" t="s">
        <v>1436</v>
      </c>
      <c r="AV104" s="3" t="s">
        <v>1437</v>
      </c>
      <c r="AW104" s="3" t="s">
        <v>1438</v>
      </c>
      <c r="AX104" s="3" t="s">
        <v>1438</v>
      </c>
      <c r="AY104" s="3" t="s">
        <v>1439</v>
      </c>
      <c r="AZ104" s="3" t="s">
        <v>75</v>
      </c>
      <c r="BB104" s="3" t="s">
        <v>1440</v>
      </c>
      <c r="BC104" s="3" t="s">
        <v>1441</v>
      </c>
      <c r="BD104" s="3" t="s">
        <v>1442</v>
      </c>
    </row>
    <row r="105" spans="1:56" ht="48" customHeight="1" x14ac:dyDescent="0.25">
      <c r="A105" s="7" t="s">
        <v>59</v>
      </c>
      <c r="B105" s="2" t="s">
        <v>1443</v>
      </c>
      <c r="C105" s="2" t="s">
        <v>1444</v>
      </c>
      <c r="D105" s="2" t="s">
        <v>1445</v>
      </c>
      <c r="F105" s="3" t="s">
        <v>59</v>
      </c>
      <c r="G105" s="3" t="s">
        <v>60</v>
      </c>
      <c r="H105" s="3" t="s">
        <v>59</v>
      </c>
      <c r="I105" s="3" t="s">
        <v>59</v>
      </c>
      <c r="J105" s="3" t="s">
        <v>61</v>
      </c>
      <c r="L105" s="2" t="s">
        <v>1446</v>
      </c>
      <c r="M105" s="3" t="s">
        <v>113</v>
      </c>
      <c r="N105" s="2" t="s">
        <v>731</v>
      </c>
      <c r="O105" s="3" t="s">
        <v>64</v>
      </c>
      <c r="P105" s="3" t="s">
        <v>84</v>
      </c>
      <c r="Q105" s="2" t="s">
        <v>1447</v>
      </c>
      <c r="R105" s="3" t="s">
        <v>67</v>
      </c>
      <c r="S105" s="4">
        <v>8</v>
      </c>
      <c r="T105" s="4">
        <v>8</v>
      </c>
      <c r="U105" s="5" t="s">
        <v>1448</v>
      </c>
      <c r="V105" s="5" t="s">
        <v>1448</v>
      </c>
      <c r="W105" s="5" t="s">
        <v>1396</v>
      </c>
      <c r="X105" s="5" t="s">
        <v>1396</v>
      </c>
      <c r="Y105" s="4">
        <v>478</v>
      </c>
      <c r="Z105" s="4">
        <v>341</v>
      </c>
      <c r="AA105" s="4">
        <v>351</v>
      </c>
      <c r="AB105" s="4">
        <v>1</v>
      </c>
      <c r="AC105" s="4">
        <v>1</v>
      </c>
      <c r="AD105" s="4">
        <v>15</v>
      </c>
      <c r="AE105" s="4">
        <v>15</v>
      </c>
      <c r="AF105" s="4">
        <v>6</v>
      </c>
      <c r="AG105" s="4">
        <v>6</v>
      </c>
      <c r="AH105" s="4">
        <v>5</v>
      </c>
      <c r="AI105" s="4">
        <v>5</v>
      </c>
      <c r="AJ105" s="4">
        <v>8</v>
      </c>
      <c r="AK105" s="4">
        <v>8</v>
      </c>
      <c r="AL105" s="4">
        <v>0</v>
      </c>
      <c r="AM105" s="4">
        <v>0</v>
      </c>
      <c r="AN105" s="4">
        <v>1</v>
      </c>
      <c r="AO105" s="4">
        <v>1</v>
      </c>
      <c r="AP105" s="3" t="s">
        <v>59</v>
      </c>
      <c r="AQ105" s="3" t="s">
        <v>59</v>
      </c>
      <c r="AS105" s="6" t="str">
        <f>HYPERLINK("https://creighton-primo.hosted.exlibrisgroup.com/primo-explore/search?tab=default_tab&amp;search_scope=EVERYTHING&amp;vid=01CRU&amp;lang=en_US&amp;offset=0&amp;query=any,contains,991001016099702656","Catalog Record")</f>
        <v>Catalog Record</v>
      </c>
      <c r="AT105" s="6" t="str">
        <f>HYPERLINK("http://www.worldcat.org/oclc/15317773","WorldCat Record")</f>
        <v>WorldCat Record</v>
      </c>
      <c r="AU105" s="3" t="s">
        <v>1449</v>
      </c>
      <c r="AV105" s="3" t="s">
        <v>1450</v>
      </c>
      <c r="AW105" s="3" t="s">
        <v>1451</v>
      </c>
      <c r="AX105" s="3" t="s">
        <v>1451</v>
      </c>
      <c r="AY105" s="3" t="s">
        <v>1452</v>
      </c>
      <c r="AZ105" s="3" t="s">
        <v>75</v>
      </c>
      <c r="BB105" s="3" t="s">
        <v>1453</v>
      </c>
      <c r="BC105" s="3" t="s">
        <v>1454</v>
      </c>
      <c r="BD105" s="3" t="s">
        <v>1455</v>
      </c>
    </row>
    <row r="106" spans="1:56" ht="48" customHeight="1" x14ac:dyDescent="0.25">
      <c r="A106" s="7" t="s">
        <v>59</v>
      </c>
      <c r="B106" s="2" t="s">
        <v>1456</v>
      </c>
      <c r="C106" s="2" t="s">
        <v>1457</v>
      </c>
      <c r="D106" s="2" t="s">
        <v>1458</v>
      </c>
      <c r="E106" s="3" t="s">
        <v>1459</v>
      </c>
      <c r="F106" s="3" t="s">
        <v>70</v>
      </c>
      <c r="G106" s="3" t="s">
        <v>60</v>
      </c>
      <c r="H106" s="3" t="s">
        <v>59</v>
      </c>
      <c r="I106" s="3" t="s">
        <v>59</v>
      </c>
      <c r="J106" s="3" t="s">
        <v>61</v>
      </c>
      <c r="K106" s="2" t="s">
        <v>1460</v>
      </c>
      <c r="L106" s="2" t="s">
        <v>1461</v>
      </c>
      <c r="M106" s="3" t="s">
        <v>1462</v>
      </c>
      <c r="N106" s="2" t="s">
        <v>1463</v>
      </c>
      <c r="O106" s="3" t="s">
        <v>64</v>
      </c>
      <c r="P106" s="3" t="s">
        <v>84</v>
      </c>
      <c r="R106" s="3" t="s">
        <v>67</v>
      </c>
      <c r="S106" s="4">
        <v>0</v>
      </c>
      <c r="T106" s="4">
        <v>2</v>
      </c>
      <c r="V106" s="5" t="s">
        <v>1339</v>
      </c>
      <c r="W106" s="5" t="s">
        <v>501</v>
      </c>
      <c r="X106" s="5" t="s">
        <v>501</v>
      </c>
      <c r="Y106" s="4">
        <v>208</v>
      </c>
      <c r="Z106" s="4">
        <v>179</v>
      </c>
      <c r="AA106" s="4">
        <v>326</v>
      </c>
      <c r="AB106" s="4">
        <v>2</v>
      </c>
      <c r="AC106" s="4">
        <v>4</v>
      </c>
      <c r="AD106" s="4">
        <v>3</v>
      </c>
      <c r="AE106" s="4">
        <v>8</v>
      </c>
      <c r="AF106" s="4">
        <v>0</v>
      </c>
      <c r="AG106" s="4">
        <v>0</v>
      </c>
      <c r="AH106" s="4">
        <v>2</v>
      </c>
      <c r="AI106" s="4">
        <v>3</v>
      </c>
      <c r="AJ106" s="4">
        <v>2</v>
      </c>
      <c r="AK106" s="4">
        <v>5</v>
      </c>
      <c r="AL106" s="4">
        <v>1</v>
      </c>
      <c r="AM106" s="4">
        <v>2</v>
      </c>
      <c r="AN106" s="4">
        <v>0</v>
      </c>
      <c r="AO106" s="4">
        <v>0</v>
      </c>
      <c r="AP106" s="3" t="s">
        <v>59</v>
      </c>
      <c r="AQ106" s="3" t="s">
        <v>70</v>
      </c>
      <c r="AR106" s="6" t="str">
        <f>HYPERLINK("http://catalog.hathitrust.org/Record/000202753","HathiTrust Record")</f>
        <v>HathiTrust Record</v>
      </c>
      <c r="AS106" s="6" t="str">
        <f>HYPERLINK("https://creighton-primo.hosted.exlibrisgroup.com/primo-explore/search?tab=default_tab&amp;search_scope=EVERYTHING&amp;vid=01CRU&amp;lang=en_US&amp;offset=0&amp;query=any,contains,991003318749702656","Catalog Record")</f>
        <v>Catalog Record</v>
      </c>
      <c r="AT106" s="6" t="str">
        <f>HYPERLINK("http://www.worldcat.org/oclc/845240","WorldCat Record")</f>
        <v>WorldCat Record</v>
      </c>
      <c r="AU106" s="3" t="s">
        <v>1464</v>
      </c>
      <c r="AV106" s="3" t="s">
        <v>1465</v>
      </c>
      <c r="AW106" s="3" t="s">
        <v>1466</v>
      </c>
      <c r="AX106" s="3" t="s">
        <v>1466</v>
      </c>
      <c r="AY106" s="3" t="s">
        <v>1467</v>
      </c>
      <c r="AZ106" s="3" t="s">
        <v>75</v>
      </c>
      <c r="BC106" s="3" t="s">
        <v>1468</v>
      </c>
      <c r="BD106" s="3" t="s">
        <v>1469</v>
      </c>
    </row>
    <row r="107" spans="1:56" ht="48" customHeight="1" x14ac:dyDescent="0.25">
      <c r="A107" s="7" t="s">
        <v>59</v>
      </c>
      <c r="B107" s="2" t="s">
        <v>1456</v>
      </c>
      <c r="C107" s="2" t="s">
        <v>1457</v>
      </c>
      <c r="D107" s="2" t="s">
        <v>1458</v>
      </c>
      <c r="E107" s="3" t="s">
        <v>1470</v>
      </c>
      <c r="F107" s="3" t="s">
        <v>70</v>
      </c>
      <c r="G107" s="3" t="s">
        <v>60</v>
      </c>
      <c r="H107" s="3" t="s">
        <v>59</v>
      </c>
      <c r="I107" s="3" t="s">
        <v>59</v>
      </c>
      <c r="J107" s="3" t="s">
        <v>61</v>
      </c>
      <c r="K107" s="2" t="s">
        <v>1460</v>
      </c>
      <c r="L107" s="2" t="s">
        <v>1461</v>
      </c>
      <c r="M107" s="3" t="s">
        <v>1462</v>
      </c>
      <c r="N107" s="2" t="s">
        <v>1463</v>
      </c>
      <c r="O107" s="3" t="s">
        <v>64</v>
      </c>
      <c r="P107" s="3" t="s">
        <v>84</v>
      </c>
      <c r="R107" s="3" t="s">
        <v>67</v>
      </c>
      <c r="S107" s="4">
        <v>2</v>
      </c>
      <c r="T107" s="4">
        <v>2</v>
      </c>
      <c r="U107" s="5" t="s">
        <v>1339</v>
      </c>
      <c r="V107" s="5" t="s">
        <v>1339</v>
      </c>
      <c r="W107" s="5" t="s">
        <v>501</v>
      </c>
      <c r="X107" s="5" t="s">
        <v>501</v>
      </c>
      <c r="Y107" s="4">
        <v>208</v>
      </c>
      <c r="Z107" s="4">
        <v>179</v>
      </c>
      <c r="AA107" s="4">
        <v>326</v>
      </c>
      <c r="AB107" s="4">
        <v>2</v>
      </c>
      <c r="AC107" s="4">
        <v>4</v>
      </c>
      <c r="AD107" s="4">
        <v>3</v>
      </c>
      <c r="AE107" s="4">
        <v>8</v>
      </c>
      <c r="AF107" s="4">
        <v>0</v>
      </c>
      <c r="AG107" s="4">
        <v>0</v>
      </c>
      <c r="AH107" s="4">
        <v>2</v>
      </c>
      <c r="AI107" s="4">
        <v>3</v>
      </c>
      <c r="AJ107" s="4">
        <v>2</v>
      </c>
      <c r="AK107" s="4">
        <v>5</v>
      </c>
      <c r="AL107" s="4">
        <v>1</v>
      </c>
      <c r="AM107" s="4">
        <v>2</v>
      </c>
      <c r="AN107" s="4">
        <v>0</v>
      </c>
      <c r="AO107" s="4">
        <v>0</v>
      </c>
      <c r="AP107" s="3" t="s">
        <v>59</v>
      </c>
      <c r="AQ107" s="3" t="s">
        <v>70</v>
      </c>
      <c r="AR107" s="6" t="str">
        <f>HYPERLINK("http://catalog.hathitrust.org/Record/000202753","HathiTrust Record")</f>
        <v>HathiTrust Record</v>
      </c>
      <c r="AS107" s="6" t="str">
        <f>HYPERLINK("https://creighton-primo.hosted.exlibrisgroup.com/primo-explore/search?tab=default_tab&amp;search_scope=EVERYTHING&amp;vid=01CRU&amp;lang=en_US&amp;offset=0&amp;query=any,contains,991003318749702656","Catalog Record")</f>
        <v>Catalog Record</v>
      </c>
      <c r="AT107" s="6" t="str">
        <f>HYPERLINK("http://www.worldcat.org/oclc/845240","WorldCat Record")</f>
        <v>WorldCat Record</v>
      </c>
      <c r="AU107" s="3" t="s">
        <v>1464</v>
      </c>
      <c r="AV107" s="3" t="s">
        <v>1465</v>
      </c>
      <c r="AW107" s="3" t="s">
        <v>1466</v>
      </c>
      <c r="AX107" s="3" t="s">
        <v>1466</v>
      </c>
      <c r="AY107" s="3" t="s">
        <v>1467</v>
      </c>
      <c r="AZ107" s="3" t="s">
        <v>75</v>
      </c>
      <c r="BC107" s="3" t="s">
        <v>1471</v>
      </c>
      <c r="BD107" s="3" t="s">
        <v>1472</v>
      </c>
    </row>
    <row r="108" spans="1:56" ht="48" customHeight="1" x14ac:dyDescent="0.25">
      <c r="A108" s="7" t="s">
        <v>59</v>
      </c>
      <c r="B108" s="2" t="s">
        <v>1456</v>
      </c>
      <c r="C108" s="2" t="s">
        <v>1457</v>
      </c>
      <c r="D108" s="2" t="s">
        <v>1458</v>
      </c>
      <c r="E108" s="3" t="s">
        <v>713</v>
      </c>
      <c r="F108" s="3" t="s">
        <v>70</v>
      </c>
      <c r="G108" s="3" t="s">
        <v>60</v>
      </c>
      <c r="H108" s="3" t="s">
        <v>59</v>
      </c>
      <c r="I108" s="3" t="s">
        <v>59</v>
      </c>
      <c r="J108" s="3" t="s">
        <v>61</v>
      </c>
      <c r="K108" s="2" t="s">
        <v>1460</v>
      </c>
      <c r="L108" s="2" t="s">
        <v>1461</v>
      </c>
      <c r="M108" s="3" t="s">
        <v>1462</v>
      </c>
      <c r="N108" s="2" t="s">
        <v>1463</v>
      </c>
      <c r="O108" s="3" t="s">
        <v>64</v>
      </c>
      <c r="P108" s="3" t="s">
        <v>84</v>
      </c>
      <c r="R108" s="3" t="s">
        <v>67</v>
      </c>
      <c r="S108" s="4">
        <v>0</v>
      </c>
      <c r="T108" s="4">
        <v>2</v>
      </c>
      <c r="V108" s="5" t="s">
        <v>1339</v>
      </c>
      <c r="W108" s="5" t="s">
        <v>501</v>
      </c>
      <c r="X108" s="5" t="s">
        <v>501</v>
      </c>
      <c r="Y108" s="4">
        <v>208</v>
      </c>
      <c r="Z108" s="4">
        <v>179</v>
      </c>
      <c r="AA108" s="4">
        <v>326</v>
      </c>
      <c r="AB108" s="4">
        <v>2</v>
      </c>
      <c r="AC108" s="4">
        <v>4</v>
      </c>
      <c r="AD108" s="4">
        <v>3</v>
      </c>
      <c r="AE108" s="4">
        <v>8</v>
      </c>
      <c r="AF108" s="4">
        <v>0</v>
      </c>
      <c r="AG108" s="4">
        <v>0</v>
      </c>
      <c r="AH108" s="4">
        <v>2</v>
      </c>
      <c r="AI108" s="4">
        <v>3</v>
      </c>
      <c r="AJ108" s="4">
        <v>2</v>
      </c>
      <c r="AK108" s="4">
        <v>5</v>
      </c>
      <c r="AL108" s="4">
        <v>1</v>
      </c>
      <c r="AM108" s="4">
        <v>2</v>
      </c>
      <c r="AN108" s="4">
        <v>0</v>
      </c>
      <c r="AO108" s="4">
        <v>0</v>
      </c>
      <c r="AP108" s="3" t="s">
        <v>59</v>
      </c>
      <c r="AQ108" s="3" t="s">
        <v>70</v>
      </c>
      <c r="AR108" s="6" t="str">
        <f>HYPERLINK("http://catalog.hathitrust.org/Record/000202753","HathiTrust Record")</f>
        <v>HathiTrust Record</v>
      </c>
      <c r="AS108" s="6" t="str">
        <f>HYPERLINK("https://creighton-primo.hosted.exlibrisgroup.com/primo-explore/search?tab=default_tab&amp;search_scope=EVERYTHING&amp;vid=01CRU&amp;lang=en_US&amp;offset=0&amp;query=any,contains,991003318749702656","Catalog Record")</f>
        <v>Catalog Record</v>
      </c>
      <c r="AT108" s="6" t="str">
        <f>HYPERLINK("http://www.worldcat.org/oclc/845240","WorldCat Record")</f>
        <v>WorldCat Record</v>
      </c>
      <c r="AU108" s="3" t="s">
        <v>1464</v>
      </c>
      <c r="AV108" s="3" t="s">
        <v>1465</v>
      </c>
      <c r="AW108" s="3" t="s">
        <v>1466</v>
      </c>
      <c r="AX108" s="3" t="s">
        <v>1466</v>
      </c>
      <c r="AY108" s="3" t="s">
        <v>1467</v>
      </c>
      <c r="AZ108" s="3" t="s">
        <v>75</v>
      </c>
      <c r="BC108" s="3" t="s">
        <v>1473</v>
      </c>
      <c r="BD108" s="3" t="s">
        <v>1474</v>
      </c>
    </row>
    <row r="109" spans="1:56" ht="48" customHeight="1" x14ac:dyDescent="0.25">
      <c r="A109" s="7" t="s">
        <v>59</v>
      </c>
      <c r="B109" s="2" t="s">
        <v>1456</v>
      </c>
      <c r="C109" s="2" t="s">
        <v>1457</v>
      </c>
      <c r="D109" s="2" t="s">
        <v>1458</v>
      </c>
      <c r="E109" s="3" t="s">
        <v>1475</v>
      </c>
      <c r="F109" s="3" t="s">
        <v>70</v>
      </c>
      <c r="G109" s="3" t="s">
        <v>60</v>
      </c>
      <c r="H109" s="3" t="s">
        <v>59</v>
      </c>
      <c r="I109" s="3" t="s">
        <v>59</v>
      </c>
      <c r="J109" s="3" t="s">
        <v>61</v>
      </c>
      <c r="K109" s="2" t="s">
        <v>1460</v>
      </c>
      <c r="L109" s="2" t="s">
        <v>1461</v>
      </c>
      <c r="M109" s="3" t="s">
        <v>1462</v>
      </c>
      <c r="N109" s="2" t="s">
        <v>1463</v>
      </c>
      <c r="O109" s="3" t="s">
        <v>64</v>
      </c>
      <c r="P109" s="3" t="s">
        <v>84</v>
      </c>
      <c r="R109" s="3" t="s">
        <v>67</v>
      </c>
      <c r="S109" s="4">
        <v>0</v>
      </c>
      <c r="T109" s="4">
        <v>2</v>
      </c>
      <c r="V109" s="5" t="s">
        <v>1339</v>
      </c>
      <c r="W109" s="5" t="s">
        <v>501</v>
      </c>
      <c r="X109" s="5" t="s">
        <v>501</v>
      </c>
      <c r="Y109" s="4">
        <v>208</v>
      </c>
      <c r="Z109" s="4">
        <v>179</v>
      </c>
      <c r="AA109" s="4">
        <v>326</v>
      </c>
      <c r="AB109" s="4">
        <v>2</v>
      </c>
      <c r="AC109" s="4">
        <v>4</v>
      </c>
      <c r="AD109" s="4">
        <v>3</v>
      </c>
      <c r="AE109" s="4">
        <v>8</v>
      </c>
      <c r="AF109" s="4">
        <v>0</v>
      </c>
      <c r="AG109" s="4">
        <v>0</v>
      </c>
      <c r="AH109" s="4">
        <v>2</v>
      </c>
      <c r="AI109" s="4">
        <v>3</v>
      </c>
      <c r="AJ109" s="4">
        <v>2</v>
      </c>
      <c r="AK109" s="4">
        <v>5</v>
      </c>
      <c r="AL109" s="4">
        <v>1</v>
      </c>
      <c r="AM109" s="4">
        <v>2</v>
      </c>
      <c r="AN109" s="4">
        <v>0</v>
      </c>
      <c r="AO109" s="4">
        <v>0</v>
      </c>
      <c r="AP109" s="3" t="s">
        <v>59</v>
      </c>
      <c r="AQ109" s="3" t="s">
        <v>70</v>
      </c>
      <c r="AR109" s="6" t="str">
        <f>HYPERLINK("http://catalog.hathitrust.org/Record/000202753","HathiTrust Record")</f>
        <v>HathiTrust Record</v>
      </c>
      <c r="AS109" s="6" t="str">
        <f>HYPERLINK("https://creighton-primo.hosted.exlibrisgroup.com/primo-explore/search?tab=default_tab&amp;search_scope=EVERYTHING&amp;vid=01CRU&amp;lang=en_US&amp;offset=0&amp;query=any,contains,991003318749702656","Catalog Record")</f>
        <v>Catalog Record</v>
      </c>
      <c r="AT109" s="6" t="str">
        <f>HYPERLINK("http://www.worldcat.org/oclc/845240","WorldCat Record")</f>
        <v>WorldCat Record</v>
      </c>
      <c r="AU109" s="3" t="s">
        <v>1464</v>
      </c>
      <c r="AV109" s="3" t="s">
        <v>1465</v>
      </c>
      <c r="AW109" s="3" t="s">
        <v>1466</v>
      </c>
      <c r="AX109" s="3" t="s">
        <v>1466</v>
      </c>
      <c r="AY109" s="3" t="s">
        <v>1467</v>
      </c>
      <c r="AZ109" s="3" t="s">
        <v>75</v>
      </c>
      <c r="BC109" s="3" t="s">
        <v>1476</v>
      </c>
      <c r="BD109" s="3" t="s">
        <v>1477</v>
      </c>
    </row>
    <row r="110" spans="1:56" ht="48" customHeight="1" x14ac:dyDescent="0.25">
      <c r="A110" s="7" t="s">
        <v>59</v>
      </c>
      <c r="B110" s="2" t="s">
        <v>1478</v>
      </c>
      <c r="C110" s="2" t="s">
        <v>1479</v>
      </c>
      <c r="D110" s="2" t="s">
        <v>1480</v>
      </c>
      <c r="F110" s="3" t="s">
        <v>59</v>
      </c>
      <c r="G110" s="3" t="s">
        <v>60</v>
      </c>
      <c r="H110" s="3" t="s">
        <v>59</v>
      </c>
      <c r="I110" s="3" t="s">
        <v>59</v>
      </c>
      <c r="J110" s="3" t="s">
        <v>61</v>
      </c>
      <c r="K110" s="2" t="s">
        <v>1481</v>
      </c>
      <c r="L110" s="2" t="s">
        <v>1482</v>
      </c>
      <c r="M110" s="3" t="s">
        <v>113</v>
      </c>
      <c r="O110" s="3" t="s">
        <v>64</v>
      </c>
      <c r="P110" s="3" t="s">
        <v>264</v>
      </c>
      <c r="R110" s="3" t="s">
        <v>67</v>
      </c>
      <c r="S110" s="4">
        <v>13</v>
      </c>
      <c r="T110" s="4">
        <v>13</v>
      </c>
      <c r="U110" s="5" t="s">
        <v>1483</v>
      </c>
      <c r="V110" s="5" t="s">
        <v>1483</v>
      </c>
      <c r="W110" s="5" t="s">
        <v>148</v>
      </c>
      <c r="X110" s="5" t="s">
        <v>148</v>
      </c>
      <c r="Y110" s="4">
        <v>611</v>
      </c>
      <c r="Z110" s="4">
        <v>480</v>
      </c>
      <c r="AA110" s="4">
        <v>534</v>
      </c>
      <c r="AB110" s="4">
        <v>3</v>
      </c>
      <c r="AC110" s="4">
        <v>4</v>
      </c>
      <c r="AD110" s="4">
        <v>28</v>
      </c>
      <c r="AE110" s="4">
        <v>30</v>
      </c>
      <c r="AF110" s="4">
        <v>12</v>
      </c>
      <c r="AG110" s="4">
        <v>12</v>
      </c>
      <c r="AH110" s="4">
        <v>6</v>
      </c>
      <c r="AI110" s="4">
        <v>7</v>
      </c>
      <c r="AJ110" s="4">
        <v>13</v>
      </c>
      <c r="AK110" s="4">
        <v>14</v>
      </c>
      <c r="AL110" s="4">
        <v>2</v>
      </c>
      <c r="AM110" s="4">
        <v>3</v>
      </c>
      <c r="AN110" s="4">
        <v>2</v>
      </c>
      <c r="AO110" s="4">
        <v>2</v>
      </c>
      <c r="AP110" s="3" t="s">
        <v>59</v>
      </c>
      <c r="AQ110" s="3" t="s">
        <v>59</v>
      </c>
      <c r="AS110" s="6" t="str">
        <f>HYPERLINK("https://creighton-primo.hosted.exlibrisgroup.com/primo-explore/search?tab=default_tab&amp;search_scope=EVERYTHING&amp;vid=01CRU&amp;lang=en_US&amp;offset=0&amp;query=any,contains,991001014649702656","Catalog Record")</f>
        <v>Catalog Record</v>
      </c>
      <c r="AT110" s="6" t="str">
        <f>HYPERLINK("http://www.worldcat.org/oclc/15316629","WorldCat Record")</f>
        <v>WorldCat Record</v>
      </c>
      <c r="AU110" s="3" t="s">
        <v>1484</v>
      </c>
      <c r="AV110" s="3" t="s">
        <v>1485</v>
      </c>
      <c r="AW110" s="3" t="s">
        <v>1486</v>
      </c>
      <c r="AX110" s="3" t="s">
        <v>1486</v>
      </c>
      <c r="AY110" s="3" t="s">
        <v>1487</v>
      </c>
      <c r="AZ110" s="3" t="s">
        <v>75</v>
      </c>
      <c r="BB110" s="3" t="s">
        <v>1488</v>
      </c>
      <c r="BC110" s="3" t="s">
        <v>1489</v>
      </c>
      <c r="BD110" s="3" t="s">
        <v>1490</v>
      </c>
    </row>
    <row r="111" spans="1:56" ht="48" customHeight="1" x14ac:dyDescent="0.25">
      <c r="A111" s="7" t="s">
        <v>59</v>
      </c>
      <c r="B111" s="2" t="s">
        <v>1491</v>
      </c>
      <c r="C111" s="2" t="s">
        <v>1492</v>
      </c>
      <c r="D111" s="2" t="s">
        <v>1493</v>
      </c>
      <c r="F111" s="3" t="s">
        <v>59</v>
      </c>
      <c r="G111" s="3" t="s">
        <v>60</v>
      </c>
      <c r="H111" s="3" t="s">
        <v>59</v>
      </c>
      <c r="I111" s="3" t="s">
        <v>59</v>
      </c>
      <c r="J111" s="3" t="s">
        <v>61</v>
      </c>
      <c r="K111" s="2" t="s">
        <v>1481</v>
      </c>
      <c r="L111" s="2" t="s">
        <v>1494</v>
      </c>
      <c r="M111" s="3" t="s">
        <v>348</v>
      </c>
      <c r="O111" s="3" t="s">
        <v>64</v>
      </c>
      <c r="P111" s="3" t="s">
        <v>1495</v>
      </c>
      <c r="R111" s="3" t="s">
        <v>67</v>
      </c>
      <c r="S111" s="4">
        <v>16</v>
      </c>
      <c r="T111" s="4">
        <v>16</v>
      </c>
      <c r="U111" s="5" t="s">
        <v>1496</v>
      </c>
      <c r="V111" s="5" t="s">
        <v>1496</v>
      </c>
      <c r="W111" s="5" t="s">
        <v>1497</v>
      </c>
      <c r="X111" s="5" t="s">
        <v>1497</v>
      </c>
      <c r="Y111" s="4">
        <v>428</v>
      </c>
      <c r="Z111" s="4">
        <v>314</v>
      </c>
      <c r="AA111" s="4">
        <v>316</v>
      </c>
      <c r="AB111" s="4">
        <v>2</v>
      </c>
      <c r="AC111" s="4">
        <v>2</v>
      </c>
      <c r="AD111" s="4">
        <v>16</v>
      </c>
      <c r="AE111" s="4">
        <v>16</v>
      </c>
      <c r="AF111" s="4">
        <v>3</v>
      </c>
      <c r="AG111" s="4">
        <v>3</v>
      </c>
      <c r="AH111" s="4">
        <v>5</v>
      </c>
      <c r="AI111" s="4">
        <v>5</v>
      </c>
      <c r="AJ111" s="4">
        <v>9</v>
      </c>
      <c r="AK111" s="4">
        <v>9</v>
      </c>
      <c r="AL111" s="4">
        <v>1</v>
      </c>
      <c r="AM111" s="4">
        <v>1</v>
      </c>
      <c r="AN111" s="4">
        <v>2</v>
      </c>
      <c r="AO111" s="4">
        <v>2</v>
      </c>
      <c r="AP111" s="3" t="s">
        <v>59</v>
      </c>
      <c r="AQ111" s="3" t="s">
        <v>70</v>
      </c>
      <c r="AR111" s="6" t="str">
        <f>HYPERLINK("http://catalog.hathitrust.org/Record/002867067","HathiTrust Record")</f>
        <v>HathiTrust Record</v>
      </c>
      <c r="AS111" s="6" t="str">
        <f>HYPERLINK("https://creighton-primo.hosted.exlibrisgroup.com/primo-explore/search?tab=default_tab&amp;search_scope=EVERYTHING&amp;vid=01CRU&amp;lang=en_US&amp;offset=0&amp;query=any,contains,991002299179702656","Catalog Record")</f>
        <v>Catalog Record</v>
      </c>
      <c r="AT111" s="6" t="str">
        <f>HYPERLINK("http://www.worldcat.org/oclc/29844195","WorldCat Record")</f>
        <v>WorldCat Record</v>
      </c>
      <c r="AU111" s="3" t="s">
        <v>1498</v>
      </c>
      <c r="AV111" s="3" t="s">
        <v>1499</v>
      </c>
      <c r="AW111" s="3" t="s">
        <v>1500</v>
      </c>
      <c r="AX111" s="3" t="s">
        <v>1500</v>
      </c>
      <c r="AY111" s="3" t="s">
        <v>1501</v>
      </c>
      <c r="AZ111" s="3" t="s">
        <v>75</v>
      </c>
      <c r="BB111" s="3" t="s">
        <v>1502</v>
      </c>
      <c r="BC111" s="3" t="s">
        <v>1503</v>
      </c>
      <c r="BD111" s="3" t="s">
        <v>1504</v>
      </c>
    </row>
    <row r="112" spans="1:56" ht="48" customHeight="1" x14ac:dyDescent="0.25">
      <c r="A112" s="7" t="s">
        <v>59</v>
      </c>
      <c r="B112" s="2" t="s">
        <v>1505</v>
      </c>
      <c r="C112" s="2" t="s">
        <v>1506</v>
      </c>
      <c r="D112" s="2" t="s">
        <v>1507</v>
      </c>
      <c r="F112" s="3" t="s">
        <v>59</v>
      </c>
      <c r="G112" s="3" t="s">
        <v>60</v>
      </c>
      <c r="H112" s="3" t="s">
        <v>59</v>
      </c>
      <c r="I112" s="3" t="s">
        <v>59</v>
      </c>
      <c r="J112" s="3" t="s">
        <v>61</v>
      </c>
      <c r="K112" s="2" t="s">
        <v>1508</v>
      </c>
      <c r="L112" s="2" t="s">
        <v>1509</v>
      </c>
      <c r="M112" s="3" t="s">
        <v>161</v>
      </c>
      <c r="O112" s="3" t="s">
        <v>64</v>
      </c>
      <c r="P112" s="3" t="s">
        <v>130</v>
      </c>
      <c r="R112" s="3" t="s">
        <v>67</v>
      </c>
      <c r="S112" s="4">
        <v>11</v>
      </c>
      <c r="T112" s="4">
        <v>11</v>
      </c>
      <c r="U112" s="5" t="s">
        <v>1339</v>
      </c>
      <c r="V112" s="5" t="s">
        <v>1339</v>
      </c>
      <c r="W112" s="5" t="s">
        <v>148</v>
      </c>
      <c r="X112" s="5" t="s">
        <v>148</v>
      </c>
      <c r="Y112" s="4">
        <v>323</v>
      </c>
      <c r="Z112" s="4">
        <v>253</v>
      </c>
      <c r="AA112" s="4">
        <v>274</v>
      </c>
      <c r="AB112" s="4">
        <v>3</v>
      </c>
      <c r="AC112" s="4">
        <v>3</v>
      </c>
      <c r="AD112" s="4">
        <v>10</v>
      </c>
      <c r="AE112" s="4">
        <v>11</v>
      </c>
      <c r="AF112" s="4">
        <v>1</v>
      </c>
      <c r="AG112" s="4">
        <v>2</v>
      </c>
      <c r="AH112" s="4">
        <v>3</v>
      </c>
      <c r="AI112" s="4">
        <v>3</v>
      </c>
      <c r="AJ112" s="4">
        <v>5</v>
      </c>
      <c r="AK112" s="4">
        <v>5</v>
      </c>
      <c r="AL112" s="4">
        <v>2</v>
      </c>
      <c r="AM112" s="4">
        <v>2</v>
      </c>
      <c r="AN112" s="4">
        <v>0</v>
      </c>
      <c r="AO112" s="4">
        <v>0</v>
      </c>
      <c r="AP112" s="3" t="s">
        <v>59</v>
      </c>
      <c r="AQ112" s="3" t="s">
        <v>70</v>
      </c>
      <c r="AR112" s="6" t="str">
        <f>HYPERLINK("http://catalog.hathitrust.org/Record/000720700","HathiTrust Record")</f>
        <v>HathiTrust Record</v>
      </c>
      <c r="AS112" s="6" t="str">
        <f>HYPERLINK("https://creighton-primo.hosted.exlibrisgroup.com/primo-explore/search?tab=default_tab&amp;search_scope=EVERYTHING&amp;vid=01CRU&amp;lang=en_US&amp;offset=0&amp;query=any,contains,991004926559702656","Catalog Record")</f>
        <v>Catalog Record</v>
      </c>
      <c r="AT112" s="6" t="str">
        <f>HYPERLINK("http://www.worldcat.org/oclc/6086471","WorldCat Record")</f>
        <v>WorldCat Record</v>
      </c>
      <c r="AU112" s="3" t="s">
        <v>1510</v>
      </c>
      <c r="AV112" s="3" t="s">
        <v>1511</v>
      </c>
      <c r="AW112" s="3" t="s">
        <v>1512</v>
      </c>
      <c r="AX112" s="3" t="s">
        <v>1512</v>
      </c>
      <c r="AY112" s="3" t="s">
        <v>1513</v>
      </c>
      <c r="AZ112" s="3" t="s">
        <v>75</v>
      </c>
      <c r="BB112" s="3" t="s">
        <v>1514</v>
      </c>
      <c r="BC112" s="3" t="s">
        <v>1515</v>
      </c>
      <c r="BD112" s="3" t="s">
        <v>1516</v>
      </c>
    </row>
    <row r="113" spans="1:56" ht="48" customHeight="1" x14ac:dyDescent="0.25">
      <c r="A113" s="7" t="s">
        <v>59</v>
      </c>
      <c r="B113" s="2" t="s">
        <v>1517</v>
      </c>
      <c r="C113" s="2" t="s">
        <v>1518</v>
      </c>
      <c r="D113" s="2" t="s">
        <v>1519</v>
      </c>
      <c r="F113" s="3" t="s">
        <v>59</v>
      </c>
      <c r="G113" s="3" t="s">
        <v>60</v>
      </c>
      <c r="H113" s="3" t="s">
        <v>59</v>
      </c>
      <c r="I113" s="3" t="s">
        <v>59</v>
      </c>
      <c r="J113" s="3" t="s">
        <v>61</v>
      </c>
      <c r="K113" s="2" t="s">
        <v>1520</v>
      </c>
      <c r="L113" s="2" t="s">
        <v>1521</v>
      </c>
      <c r="M113" s="3" t="s">
        <v>519</v>
      </c>
      <c r="O113" s="3" t="s">
        <v>64</v>
      </c>
      <c r="P113" s="3" t="s">
        <v>84</v>
      </c>
      <c r="R113" s="3" t="s">
        <v>67</v>
      </c>
      <c r="S113" s="4">
        <v>30</v>
      </c>
      <c r="T113" s="4">
        <v>30</v>
      </c>
      <c r="U113" s="5" t="s">
        <v>1522</v>
      </c>
      <c r="V113" s="5" t="s">
        <v>1522</v>
      </c>
      <c r="W113" s="5" t="s">
        <v>1523</v>
      </c>
      <c r="X113" s="5" t="s">
        <v>1523</v>
      </c>
      <c r="Y113" s="4">
        <v>391</v>
      </c>
      <c r="Z113" s="4">
        <v>287</v>
      </c>
      <c r="AA113" s="4">
        <v>303</v>
      </c>
      <c r="AB113" s="4">
        <v>3</v>
      </c>
      <c r="AC113" s="4">
        <v>3</v>
      </c>
      <c r="AD113" s="4">
        <v>14</v>
      </c>
      <c r="AE113" s="4">
        <v>14</v>
      </c>
      <c r="AF113" s="4">
        <v>6</v>
      </c>
      <c r="AG113" s="4">
        <v>6</v>
      </c>
      <c r="AH113" s="4">
        <v>3</v>
      </c>
      <c r="AI113" s="4">
        <v>3</v>
      </c>
      <c r="AJ113" s="4">
        <v>8</v>
      </c>
      <c r="AK113" s="4">
        <v>8</v>
      </c>
      <c r="AL113" s="4">
        <v>2</v>
      </c>
      <c r="AM113" s="4">
        <v>2</v>
      </c>
      <c r="AN113" s="4">
        <v>0</v>
      </c>
      <c r="AO113" s="4">
        <v>0</v>
      </c>
      <c r="AP113" s="3" t="s">
        <v>59</v>
      </c>
      <c r="AQ113" s="3" t="s">
        <v>59</v>
      </c>
      <c r="AS113" s="6" t="str">
        <f>HYPERLINK("https://creighton-primo.hosted.exlibrisgroup.com/primo-explore/search?tab=default_tab&amp;search_scope=EVERYTHING&amp;vid=01CRU&amp;lang=en_US&amp;offset=0&amp;query=any,contains,991002252429702656","Catalog Record")</f>
        <v>Catalog Record</v>
      </c>
      <c r="AT113" s="6" t="str">
        <f>HYPERLINK("http://www.worldcat.org/oclc/29182782","WorldCat Record")</f>
        <v>WorldCat Record</v>
      </c>
      <c r="AU113" s="3" t="s">
        <v>1524</v>
      </c>
      <c r="AV113" s="3" t="s">
        <v>1525</v>
      </c>
      <c r="AW113" s="3" t="s">
        <v>1526</v>
      </c>
      <c r="AX113" s="3" t="s">
        <v>1526</v>
      </c>
      <c r="AY113" s="3" t="s">
        <v>1527</v>
      </c>
      <c r="AZ113" s="3" t="s">
        <v>75</v>
      </c>
      <c r="BB113" s="3" t="s">
        <v>1528</v>
      </c>
      <c r="BC113" s="3" t="s">
        <v>1529</v>
      </c>
      <c r="BD113" s="3" t="s">
        <v>1530</v>
      </c>
    </row>
    <row r="114" spans="1:56" ht="48" customHeight="1" x14ac:dyDescent="0.25">
      <c r="A114" s="7" t="s">
        <v>59</v>
      </c>
      <c r="B114" s="2" t="s">
        <v>1531</v>
      </c>
      <c r="C114" s="2" t="s">
        <v>1532</v>
      </c>
      <c r="D114" s="2" t="s">
        <v>1533</v>
      </c>
      <c r="F114" s="3" t="s">
        <v>59</v>
      </c>
      <c r="G114" s="3" t="s">
        <v>60</v>
      </c>
      <c r="H114" s="3" t="s">
        <v>59</v>
      </c>
      <c r="I114" s="3" t="s">
        <v>59</v>
      </c>
      <c r="J114" s="3" t="s">
        <v>61</v>
      </c>
      <c r="L114" s="2" t="s">
        <v>1534</v>
      </c>
      <c r="M114" s="3" t="s">
        <v>333</v>
      </c>
      <c r="O114" s="3" t="s">
        <v>64</v>
      </c>
      <c r="P114" s="3" t="s">
        <v>1186</v>
      </c>
      <c r="R114" s="3" t="s">
        <v>67</v>
      </c>
      <c r="S114" s="4">
        <v>10</v>
      </c>
      <c r="T114" s="4">
        <v>10</v>
      </c>
      <c r="U114" s="5" t="s">
        <v>1535</v>
      </c>
      <c r="V114" s="5" t="s">
        <v>1535</v>
      </c>
      <c r="W114" s="5" t="s">
        <v>1536</v>
      </c>
      <c r="X114" s="5" t="s">
        <v>1536</v>
      </c>
      <c r="Y114" s="4">
        <v>276</v>
      </c>
      <c r="Z114" s="4">
        <v>240</v>
      </c>
      <c r="AA114" s="4">
        <v>247</v>
      </c>
      <c r="AB114" s="4">
        <v>2</v>
      </c>
      <c r="AC114" s="4">
        <v>2</v>
      </c>
      <c r="AD114" s="4">
        <v>11</v>
      </c>
      <c r="AE114" s="4">
        <v>11</v>
      </c>
      <c r="AF114" s="4">
        <v>4</v>
      </c>
      <c r="AG114" s="4">
        <v>4</v>
      </c>
      <c r="AH114" s="4">
        <v>2</v>
      </c>
      <c r="AI114" s="4">
        <v>2</v>
      </c>
      <c r="AJ114" s="4">
        <v>8</v>
      </c>
      <c r="AK114" s="4">
        <v>8</v>
      </c>
      <c r="AL114" s="4">
        <v>1</v>
      </c>
      <c r="AM114" s="4">
        <v>1</v>
      </c>
      <c r="AN114" s="4">
        <v>0</v>
      </c>
      <c r="AO114" s="4">
        <v>0</v>
      </c>
      <c r="AP114" s="3" t="s">
        <v>59</v>
      </c>
      <c r="AQ114" s="3" t="s">
        <v>70</v>
      </c>
      <c r="AR114" s="6" t="str">
        <f>HYPERLINK("http://catalog.hathitrust.org/Record/000349175","HathiTrust Record")</f>
        <v>HathiTrust Record</v>
      </c>
      <c r="AS114" s="6" t="str">
        <f>HYPERLINK("https://creighton-primo.hosted.exlibrisgroup.com/primo-explore/search?tab=default_tab&amp;search_scope=EVERYTHING&amp;vid=01CRU&amp;lang=en_US&amp;offset=0&amp;query=any,contains,991000664489702656","Catalog Record")</f>
        <v>Catalog Record</v>
      </c>
      <c r="AT114" s="6" t="str">
        <f>HYPERLINK("http://www.worldcat.org/oclc/12262872","WorldCat Record")</f>
        <v>WorldCat Record</v>
      </c>
      <c r="AU114" s="3" t="s">
        <v>1537</v>
      </c>
      <c r="AV114" s="3" t="s">
        <v>1538</v>
      </c>
      <c r="AW114" s="3" t="s">
        <v>1539</v>
      </c>
      <c r="AX114" s="3" t="s">
        <v>1539</v>
      </c>
      <c r="AY114" s="3" t="s">
        <v>1540</v>
      </c>
      <c r="AZ114" s="3" t="s">
        <v>75</v>
      </c>
      <c r="BB114" s="3" t="s">
        <v>1541</v>
      </c>
      <c r="BC114" s="3" t="s">
        <v>1542</v>
      </c>
      <c r="BD114" s="3" t="s">
        <v>1543</v>
      </c>
    </row>
    <row r="115" spans="1:56" ht="48" customHeight="1" x14ac:dyDescent="0.25">
      <c r="A115" s="7" t="s">
        <v>59</v>
      </c>
      <c r="B115" s="2" t="s">
        <v>1544</v>
      </c>
      <c r="C115" s="2" t="s">
        <v>1545</v>
      </c>
      <c r="D115" s="2" t="s">
        <v>1546</v>
      </c>
      <c r="F115" s="3" t="s">
        <v>59</v>
      </c>
      <c r="G115" s="3" t="s">
        <v>60</v>
      </c>
      <c r="H115" s="3" t="s">
        <v>70</v>
      </c>
      <c r="I115" s="3" t="s">
        <v>59</v>
      </c>
      <c r="J115" s="3" t="s">
        <v>61</v>
      </c>
      <c r="L115" s="2" t="s">
        <v>1547</v>
      </c>
      <c r="M115" s="3" t="s">
        <v>190</v>
      </c>
      <c r="N115" s="2" t="s">
        <v>114</v>
      </c>
      <c r="O115" s="3" t="s">
        <v>64</v>
      </c>
      <c r="P115" s="3" t="s">
        <v>115</v>
      </c>
      <c r="R115" s="3" t="s">
        <v>67</v>
      </c>
      <c r="S115" s="4">
        <v>6</v>
      </c>
      <c r="T115" s="4">
        <v>6</v>
      </c>
      <c r="U115" s="5" t="s">
        <v>1339</v>
      </c>
      <c r="V115" s="5" t="s">
        <v>1339</v>
      </c>
      <c r="W115" s="5" t="s">
        <v>148</v>
      </c>
      <c r="X115" s="5" t="s">
        <v>148</v>
      </c>
      <c r="Y115" s="4">
        <v>241</v>
      </c>
      <c r="Z115" s="4">
        <v>175</v>
      </c>
      <c r="AA115" s="4">
        <v>342</v>
      </c>
      <c r="AB115" s="4">
        <v>4</v>
      </c>
      <c r="AC115" s="4">
        <v>4</v>
      </c>
      <c r="AD115" s="4">
        <v>6</v>
      </c>
      <c r="AE115" s="4">
        <v>13</v>
      </c>
      <c r="AF115" s="4">
        <v>1</v>
      </c>
      <c r="AG115" s="4">
        <v>3</v>
      </c>
      <c r="AH115" s="4">
        <v>1</v>
      </c>
      <c r="AI115" s="4">
        <v>4</v>
      </c>
      <c r="AJ115" s="4">
        <v>3</v>
      </c>
      <c r="AK115" s="4">
        <v>7</v>
      </c>
      <c r="AL115" s="4">
        <v>2</v>
      </c>
      <c r="AM115" s="4">
        <v>2</v>
      </c>
      <c r="AN115" s="4">
        <v>0</v>
      </c>
      <c r="AO115" s="4">
        <v>0</v>
      </c>
      <c r="AP115" s="3" t="s">
        <v>59</v>
      </c>
      <c r="AQ115" s="3" t="s">
        <v>70</v>
      </c>
      <c r="AR115" s="6" t="str">
        <f>HYPERLINK("http://catalog.hathitrust.org/Record/000579332","HathiTrust Record")</f>
        <v>HathiTrust Record</v>
      </c>
      <c r="AS115" s="6" t="str">
        <f>HYPERLINK("https://creighton-primo.hosted.exlibrisgroup.com/primo-explore/search?tab=default_tab&amp;search_scope=EVERYTHING&amp;vid=01CRU&amp;lang=en_US&amp;offset=0&amp;query=any,contains,991000092619702656","Catalog Record")</f>
        <v>Catalog Record</v>
      </c>
      <c r="AT115" s="6" t="str">
        <f>HYPERLINK("http://www.worldcat.org/oclc/8907586","WorldCat Record")</f>
        <v>WorldCat Record</v>
      </c>
      <c r="AU115" s="3" t="s">
        <v>1548</v>
      </c>
      <c r="AV115" s="3" t="s">
        <v>1549</v>
      </c>
      <c r="AW115" s="3" t="s">
        <v>1550</v>
      </c>
      <c r="AX115" s="3" t="s">
        <v>1550</v>
      </c>
      <c r="AY115" s="3" t="s">
        <v>1551</v>
      </c>
      <c r="AZ115" s="3" t="s">
        <v>75</v>
      </c>
      <c r="BB115" s="3" t="s">
        <v>1552</v>
      </c>
      <c r="BC115" s="3" t="s">
        <v>1553</v>
      </c>
      <c r="BD115" s="3" t="s">
        <v>1554</v>
      </c>
    </row>
    <row r="116" spans="1:56" ht="48" customHeight="1" x14ac:dyDescent="0.25">
      <c r="A116" s="7" t="s">
        <v>59</v>
      </c>
      <c r="B116" s="2" t="s">
        <v>1555</v>
      </c>
      <c r="C116" s="2" t="s">
        <v>1556</v>
      </c>
      <c r="D116" s="2" t="s">
        <v>1557</v>
      </c>
      <c r="F116" s="3" t="s">
        <v>59</v>
      </c>
      <c r="G116" s="3" t="s">
        <v>60</v>
      </c>
      <c r="H116" s="3" t="s">
        <v>59</v>
      </c>
      <c r="I116" s="3" t="s">
        <v>59</v>
      </c>
      <c r="J116" s="3" t="s">
        <v>61</v>
      </c>
      <c r="L116" s="2" t="s">
        <v>1558</v>
      </c>
      <c r="M116" s="3" t="s">
        <v>248</v>
      </c>
      <c r="O116" s="3" t="s">
        <v>64</v>
      </c>
      <c r="P116" s="3" t="s">
        <v>130</v>
      </c>
      <c r="Q116" s="2" t="s">
        <v>1559</v>
      </c>
      <c r="R116" s="3" t="s">
        <v>67</v>
      </c>
      <c r="S116" s="4">
        <v>5</v>
      </c>
      <c r="T116" s="4">
        <v>5</v>
      </c>
      <c r="U116" s="5" t="s">
        <v>1560</v>
      </c>
      <c r="V116" s="5" t="s">
        <v>1560</v>
      </c>
      <c r="W116" s="5" t="s">
        <v>148</v>
      </c>
      <c r="X116" s="5" t="s">
        <v>148</v>
      </c>
      <c r="Y116" s="4">
        <v>309</v>
      </c>
      <c r="Z116" s="4">
        <v>268</v>
      </c>
      <c r="AA116" s="4">
        <v>290</v>
      </c>
      <c r="AB116" s="4">
        <v>4</v>
      </c>
      <c r="AC116" s="4">
        <v>4</v>
      </c>
      <c r="AD116" s="4">
        <v>10</v>
      </c>
      <c r="AE116" s="4">
        <v>10</v>
      </c>
      <c r="AF116" s="4">
        <v>3</v>
      </c>
      <c r="AG116" s="4">
        <v>3</v>
      </c>
      <c r="AH116" s="4">
        <v>1</v>
      </c>
      <c r="AI116" s="4">
        <v>1</v>
      </c>
      <c r="AJ116" s="4">
        <v>4</v>
      </c>
      <c r="AK116" s="4">
        <v>4</v>
      </c>
      <c r="AL116" s="4">
        <v>3</v>
      </c>
      <c r="AM116" s="4">
        <v>3</v>
      </c>
      <c r="AN116" s="4">
        <v>0</v>
      </c>
      <c r="AO116" s="4">
        <v>0</v>
      </c>
      <c r="AP116" s="3" t="s">
        <v>59</v>
      </c>
      <c r="AQ116" s="3" t="s">
        <v>70</v>
      </c>
      <c r="AR116" s="6" t="str">
        <f>HYPERLINK("http://catalog.hathitrust.org/Record/000761487","HathiTrust Record")</f>
        <v>HathiTrust Record</v>
      </c>
      <c r="AS116" s="6" t="str">
        <f>HYPERLINK("https://creighton-primo.hosted.exlibrisgroup.com/primo-explore/search?tab=default_tab&amp;search_scope=EVERYTHING&amp;vid=01CRU&amp;lang=en_US&amp;offset=0&amp;query=any,contains,991005023139702656","Catalog Record")</f>
        <v>Catalog Record</v>
      </c>
      <c r="AT116" s="6" t="str">
        <f>HYPERLINK("http://www.worldcat.org/oclc/6666546","WorldCat Record")</f>
        <v>WorldCat Record</v>
      </c>
      <c r="AU116" s="3" t="s">
        <v>1561</v>
      </c>
      <c r="AV116" s="3" t="s">
        <v>1562</v>
      </c>
      <c r="AW116" s="3" t="s">
        <v>1563</v>
      </c>
      <c r="AX116" s="3" t="s">
        <v>1563</v>
      </c>
      <c r="AY116" s="3" t="s">
        <v>1564</v>
      </c>
      <c r="AZ116" s="3" t="s">
        <v>75</v>
      </c>
      <c r="BB116" s="3" t="s">
        <v>1565</v>
      </c>
      <c r="BC116" s="3" t="s">
        <v>1566</v>
      </c>
      <c r="BD116" s="3" t="s">
        <v>1567</v>
      </c>
    </row>
    <row r="117" spans="1:56" ht="48" customHeight="1" x14ac:dyDescent="0.25">
      <c r="A117" s="7" t="s">
        <v>59</v>
      </c>
      <c r="B117" s="2" t="s">
        <v>1568</v>
      </c>
      <c r="C117" s="2" t="s">
        <v>1569</v>
      </c>
      <c r="D117" s="2" t="s">
        <v>1570</v>
      </c>
      <c r="F117" s="3" t="s">
        <v>59</v>
      </c>
      <c r="G117" s="3" t="s">
        <v>60</v>
      </c>
      <c r="H117" s="3" t="s">
        <v>59</v>
      </c>
      <c r="I117" s="3" t="s">
        <v>59</v>
      </c>
      <c r="J117" s="3" t="s">
        <v>61</v>
      </c>
      <c r="K117" s="2" t="s">
        <v>1571</v>
      </c>
      <c r="L117" s="2" t="s">
        <v>1572</v>
      </c>
      <c r="M117" s="3" t="s">
        <v>590</v>
      </c>
      <c r="O117" s="3" t="s">
        <v>64</v>
      </c>
      <c r="P117" s="3" t="s">
        <v>130</v>
      </c>
      <c r="R117" s="3" t="s">
        <v>67</v>
      </c>
      <c r="S117" s="4">
        <v>17</v>
      </c>
      <c r="T117" s="4">
        <v>17</v>
      </c>
      <c r="U117" s="5" t="s">
        <v>1573</v>
      </c>
      <c r="V117" s="5" t="s">
        <v>1573</v>
      </c>
      <c r="W117" s="5" t="s">
        <v>1574</v>
      </c>
      <c r="X117" s="5" t="s">
        <v>1574</v>
      </c>
      <c r="Y117" s="4">
        <v>542</v>
      </c>
      <c r="Z117" s="4">
        <v>483</v>
      </c>
      <c r="AA117" s="4">
        <v>483</v>
      </c>
      <c r="AB117" s="4">
        <v>5</v>
      </c>
      <c r="AC117" s="4">
        <v>5</v>
      </c>
      <c r="AD117" s="4">
        <v>21</v>
      </c>
      <c r="AE117" s="4">
        <v>21</v>
      </c>
      <c r="AF117" s="4">
        <v>8</v>
      </c>
      <c r="AG117" s="4">
        <v>8</v>
      </c>
      <c r="AH117" s="4">
        <v>6</v>
      </c>
      <c r="AI117" s="4">
        <v>6</v>
      </c>
      <c r="AJ117" s="4">
        <v>10</v>
      </c>
      <c r="AK117" s="4">
        <v>10</v>
      </c>
      <c r="AL117" s="4">
        <v>4</v>
      </c>
      <c r="AM117" s="4">
        <v>4</v>
      </c>
      <c r="AN117" s="4">
        <v>0</v>
      </c>
      <c r="AO117" s="4">
        <v>0</v>
      </c>
      <c r="AP117" s="3" t="s">
        <v>59</v>
      </c>
      <c r="AQ117" s="3" t="s">
        <v>59</v>
      </c>
      <c r="AS117" s="6" t="str">
        <f>HYPERLINK("https://creighton-primo.hosted.exlibrisgroup.com/primo-explore/search?tab=default_tab&amp;search_scope=EVERYTHING&amp;vid=01CRU&amp;lang=en_US&amp;offset=0&amp;query=any,contains,991001093239702656","Catalog Record")</f>
        <v>Catalog Record</v>
      </c>
      <c r="AT117" s="6" t="str">
        <f>HYPERLINK("http://www.worldcat.org/oclc/16226776","WorldCat Record")</f>
        <v>WorldCat Record</v>
      </c>
      <c r="AU117" s="3" t="s">
        <v>1575</v>
      </c>
      <c r="AV117" s="3" t="s">
        <v>1576</v>
      </c>
      <c r="AW117" s="3" t="s">
        <v>1577</v>
      </c>
      <c r="AX117" s="3" t="s">
        <v>1577</v>
      </c>
      <c r="AY117" s="3" t="s">
        <v>1578</v>
      </c>
      <c r="AZ117" s="3" t="s">
        <v>75</v>
      </c>
      <c r="BB117" s="3" t="s">
        <v>1579</v>
      </c>
      <c r="BC117" s="3" t="s">
        <v>1580</v>
      </c>
      <c r="BD117" s="3" t="s">
        <v>1581</v>
      </c>
    </row>
    <row r="118" spans="1:56" ht="48" customHeight="1" x14ac:dyDescent="0.25">
      <c r="A118" s="7" t="s">
        <v>59</v>
      </c>
      <c r="B118" s="2" t="s">
        <v>1582</v>
      </c>
      <c r="C118" s="2" t="s">
        <v>1583</v>
      </c>
      <c r="D118" s="2" t="s">
        <v>1584</v>
      </c>
      <c r="F118" s="3" t="s">
        <v>59</v>
      </c>
      <c r="G118" s="3" t="s">
        <v>60</v>
      </c>
      <c r="H118" s="3" t="s">
        <v>59</v>
      </c>
      <c r="I118" s="3" t="s">
        <v>59</v>
      </c>
      <c r="J118" s="3" t="s">
        <v>61</v>
      </c>
      <c r="K118" s="2" t="s">
        <v>1585</v>
      </c>
      <c r="L118" s="2" t="s">
        <v>1586</v>
      </c>
      <c r="M118" s="3" t="s">
        <v>590</v>
      </c>
      <c r="O118" s="3" t="s">
        <v>64</v>
      </c>
      <c r="P118" s="3" t="s">
        <v>130</v>
      </c>
      <c r="R118" s="3" t="s">
        <v>67</v>
      </c>
      <c r="S118" s="4">
        <v>17</v>
      </c>
      <c r="T118" s="4">
        <v>17</v>
      </c>
      <c r="U118" s="5" t="s">
        <v>1587</v>
      </c>
      <c r="V118" s="5" t="s">
        <v>1587</v>
      </c>
      <c r="W118" s="5" t="s">
        <v>148</v>
      </c>
      <c r="X118" s="5" t="s">
        <v>148</v>
      </c>
      <c r="Y118" s="4">
        <v>598</v>
      </c>
      <c r="Z118" s="4">
        <v>520</v>
      </c>
      <c r="AA118" s="4">
        <v>522</v>
      </c>
      <c r="AB118" s="4">
        <v>5</v>
      </c>
      <c r="AC118" s="4">
        <v>5</v>
      </c>
      <c r="AD118" s="4">
        <v>33</v>
      </c>
      <c r="AE118" s="4">
        <v>33</v>
      </c>
      <c r="AF118" s="4">
        <v>12</v>
      </c>
      <c r="AG118" s="4">
        <v>12</v>
      </c>
      <c r="AH118" s="4">
        <v>9</v>
      </c>
      <c r="AI118" s="4">
        <v>9</v>
      </c>
      <c r="AJ118" s="4">
        <v>18</v>
      </c>
      <c r="AK118" s="4">
        <v>18</v>
      </c>
      <c r="AL118" s="4">
        <v>3</v>
      </c>
      <c r="AM118" s="4">
        <v>3</v>
      </c>
      <c r="AN118" s="4">
        <v>1</v>
      </c>
      <c r="AO118" s="4">
        <v>1</v>
      </c>
      <c r="AP118" s="3" t="s">
        <v>59</v>
      </c>
      <c r="AQ118" s="3" t="s">
        <v>70</v>
      </c>
      <c r="AR118" s="6" t="str">
        <f>HYPERLINK("http://catalog.hathitrust.org/Record/000916276","HathiTrust Record")</f>
        <v>HathiTrust Record</v>
      </c>
      <c r="AS118" s="6" t="str">
        <f>HYPERLINK("https://creighton-primo.hosted.exlibrisgroup.com/primo-explore/search?tab=default_tab&amp;search_scope=EVERYTHING&amp;vid=01CRU&amp;lang=en_US&amp;offset=0&amp;query=any,contains,991005408559702656","Catalog Record")</f>
        <v>Catalog Record</v>
      </c>
      <c r="AT118" s="6" t="str">
        <f>HYPERLINK("http://www.worldcat.org/oclc/16985893","WorldCat Record")</f>
        <v>WorldCat Record</v>
      </c>
      <c r="AU118" s="3" t="s">
        <v>1588</v>
      </c>
      <c r="AV118" s="3" t="s">
        <v>1589</v>
      </c>
      <c r="AW118" s="3" t="s">
        <v>1590</v>
      </c>
      <c r="AX118" s="3" t="s">
        <v>1590</v>
      </c>
      <c r="AY118" s="3" t="s">
        <v>1591</v>
      </c>
      <c r="AZ118" s="3" t="s">
        <v>75</v>
      </c>
      <c r="BB118" s="3" t="s">
        <v>1592</v>
      </c>
      <c r="BC118" s="3" t="s">
        <v>1593</v>
      </c>
      <c r="BD118" s="3" t="s">
        <v>1594</v>
      </c>
    </row>
    <row r="119" spans="1:56" ht="48" customHeight="1" x14ac:dyDescent="0.25">
      <c r="A119" s="7" t="s">
        <v>59</v>
      </c>
      <c r="B119" s="2" t="s">
        <v>1595</v>
      </c>
      <c r="C119" s="2" t="s">
        <v>1596</v>
      </c>
      <c r="D119" s="2" t="s">
        <v>1597</v>
      </c>
      <c r="F119" s="3" t="s">
        <v>59</v>
      </c>
      <c r="G119" s="3" t="s">
        <v>60</v>
      </c>
      <c r="H119" s="3" t="s">
        <v>59</v>
      </c>
      <c r="I119" s="3" t="s">
        <v>70</v>
      </c>
      <c r="J119" s="3" t="s">
        <v>61</v>
      </c>
      <c r="K119" s="2" t="s">
        <v>1598</v>
      </c>
      <c r="L119" s="2" t="s">
        <v>1599</v>
      </c>
      <c r="M119" s="3" t="s">
        <v>1338</v>
      </c>
      <c r="O119" s="3" t="s">
        <v>64</v>
      </c>
      <c r="P119" s="3" t="s">
        <v>264</v>
      </c>
      <c r="R119" s="3" t="s">
        <v>67</v>
      </c>
      <c r="S119" s="4">
        <v>2</v>
      </c>
      <c r="T119" s="4">
        <v>2</v>
      </c>
      <c r="U119" s="5" t="s">
        <v>1600</v>
      </c>
      <c r="V119" s="5" t="s">
        <v>1600</v>
      </c>
      <c r="W119" s="5" t="s">
        <v>501</v>
      </c>
      <c r="X119" s="5" t="s">
        <v>501</v>
      </c>
      <c r="Y119" s="4">
        <v>161</v>
      </c>
      <c r="Z119" s="4">
        <v>144</v>
      </c>
      <c r="AA119" s="4">
        <v>166</v>
      </c>
      <c r="AB119" s="4">
        <v>3</v>
      </c>
      <c r="AC119" s="4">
        <v>4</v>
      </c>
      <c r="AD119" s="4">
        <v>4</v>
      </c>
      <c r="AE119" s="4">
        <v>4</v>
      </c>
      <c r="AF119" s="4">
        <v>0</v>
      </c>
      <c r="AG119" s="4">
        <v>0</v>
      </c>
      <c r="AH119" s="4">
        <v>0</v>
      </c>
      <c r="AI119" s="4">
        <v>0</v>
      </c>
      <c r="AJ119" s="4">
        <v>3</v>
      </c>
      <c r="AK119" s="4">
        <v>3</v>
      </c>
      <c r="AL119" s="4">
        <v>1</v>
      </c>
      <c r="AM119" s="4">
        <v>1</v>
      </c>
      <c r="AN119" s="4">
        <v>0</v>
      </c>
      <c r="AO119" s="4">
        <v>0</v>
      </c>
      <c r="AP119" s="3" t="s">
        <v>59</v>
      </c>
      <c r="AQ119" s="3" t="s">
        <v>70</v>
      </c>
      <c r="AR119" s="6" t="str">
        <f>HYPERLINK("http://catalog.hathitrust.org/Record/001554251","HathiTrust Record")</f>
        <v>HathiTrust Record</v>
      </c>
      <c r="AS119" s="6" t="str">
        <f>HYPERLINK("https://creighton-primo.hosted.exlibrisgroup.com/primo-explore/search?tab=default_tab&amp;search_scope=EVERYTHING&amp;vid=01CRU&amp;lang=en_US&amp;offset=0&amp;query=any,contains,991002997409702656","Catalog Record")</f>
        <v>Catalog Record</v>
      </c>
      <c r="AT119" s="6" t="str">
        <f>HYPERLINK("http://www.worldcat.org/oclc/566022","WorldCat Record")</f>
        <v>WorldCat Record</v>
      </c>
      <c r="AU119" s="3" t="s">
        <v>1601</v>
      </c>
      <c r="AV119" s="3" t="s">
        <v>1602</v>
      </c>
      <c r="AW119" s="3" t="s">
        <v>1603</v>
      </c>
      <c r="AX119" s="3" t="s">
        <v>1603</v>
      </c>
      <c r="AY119" s="3" t="s">
        <v>1604</v>
      </c>
      <c r="AZ119" s="3" t="s">
        <v>75</v>
      </c>
      <c r="BC119" s="3" t="s">
        <v>1605</v>
      </c>
      <c r="BD119" s="3" t="s">
        <v>1606</v>
      </c>
    </row>
    <row r="120" spans="1:56" ht="48" customHeight="1" x14ac:dyDescent="0.25">
      <c r="A120" s="7" t="s">
        <v>59</v>
      </c>
      <c r="B120" s="2" t="s">
        <v>1607</v>
      </c>
      <c r="C120" s="2" t="s">
        <v>1608</v>
      </c>
      <c r="D120" s="2" t="s">
        <v>1609</v>
      </c>
      <c r="F120" s="3" t="s">
        <v>59</v>
      </c>
      <c r="G120" s="3" t="s">
        <v>60</v>
      </c>
      <c r="H120" s="3" t="s">
        <v>59</v>
      </c>
      <c r="I120" s="3" t="s">
        <v>59</v>
      </c>
      <c r="J120" s="3" t="s">
        <v>61</v>
      </c>
      <c r="L120" s="2" t="s">
        <v>1610</v>
      </c>
      <c r="M120" s="3" t="s">
        <v>1611</v>
      </c>
      <c r="O120" s="3" t="s">
        <v>64</v>
      </c>
      <c r="P120" s="3" t="s">
        <v>84</v>
      </c>
      <c r="Q120" s="2" t="s">
        <v>1612</v>
      </c>
      <c r="R120" s="3" t="s">
        <v>67</v>
      </c>
      <c r="S120" s="4">
        <v>2</v>
      </c>
      <c r="T120" s="4">
        <v>2</v>
      </c>
      <c r="U120" s="5" t="s">
        <v>1613</v>
      </c>
      <c r="V120" s="5" t="s">
        <v>1613</v>
      </c>
      <c r="W120" s="5" t="s">
        <v>1614</v>
      </c>
      <c r="X120" s="5" t="s">
        <v>1614</v>
      </c>
      <c r="Y120" s="4">
        <v>193</v>
      </c>
      <c r="Z120" s="4">
        <v>137</v>
      </c>
      <c r="AA120" s="4">
        <v>137</v>
      </c>
      <c r="AB120" s="4">
        <v>2</v>
      </c>
      <c r="AC120" s="4">
        <v>2</v>
      </c>
      <c r="AD120" s="4">
        <v>7</v>
      </c>
      <c r="AE120" s="4">
        <v>7</v>
      </c>
      <c r="AF120" s="4">
        <v>2</v>
      </c>
      <c r="AG120" s="4">
        <v>2</v>
      </c>
      <c r="AH120" s="4">
        <v>2</v>
      </c>
      <c r="AI120" s="4">
        <v>2</v>
      </c>
      <c r="AJ120" s="4">
        <v>4</v>
      </c>
      <c r="AK120" s="4">
        <v>4</v>
      </c>
      <c r="AL120" s="4">
        <v>1</v>
      </c>
      <c r="AM120" s="4">
        <v>1</v>
      </c>
      <c r="AN120" s="4">
        <v>0</v>
      </c>
      <c r="AO120" s="4">
        <v>0</v>
      </c>
      <c r="AP120" s="3" t="s">
        <v>59</v>
      </c>
      <c r="AQ120" s="3" t="s">
        <v>59</v>
      </c>
      <c r="AS120" s="6" t="str">
        <f>HYPERLINK("https://creighton-primo.hosted.exlibrisgroup.com/primo-explore/search?tab=default_tab&amp;search_scope=EVERYTHING&amp;vid=01CRU&amp;lang=en_US&amp;offset=0&amp;query=any,contains,991004779979702656","Catalog Record")</f>
        <v>Catalog Record</v>
      </c>
      <c r="AT120" s="6" t="str">
        <f>HYPERLINK("http://www.worldcat.org/oclc/34730120","WorldCat Record")</f>
        <v>WorldCat Record</v>
      </c>
      <c r="AU120" s="3" t="s">
        <v>1615</v>
      </c>
      <c r="AV120" s="3" t="s">
        <v>1616</v>
      </c>
      <c r="AW120" s="3" t="s">
        <v>1617</v>
      </c>
      <c r="AX120" s="3" t="s">
        <v>1617</v>
      </c>
      <c r="AY120" s="3" t="s">
        <v>1618</v>
      </c>
      <c r="AZ120" s="3" t="s">
        <v>75</v>
      </c>
      <c r="BB120" s="3" t="s">
        <v>1619</v>
      </c>
      <c r="BC120" s="3" t="s">
        <v>1620</v>
      </c>
      <c r="BD120" s="3" t="s">
        <v>1621</v>
      </c>
    </row>
    <row r="121" spans="1:56" ht="48" customHeight="1" x14ac:dyDescent="0.25">
      <c r="A121" s="7" t="s">
        <v>59</v>
      </c>
      <c r="B121" s="2" t="s">
        <v>1622</v>
      </c>
      <c r="C121" s="2" t="s">
        <v>1623</v>
      </c>
      <c r="D121" s="2" t="s">
        <v>1624</v>
      </c>
      <c r="F121" s="3" t="s">
        <v>59</v>
      </c>
      <c r="G121" s="3" t="s">
        <v>60</v>
      </c>
      <c r="H121" s="3" t="s">
        <v>59</v>
      </c>
      <c r="I121" s="3" t="s">
        <v>59</v>
      </c>
      <c r="J121" s="3" t="s">
        <v>61</v>
      </c>
      <c r="K121" s="2" t="s">
        <v>1625</v>
      </c>
      <c r="L121" s="2" t="s">
        <v>1626</v>
      </c>
      <c r="M121" s="3" t="s">
        <v>549</v>
      </c>
      <c r="O121" s="3" t="s">
        <v>64</v>
      </c>
      <c r="P121" s="3" t="s">
        <v>1257</v>
      </c>
      <c r="Q121" s="2" t="s">
        <v>1627</v>
      </c>
      <c r="R121" s="3" t="s">
        <v>67</v>
      </c>
      <c r="S121" s="4">
        <v>2</v>
      </c>
      <c r="T121" s="4">
        <v>2</v>
      </c>
      <c r="U121" s="5" t="s">
        <v>1573</v>
      </c>
      <c r="V121" s="5" t="s">
        <v>1573</v>
      </c>
      <c r="W121" s="5" t="s">
        <v>501</v>
      </c>
      <c r="X121" s="5" t="s">
        <v>501</v>
      </c>
      <c r="Y121" s="4">
        <v>127</v>
      </c>
      <c r="Z121" s="4">
        <v>83</v>
      </c>
      <c r="AA121" s="4">
        <v>85</v>
      </c>
      <c r="AB121" s="4">
        <v>2</v>
      </c>
      <c r="AC121" s="4">
        <v>2</v>
      </c>
      <c r="AD121" s="4">
        <v>3</v>
      </c>
      <c r="AE121" s="4">
        <v>3</v>
      </c>
      <c r="AF121" s="4">
        <v>0</v>
      </c>
      <c r="AG121" s="4">
        <v>0</v>
      </c>
      <c r="AH121" s="4">
        <v>1</v>
      </c>
      <c r="AI121" s="4">
        <v>1</v>
      </c>
      <c r="AJ121" s="4">
        <v>1</v>
      </c>
      <c r="AK121" s="4">
        <v>1</v>
      </c>
      <c r="AL121" s="4">
        <v>1</v>
      </c>
      <c r="AM121" s="4">
        <v>1</v>
      </c>
      <c r="AN121" s="4">
        <v>0</v>
      </c>
      <c r="AO121" s="4">
        <v>0</v>
      </c>
      <c r="AP121" s="3" t="s">
        <v>59</v>
      </c>
      <c r="AQ121" s="3" t="s">
        <v>70</v>
      </c>
      <c r="AR121" s="6" t="str">
        <f>HYPERLINK("http://catalog.hathitrust.org/Record/000735469","HathiTrust Record")</f>
        <v>HathiTrust Record</v>
      </c>
      <c r="AS121" s="6" t="str">
        <f>HYPERLINK("https://creighton-primo.hosted.exlibrisgroup.com/primo-explore/search?tab=default_tab&amp;search_scope=EVERYTHING&amp;vid=01CRU&amp;lang=en_US&amp;offset=0&amp;query=any,contains,991004139449702656","Catalog Record")</f>
        <v>Catalog Record</v>
      </c>
      <c r="AT121" s="6" t="str">
        <f>HYPERLINK("http://www.worldcat.org/oclc/2493578","WorldCat Record")</f>
        <v>WorldCat Record</v>
      </c>
      <c r="AU121" s="3" t="s">
        <v>1628</v>
      </c>
      <c r="AV121" s="3" t="s">
        <v>1629</v>
      </c>
      <c r="AW121" s="3" t="s">
        <v>1630</v>
      </c>
      <c r="AX121" s="3" t="s">
        <v>1630</v>
      </c>
      <c r="AY121" s="3" t="s">
        <v>1631</v>
      </c>
      <c r="AZ121" s="3" t="s">
        <v>75</v>
      </c>
      <c r="BB121" s="3" t="s">
        <v>1632</v>
      </c>
      <c r="BC121" s="3" t="s">
        <v>1633</v>
      </c>
      <c r="BD121" s="3" t="s">
        <v>1634</v>
      </c>
    </row>
    <row r="122" spans="1:56" ht="48" customHeight="1" x14ac:dyDescent="0.25">
      <c r="A122" s="7" t="s">
        <v>59</v>
      </c>
      <c r="B122" s="2" t="s">
        <v>1635</v>
      </c>
      <c r="C122" s="2" t="s">
        <v>1636</v>
      </c>
      <c r="D122" s="2" t="s">
        <v>1637</v>
      </c>
      <c r="F122" s="3" t="s">
        <v>59</v>
      </c>
      <c r="G122" s="3" t="s">
        <v>60</v>
      </c>
      <c r="H122" s="3" t="s">
        <v>59</v>
      </c>
      <c r="I122" s="3" t="s">
        <v>59</v>
      </c>
      <c r="J122" s="3" t="s">
        <v>61</v>
      </c>
      <c r="L122" s="2" t="s">
        <v>1638</v>
      </c>
      <c r="M122" s="3" t="s">
        <v>319</v>
      </c>
      <c r="O122" s="3" t="s">
        <v>64</v>
      </c>
      <c r="P122" s="3" t="s">
        <v>130</v>
      </c>
      <c r="Q122" s="2" t="s">
        <v>1639</v>
      </c>
      <c r="R122" s="3" t="s">
        <v>67</v>
      </c>
      <c r="S122" s="4">
        <v>6</v>
      </c>
      <c r="T122" s="4">
        <v>6</v>
      </c>
      <c r="U122" s="5" t="s">
        <v>1640</v>
      </c>
      <c r="V122" s="5" t="s">
        <v>1640</v>
      </c>
      <c r="W122" s="5" t="s">
        <v>148</v>
      </c>
      <c r="X122" s="5" t="s">
        <v>148</v>
      </c>
      <c r="Y122" s="4">
        <v>354</v>
      </c>
      <c r="Z122" s="4">
        <v>318</v>
      </c>
      <c r="AA122" s="4">
        <v>321</v>
      </c>
      <c r="AB122" s="4">
        <v>5</v>
      </c>
      <c r="AC122" s="4">
        <v>5</v>
      </c>
      <c r="AD122" s="4">
        <v>16</v>
      </c>
      <c r="AE122" s="4">
        <v>16</v>
      </c>
      <c r="AF122" s="4">
        <v>5</v>
      </c>
      <c r="AG122" s="4">
        <v>5</v>
      </c>
      <c r="AH122" s="4">
        <v>4</v>
      </c>
      <c r="AI122" s="4">
        <v>4</v>
      </c>
      <c r="AJ122" s="4">
        <v>9</v>
      </c>
      <c r="AK122" s="4">
        <v>9</v>
      </c>
      <c r="AL122" s="4">
        <v>4</v>
      </c>
      <c r="AM122" s="4">
        <v>4</v>
      </c>
      <c r="AN122" s="4">
        <v>0</v>
      </c>
      <c r="AO122" s="4">
        <v>0</v>
      </c>
      <c r="AP122" s="3" t="s">
        <v>59</v>
      </c>
      <c r="AQ122" s="3" t="s">
        <v>70</v>
      </c>
      <c r="AR122" s="6" t="str">
        <f>HYPERLINK("http://catalog.hathitrust.org/Record/000560956","HathiTrust Record")</f>
        <v>HathiTrust Record</v>
      </c>
      <c r="AS122" s="6" t="str">
        <f>HYPERLINK("https://creighton-primo.hosted.exlibrisgroup.com/primo-explore/search?tab=default_tab&amp;search_scope=EVERYTHING&amp;vid=01CRU&amp;lang=en_US&amp;offset=0&amp;query=any,contains,991000454639702656","Catalog Record")</f>
        <v>Catalog Record</v>
      </c>
      <c r="AT122" s="6" t="str">
        <f>HYPERLINK("http://www.worldcat.org/oclc/10913391","WorldCat Record")</f>
        <v>WorldCat Record</v>
      </c>
      <c r="AU122" s="3" t="s">
        <v>1641</v>
      </c>
      <c r="AV122" s="3" t="s">
        <v>1642</v>
      </c>
      <c r="AW122" s="3" t="s">
        <v>1643</v>
      </c>
      <c r="AX122" s="3" t="s">
        <v>1643</v>
      </c>
      <c r="AY122" s="3" t="s">
        <v>1644</v>
      </c>
      <c r="AZ122" s="3" t="s">
        <v>75</v>
      </c>
      <c r="BB122" s="3" t="s">
        <v>1645</v>
      </c>
      <c r="BC122" s="3" t="s">
        <v>1646</v>
      </c>
      <c r="BD122" s="3" t="s">
        <v>1647</v>
      </c>
    </row>
    <row r="123" spans="1:56" ht="48" customHeight="1" x14ac:dyDescent="0.25">
      <c r="A123" s="7" t="s">
        <v>59</v>
      </c>
      <c r="B123" s="2" t="s">
        <v>1648</v>
      </c>
      <c r="C123" s="2" t="s">
        <v>1649</v>
      </c>
      <c r="D123" s="2" t="s">
        <v>1650</v>
      </c>
      <c r="F123" s="3" t="s">
        <v>59</v>
      </c>
      <c r="G123" s="3" t="s">
        <v>60</v>
      </c>
      <c r="H123" s="3" t="s">
        <v>59</v>
      </c>
      <c r="I123" s="3" t="s">
        <v>59</v>
      </c>
      <c r="J123" s="3" t="s">
        <v>61</v>
      </c>
      <c r="K123" s="2" t="s">
        <v>1651</v>
      </c>
      <c r="L123" s="2" t="s">
        <v>1652</v>
      </c>
      <c r="M123" s="3" t="s">
        <v>485</v>
      </c>
      <c r="O123" s="3" t="s">
        <v>64</v>
      </c>
      <c r="P123" s="3" t="s">
        <v>65</v>
      </c>
      <c r="R123" s="3" t="s">
        <v>67</v>
      </c>
      <c r="S123" s="4">
        <v>2</v>
      </c>
      <c r="T123" s="4">
        <v>2</v>
      </c>
      <c r="U123" s="5" t="s">
        <v>177</v>
      </c>
      <c r="V123" s="5" t="s">
        <v>177</v>
      </c>
      <c r="W123" s="5" t="s">
        <v>148</v>
      </c>
      <c r="X123" s="5" t="s">
        <v>148</v>
      </c>
      <c r="Y123" s="4">
        <v>245</v>
      </c>
      <c r="Z123" s="4">
        <v>218</v>
      </c>
      <c r="AA123" s="4">
        <v>230</v>
      </c>
      <c r="AB123" s="4">
        <v>2</v>
      </c>
      <c r="AC123" s="4">
        <v>2</v>
      </c>
      <c r="AD123" s="4">
        <v>8</v>
      </c>
      <c r="AE123" s="4">
        <v>8</v>
      </c>
      <c r="AF123" s="4">
        <v>2</v>
      </c>
      <c r="AG123" s="4">
        <v>2</v>
      </c>
      <c r="AH123" s="4">
        <v>3</v>
      </c>
      <c r="AI123" s="4">
        <v>3</v>
      </c>
      <c r="AJ123" s="4">
        <v>4</v>
      </c>
      <c r="AK123" s="4">
        <v>4</v>
      </c>
      <c r="AL123" s="4">
        <v>1</v>
      </c>
      <c r="AM123" s="4">
        <v>1</v>
      </c>
      <c r="AN123" s="4">
        <v>0</v>
      </c>
      <c r="AO123" s="4">
        <v>0</v>
      </c>
      <c r="AP123" s="3" t="s">
        <v>59</v>
      </c>
      <c r="AQ123" s="3" t="s">
        <v>70</v>
      </c>
      <c r="AR123" s="6" t="str">
        <f>HYPERLINK("http://catalog.hathitrust.org/Record/000024110","HathiTrust Record")</f>
        <v>HathiTrust Record</v>
      </c>
      <c r="AS123" s="6" t="str">
        <f>HYPERLINK("https://creighton-primo.hosted.exlibrisgroup.com/primo-explore/search?tab=default_tab&amp;search_scope=EVERYTHING&amp;vid=01CRU&amp;lang=en_US&amp;offset=0&amp;query=any,contains,991005266609702656","Catalog Record")</f>
        <v>Catalog Record</v>
      </c>
      <c r="AT123" s="6" t="str">
        <f>HYPERLINK("http://www.worldcat.org/oclc/5101887","WorldCat Record")</f>
        <v>WorldCat Record</v>
      </c>
      <c r="AU123" s="3" t="s">
        <v>1653</v>
      </c>
      <c r="AV123" s="3" t="s">
        <v>1654</v>
      </c>
      <c r="AW123" s="3" t="s">
        <v>1655</v>
      </c>
      <c r="AX123" s="3" t="s">
        <v>1655</v>
      </c>
      <c r="AY123" s="3" t="s">
        <v>1656</v>
      </c>
      <c r="AZ123" s="3" t="s">
        <v>75</v>
      </c>
      <c r="BB123" s="3" t="s">
        <v>1657</v>
      </c>
      <c r="BC123" s="3" t="s">
        <v>1658</v>
      </c>
      <c r="BD123" s="3" t="s">
        <v>1659</v>
      </c>
    </row>
    <row r="124" spans="1:56" ht="48" customHeight="1" x14ac:dyDescent="0.25">
      <c r="A124" s="7" t="s">
        <v>59</v>
      </c>
      <c r="B124" s="2" t="s">
        <v>1660</v>
      </c>
      <c r="C124" s="2" t="s">
        <v>1661</v>
      </c>
      <c r="D124" s="2" t="s">
        <v>1662</v>
      </c>
      <c r="F124" s="3" t="s">
        <v>59</v>
      </c>
      <c r="G124" s="3" t="s">
        <v>60</v>
      </c>
      <c r="H124" s="3" t="s">
        <v>59</v>
      </c>
      <c r="I124" s="3" t="s">
        <v>59</v>
      </c>
      <c r="J124" s="3" t="s">
        <v>61</v>
      </c>
      <c r="K124" s="2" t="s">
        <v>1663</v>
      </c>
      <c r="L124" s="2" t="s">
        <v>1664</v>
      </c>
      <c r="M124" s="3" t="s">
        <v>911</v>
      </c>
      <c r="O124" s="3" t="s">
        <v>64</v>
      </c>
      <c r="P124" s="3" t="s">
        <v>84</v>
      </c>
      <c r="R124" s="3" t="s">
        <v>67</v>
      </c>
      <c r="S124" s="4">
        <v>4</v>
      </c>
      <c r="T124" s="4">
        <v>4</v>
      </c>
      <c r="U124" s="5" t="s">
        <v>1665</v>
      </c>
      <c r="V124" s="5" t="s">
        <v>1665</v>
      </c>
      <c r="W124" s="5" t="s">
        <v>501</v>
      </c>
      <c r="X124" s="5" t="s">
        <v>501</v>
      </c>
      <c r="Y124" s="4">
        <v>231</v>
      </c>
      <c r="Z124" s="4">
        <v>160</v>
      </c>
      <c r="AA124" s="4">
        <v>167</v>
      </c>
      <c r="AB124" s="4">
        <v>1</v>
      </c>
      <c r="AC124" s="4">
        <v>1</v>
      </c>
      <c r="AD124" s="4">
        <v>6</v>
      </c>
      <c r="AE124" s="4">
        <v>6</v>
      </c>
      <c r="AF124" s="4">
        <v>2</v>
      </c>
      <c r="AG124" s="4">
        <v>2</v>
      </c>
      <c r="AH124" s="4">
        <v>2</v>
      </c>
      <c r="AI124" s="4">
        <v>2</v>
      </c>
      <c r="AJ124" s="4">
        <v>4</v>
      </c>
      <c r="AK124" s="4">
        <v>4</v>
      </c>
      <c r="AL124" s="4">
        <v>0</v>
      </c>
      <c r="AM124" s="4">
        <v>0</v>
      </c>
      <c r="AN124" s="4">
        <v>0</v>
      </c>
      <c r="AO124" s="4">
        <v>0</v>
      </c>
      <c r="AP124" s="3" t="s">
        <v>59</v>
      </c>
      <c r="AQ124" s="3" t="s">
        <v>70</v>
      </c>
      <c r="AR124" s="6" t="str">
        <f>HYPERLINK("http://catalog.hathitrust.org/Record/001554267","HathiTrust Record")</f>
        <v>HathiTrust Record</v>
      </c>
      <c r="AS124" s="6" t="str">
        <f>HYPERLINK("https://creighton-primo.hosted.exlibrisgroup.com/primo-explore/search?tab=default_tab&amp;search_scope=EVERYTHING&amp;vid=01CRU&amp;lang=en_US&amp;offset=0&amp;query=any,contains,991003557319702656","Catalog Record")</f>
        <v>Catalog Record</v>
      </c>
      <c r="AT124" s="6" t="str">
        <f>HYPERLINK("http://www.worldcat.org/oclc/1126381","WorldCat Record")</f>
        <v>WorldCat Record</v>
      </c>
      <c r="AU124" s="3" t="s">
        <v>1666</v>
      </c>
      <c r="AV124" s="3" t="s">
        <v>1667</v>
      </c>
      <c r="AW124" s="3" t="s">
        <v>1668</v>
      </c>
      <c r="AX124" s="3" t="s">
        <v>1668</v>
      </c>
      <c r="AY124" s="3" t="s">
        <v>1669</v>
      </c>
      <c r="AZ124" s="3" t="s">
        <v>75</v>
      </c>
      <c r="BC124" s="3" t="s">
        <v>1670</v>
      </c>
      <c r="BD124" s="3" t="s">
        <v>1671</v>
      </c>
    </row>
    <row r="125" spans="1:56" ht="48" customHeight="1" x14ac:dyDescent="0.25">
      <c r="A125" s="7" t="s">
        <v>59</v>
      </c>
      <c r="B125" s="2" t="s">
        <v>1672</v>
      </c>
      <c r="C125" s="2" t="s">
        <v>1673</v>
      </c>
      <c r="D125" s="2" t="s">
        <v>1674</v>
      </c>
      <c r="F125" s="3" t="s">
        <v>59</v>
      </c>
      <c r="G125" s="3" t="s">
        <v>60</v>
      </c>
      <c r="H125" s="3" t="s">
        <v>59</v>
      </c>
      <c r="I125" s="3" t="s">
        <v>59</v>
      </c>
      <c r="J125" s="3" t="s">
        <v>61</v>
      </c>
      <c r="L125" s="2" t="s">
        <v>1675</v>
      </c>
      <c r="M125" s="3" t="s">
        <v>348</v>
      </c>
      <c r="O125" s="3" t="s">
        <v>64</v>
      </c>
      <c r="P125" s="3" t="s">
        <v>176</v>
      </c>
      <c r="R125" s="3" t="s">
        <v>67</v>
      </c>
      <c r="S125" s="4">
        <v>2</v>
      </c>
      <c r="T125" s="4">
        <v>2</v>
      </c>
      <c r="U125" s="5" t="s">
        <v>1676</v>
      </c>
      <c r="V125" s="5" t="s">
        <v>1676</v>
      </c>
      <c r="W125" s="5" t="s">
        <v>1677</v>
      </c>
      <c r="X125" s="5" t="s">
        <v>1677</v>
      </c>
      <c r="Y125" s="4">
        <v>211</v>
      </c>
      <c r="Z125" s="4">
        <v>144</v>
      </c>
      <c r="AA125" s="4">
        <v>188</v>
      </c>
      <c r="AB125" s="4">
        <v>2</v>
      </c>
      <c r="AC125" s="4">
        <v>3</v>
      </c>
      <c r="AD125" s="4">
        <v>7</v>
      </c>
      <c r="AE125" s="4">
        <v>10</v>
      </c>
      <c r="AF125" s="4">
        <v>2</v>
      </c>
      <c r="AG125" s="4">
        <v>3</v>
      </c>
      <c r="AH125" s="4">
        <v>2</v>
      </c>
      <c r="AI125" s="4">
        <v>3</v>
      </c>
      <c r="AJ125" s="4">
        <v>5</v>
      </c>
      <c r="AK125" s="4">
        <v>5</v>
      </c>
      <c r="AL125" s="4">
        <v>1</v>
      </c>
      <c r="AM125" s="4">
        <v>2</v>
      </c>
      <c r="AN125" s="4">
        <v>0</v>
      </c>
      <c r="AO125" s="4">
        <v>0</v>
      </c>
      <c r="AP125" s="3" t="s">
        <v>59</v>
      </c>
      <c r="AQ125" s="3" t="s">
        <v>70</v>
      </c>
      <c r="AR125" s="6" t="str">
        <f>HYPERLINK("http://catalog.hathitrust.org/Record/002734376","HathiTrust Record")</f>
        <v>HathiTrust Record</v>
      </c>
      <c r="AS125" s="6" t="str">
        <f>HYPERLINK("https://creighton-primo.hosted.exlibrisgroup.com/primo-explore/search?tab=default_tab&amp;search_scope=EVERYTHING&amp;vid=01CRU&amp;lang=en_US&amp;offset=0&amp;query=any,contains,991002170189702656","Catalog Record")</f>
        <v>Catalog Record</v>
      </c>
      <c r="AT125" s="6" t="str">
        <f>HYPERLINK("http://www.worldcat.org/oclc/27935437","WorldCat Record")</f>
        <v>WorldCat Record</v>
      </c>
      <c r="AU125" s="3" t="s">
        <v>1678</v>
      </c>
      <c r="AV125" s="3" t="s">
        <v>1679</v>
      </c>
      <c r="AW125" s="3" t="s">
        <v>1680</v>
      </c>
      <c r="AX125" s="3" t="s">
        <v>1680</v>
      </c>
      <c r="AY125" s="3" t="s">
        <v>1681</v>
      </c>
      <c r="AZ125" s="3" t="s">
        <v>75</v>
      </c>
      <c r="BB125" s="3" t="s">
        <v>1682</v>
      </c>
      <c r="BC125" s="3" t="s">
        <v>1683</v>
      </c>
      <c r="BD125" s="3" t="s">
        <v>1684</v>
      </c>
    </row>
    <row r="126" spans="1:56" ht="48" customHeight="1" x14ac:dyDescent="0.25">
      <c r="A126" s="7" t="s">
        <v>59</v>
      </c>
      <c r="B126" s="2" t="s">
        <v>1685</v>
      </c>
      <c r="C126" s="2" t="s">
        <v>1686</v>
      </c>
      <c r="D126" s="2" t="s">
        <v>1687</v>
      </c>
      <c r="F126" s="3" t="s">
        <v>59</v>
      </c>
      <c r="G126" s="3" t="s">
        <v>60</v>
      </c>
      <c r="H126" s="3" t="s">
        <v>59</v>
      </c>
      <c r="I126" s="3" t="s">
        <v>59</v>
      </c>
      <c r="J126" s="3" t="s">
        <v>61</v>
      </c>
      <c r="L126" s="2" t="s">
        <v>1688</v>
      </c>
      <c r="M126" s="3" t="s">
        <v>319</v>
      </c>
      <c r="O126" s="3" t="s">
        <v>64</v>
      </c>
      <c r="P126" s="3" t="s">
        <v>191</v>
      </c>
      <c r="R126" s="3" t="s">
        <v>67</v>
      </c>
      <c r="S126" s="4">
        <v>9</v>
      </c>
      <c r="T126" s="4">
        <v>9</v>
      </c>
      <c r="U126" s="5" t="s">
        <v>177</v>
      </c>
      <c r="V126" s="5" t="s">
        <v>177</v>
      </c>
      <c r="W126" s="5" t="s">
        <v>1689</v>
      </c>
      <c r="X126" s="5" t="s">
        <v>1689</v>
      </c>
      <c r="Y126" s="4">
        <v>434</v>
      </c>
      <c r="Z126" s="4">
        <v>308</v>
      </c>
      <c r="AA126" s="4">
        <v>345</v>
      </c>
      <c r="AB126" s="4">
        <v>4</v>
      </c>
      <c r="AC126" s="4">
        <v>4</v>
      </c>
      <c r="AD126" s="4">
        <v>10</v>
      </c>
      <c r="AE126" s="4">
        <v>13</v>
      </c>
      <c r="AF126" s="4">
        <v>2</v>
      </c>
      <c r="AG126" s="4">
        <v>4</v>
      </c>
      <c r="AH126" s="4">
        <v>3</v>
      </c>
      <c r="AI126" s="4">
        <v>5</v>
      </c>
      <c r="AJ126" s="4">
        <v>5</v>
      </c>
      <c r="AK126" s="4">
        <v>5</v>
      </c>
      <c r="AL126" s="4">
        <v>3</v>
      </c>
      <c r="AM126" s="4">
        <v>3</v>
      </c>
      <c r="AN126" s="4">
        <v>0</v>
      </c>
      <c r="AO126" s="4">
        <v>0</v>
      </c>
      <c r="AP126" s="3" t="s">
        <v>59</v>
      </c>
      <c r="AQ126" s="3" t="s">
        <v>70</v>
      </c>
      <c r="AR126" s="6" t="str">
        <f>HYPERLINK("http://catalog.hathitrust.org/Record/000460063","HathiTrust Record")</f>
        <v>HathiTrust Record</v>
      </c>
      <c r="AS126" s="6" t="str">
        <f>HYPERLINK("https://creighton-primo.hosted.exlibrisgroup.com/primo-explore/search?tab=default_tab&amp;search_scope=EVERYTHING&amp;vid=01CRU&amp;lang=en_US&amp;offset=0&amp;query=any,contains,991000517319702656","Catalog Record")</f>
        <v>Catalog Record</v>
      </c>
      <c r="AT126" s="6" t="str">
        <f>HYPERLINK("http://www.worldcat.org/oclc/11291459","WorldCat Record")</f>
        <v>WorldCat Record</v>
      </c>
      <c r="AU126" s="3" t="s">
        <v>1690</v>
      </c>
      <c r="AV126" s="3" t="s">
        <v>1691</v>
      </c>
      <c r="AW126" s="3" t="s">
        <v>1692</v>
      </c>
      <c r="AX126" s="3" t="s">
        <v>1692</v>
      </c>
      <c r="AY126" s="3" t="s">
        <v>1693</v>
      </c>
      <c r="AZ126" s="3" t="s">
        <v>75</v>
      </c>
      <c r="BB126" s="3" t="s">
        <v>1694</v>
      </c>
      <c r="BC126" s="3" t="s">
        <v>1695</v>
      </c>
      <c r="BD126" s="3" t="s">
        <v>1696</v>
      </c>
    </row>
    <row r="127" spans="1:56" ht="48" customHeight="1" x14ac:dyDescent="0.25">
      <c r="A127" s="7" t="s">
        <v>59</v>
      </c>
      <c r="B127" s="2" t="s">
        <v>1697</v>
      </c>
      <c r="C127" s="2" t="s">
        <v>1698</v>
      </c>
      <c r="D127" s="2" t="s">
        <v>1699</v>
      </c>
      <c r="F127" s="3" t="s">
        <v>59</v>
      </c>
      <c r="G127" s="3" t="s">
        <v>60</v>
      </c>
      <c r="H127" s="3" t="s">
        <v>59</v>
      </c>
      <c r="I127" s="3" t="s">
        <v>59</v>
      </c>
      <c r="J127" s="3" t="s">
        <v>61</v>
      </c>
      <c r="K127" s="2" t="s">
        <v>1700</v>
      </c>
      <c r="L127" s="2" t="s">
        <v>1701</v>
      </c>
      <c r="M127" s="3" t="s">
        <v>911</v>
      </c>
      <c r="O127" s="3" t="s">
        <v>64</v>
      </c>
      <c r="P127" s="3" t="s">
        <v>84</v>
      </c>
      <c r="Q127" s="2" t="s">
        <v>1702</v>
      </c>
      <c r="R127" s="3" t="s">
        <v>67</v>
      </c>
      <c r="S127" s="4">
        <v>1</v>
      </c>
      <c r="T127" s="4">
        <v>1</v>
      </c>
      <c r="U127" s="5" t="s">
        <v>1703</v>
      </c>
      <c r="V127" s="5" t="s">
        <v>1703</v>
      </c>
      <c r="W127" s="5" t="s">
        <v>1704</v>
      </c>
      <c r="X127" s="5" t="s">
        <v>1704</v>
      </c>
      <c r="Y127" s="4">
        <v>126</v>
      </c>
      <c r="Z127" s="4">
        <v>74</v>
      </c>
      <c r="AA127" s="4">
        <v>510</v>
      </c>
      <c r="AB127" s="4">
        <v>3</v>
      </c>
      <c r="AC127" s="4">
        <v>4</v>
      </c>
      <c r="AD127" s="4">
        <v>3</v>
      </c>
      <c r="AE127" s="4">
        <v>13</v>
      </c>
      <c r="AF127" s="4">
        <v>0</v>
      </c>
      <c r="AG127" s="4">
        <v>2</v>
      </c>
      <c r="AH127" s="4">
        <v>0</v>
      </c>
      <c r="AI127" s="4">
        <v>2</v>
      </c>
      <c r="AJ127" s="4">
        <v>1</v>
      </c>
      <c r="AK127" s="4">
        <v>9</v>
      </c>
      <c r="AL127" s="4">
        <v>2</v>
      </c>
      <c r="AM127" s="4">
        <v>2</v>
      </c>
      <c r="AN127" s="4">
        <v>0</v>
      </c>
      <c r="AO127" s="4">
        <v>0</v>
      </c>
      <c r="AP127" s="3" t="s">
        <v>59</v>
      </c>
      <c r="AQ127" s="3" t="s">
        <v>70</v>
      </c>
      <c r="AR127" s="6" t="str">
        <f>HYPERLINK("http://catalog.hathitrust.org/Record/007472543","HathiTrust Record")</f>
        <v>HathiTrust Record</v>
      </c>
      <c r="AS127" s="6" t="str">
        <f>HYPERLINK("https://creighton-primo.hosted.exlibrisgroup.com/primo-explore/search?tab=default_tab&amp;search_scope=EVERYTHING&amp;vid=01CRU&amp;lang=en_US&amp;offset=0&amp;query=any,contains,991000750339702656","Catalog Record")</f>
        <v>Catalog Record</v>
      </c>
      <c r="AT127" s="6" t="str">
        <f>HYPERLINK("http://www.worldcat.org/oclc/12909344","WorldCat Record")</f>
        <v>WorldCat Record</v>
      </c>
      <c r="AU127" s="3" t="s">
        <v>1705</v>
      </c>
      <c r="AV127" s="3" t="s">
        <v>1706</v>
      </c>
      <c r="AW127" s="3" t="s">
        <v>1707</v>
      </c>
      <c r="AX127" s="3" t="s">
        <v>1707</v>
      </c>
      <c r="AY127" s="3" t="s">
        <v>1708</v>
      </c>
      <c r="AZ127" s="3" t="s">
        <v>75</v>
      </c>
      <c r="BC127" s="3" t="s">
        <v>1709</v>
      </c>
      <c r="BD127" s="3" t="s">
        <v>1710</v>
      </c>
    </row>
    <row r="128" spans="1:56" ht="48" customHeight="1" x14ac:dyDescent="0.25">
      <c r="A128" s="7" t="s">
        <v>59</v>
      </c>
      <c r="B128" s="2" t="s">
        <v>1711</v>
      </c>
      <c r="C128" s="2" t="s">
        <v>1712</v>
      </c>
      <c r="D128" s="2" t="s">
        <v>1713</v>
      </c>
      <c r="F128" s="3" t="s">
        <v>59</v>
      </c>
      <c r="G128" s="3" t="s">
        <v>60</v>
      </c>
      <c r="H128" s="3" t="s">
        <v>59</v>
      </c>
      <c r="I128" s="3" t="s">
        <v>59</v>
      </c>
      <c r="J128" s="3" t="s">
        <v>61</v>
      </c>
      <c r="L128" s="2" t="s">
        <v>1714</v>
      </c>
      <c r="M128" s="3" t="s">
        <v>485</v>
      </c>
      <c r="O128" s="3" t="s">
        <v>64</v>
      </c>
      <c r="P128" s="3" t="s">
        <v>130</v>
      </c>
      <c r="R128" s="3" t="s">
        <v>67</v>
      </c>
      <c r="S128" s="4">
        <v>3</v>
      </c>
      <c r="T128" s="4">
        <v>3</v>
      </c>
      <c r="U128" s="5" t="s">
        <v>1715</v>
      </c>
      <c r="V128" s="5" t="s">
        <v>1715</v>
      </c>
      <c r="W128" s="5" t="s">
        <v>148</v>
      </c>
      <c r="X128" s="5" t="s">
        <v>148</v>
      </c>
      <c r="Y128" s="4">
        <v>215</v>
      </c>
      <c r="Z128" s="4">
        <v>148</v>
      </c>
      <c r="AA128" s="4">
        <v>150</v>
      </c>
      <c r="AB128" s="4">
        <v>2</v>
      </c>
      <c r="AC128" s="4">
        <v>2</v>
      </c>
      <c r="AD128" s="4">
        <v>3</v>
      </c>
      <c r="AE128" s="4">
        <v>3</v>
      </c>
      <c r="AF128" s="4">
        <v>0</v>
      </c>
      <c r="AG128" s="4">
        <v>0</v>
      </c>
      <c r="AH128" s="4">
        <v>1</v>
      </c>
      <c r="AI128" s="4">
        <v>1</v>
      </c>
      <c r="AJ128" s="4">
        <v>2</v>
      </c>
      <c r="AK128" s="4">
        <v>2</v>
      </c>
      <c r="AL128" s="4">
        <v>1</v>
      </c>
      <c r="AM128" s="4">
        <v>1</v>
      </c>
      <c r="AN128" s="4">
        <v>0</v>
      </c>
      <c r="AO128" s="4">
        <v>0</v>
      </c>
      <c r="AP128" s="3" t="s">
        <v>59</v>
      </c>
      <c r="AQ128" s="3" t="s">
        <v>70</v>
      </c>
      <c r="AR128" s="6" t="str">
        <f>HYPERLINK("http://catalog.hathitrust.org/Record/000720787","HathiTrust Record")</f>
        <v>HathiTrust Record</v>
      </c>
      <c r="AS128" s="6" t="str">
        <f>HYPERLINK("https://creighton-primo.hosted.exlibrisgroup.com/primo-explore/search?tab=default_tab&amp;search_scope=EVERYTHING&amp;vid=01CRU&amp;lang=en_US&amp;offset=0&amp;query=any,contains,991004689009702656","Catalog Record")</f>
        <v>Catalog Record</v>
      </c>
      <c r="AT128" s="6" t="str">
        <f>HYPERLINK("http://www.worldcat.org/oclc/4595979","WorldCat Record")</f>
        <v>WorldCat Record</v>
      </c>
      <c r="AU128" s="3" t="s">
        <v>1716</v>
      </c>
      <c r="AV128" s="3" t="s">
        <v>1717</v>
      </c>
      <c r="AW128" s="3" t="s">
        <v>1718</v>
      </c>
      <c r="AX128" s="3" t="s">
        <v>1718</v>
      </c>
      <c r="AY128" s="3" t="s">
        <v>1719</v>
      </c>
      <c r="AZ128" s="3" t="s">
        <v>75</v>
      </c>
      <c r="BB128" s="3" t="s">
        <v>1720</v>
      </c>
      <c r="BC128" s="3" t="s">
        <v>1721</v>
      </c>
      <c r="BD128" s="3" t="s">
        <v>1722</v>
      </c>
    </row>
    <row r="129" spans="1:56" ht="48" customHeight="1" x14ac:dyDescent="0.25">
      <c r="A129" s="7" t="s">
        <v>59</v>
      </c>
      <c r="B129" s="2" t="s">
        <v>1723</v>
      </c>
      <c r="C129" s="2" t="s">
        <v>1724</v>
      </c>
      <c r="D129" s="2" t="s">
        <v>1725</v>
      </c>
      <c r="F129" s="3" t="s">
        <v>59</v>
      </c>
      <c r="G129" s="3" t="s">
        <v>60</v>
      </c>
      <c r="H129" s="3" t="s">
        <v>70</v>
      </c>
      <c r="I129" s="3" t="s">
        <v>59</v>
      </c>
      <c r="J129" s="3" t="s">
        <v>61</v>
      </c>
      <c r="K129" s="2" t="s">
        <v>1726</v>
      </c>
      <c r="L129" s="2" t="s">
        <v>1727</v>
      </c>
      <c r="M129" s="3" t="s">
        <v>161</v>
      </c>
      <c r="O129" s="3" t="s">
        <v>64</v>
      </c>
      <c r="P129" s="3" t="s">
        <v>176</v>
      </c>
      <c r="R129" s="3" t="s">
        <v>67</v>
      </c>
      <c r="S129" s="4">
        <v>4</v>
      </c>
      <c r="T129" s="4">
        <v>4</v>
      </c>
      <c r="U129" s="5" t="s">
        <v>777</v>
      </c>
      <c r="V129" s="5" t="s">
        <v>777</v>
      </c>
      <c r="W129" s="5" t="s">
        <v>148</v>
      </c>
      <c r="X129" s="5" t="s">
        <v>148</v>
      </c>
      <c r="Y129" s="4">
        <v>223</v>
      </c>
      <c r="Z129" s="4">
        <v>195</v>
      </c>
      <c r="AA129" s="4">
        <v>207</v>
      </c>
      <c r="AB129" s="4">
        <v>5</v>
      </c>
      <c r="AC129" s="4">
        <v>5</v>
      </c>
      <c r="AD129" s="4">
        <v>8</v>
      </c>
      <c r="AE129" s="4">
        <v>8</v>
      </c>
      <c r="AF129" s="4">
        <v>3</v>
      </c>
      <c r="AG129" s="4">
        <v>3</v>
      </c>
      <c r="AH129" s="4">
        <v>1</v>
      </c>
      <c r="AI129" s="4">
        <v>1</v>
      </c>
      <c r="AJ129" s="4">
        <v>3</v>
      </c>
      <c r="AK129" s="4">
        <v>3</v>
      </c>
      <c r="AL129" s="4">
        <v>3</v>
      </c>
      <c r="AM129" s="4">
        <v>3</v>
      </c>
      <c r="AN129" s="4">
        <v>0</v>
      </c>
      <c r="AO129" s="4">
        <v>0</v>
      </c>
      <c r="AP129" s="3" t="s">
        <v>59</v>
      </c>
      <c r="AQ129" s="3" t="s">
        <v>59</v>
      </c>
      <c r="AS129" s="6" t="str">
        <f>HYPERLINK("https://creighton-primo.hosted.exlibrisgroup.com/primo-explore/search?tab=default_tab&amp;search_scope=EVERYTHING&amp;vid=01CRU&amp;lang=en_US&amp;offset=0&amp;query=any,contains,991004901999702656","Catalog Record")</f>
        <v>Catalog Record</v>
      </c>
      <c r="AT129" s="6" t="str">
        <f>HYPERLINK("http://www.worldcat.org/oclc/5941001","WorldCat Record")</f>
        <v>WorldCat Record</v>
      </c>
      <c r="AU129" s="3" t="s">
        <v>1728</v>
      </c>
      <c r="AV129" s="3" t="s">
        <v>1729</v>
      </c>
      <c r="AW129" s="3" t="s">
        <v>1730</v>
      </c>
      <c r="AX129" s="3" t="s">
        <v>1730</v>
      </c>
      <c r="AY129" s="3" t="s">
        <v>1731</v>
      </c>
      <c r="AZ129" s="3" t="s">
        <v>75</v>
      </c>
      <c r="BB129" s="3" t="s">
        <v>1732</v>
      </c>
      <c r="BC129" s="3" t="s">
        <v>1733</v>
      </c>
      <c r="BD129" s="3" t="s">
        <v>1734</v>
      </c>
    </row>
    <row r="130" spans="1:56" ht="48" customHeight="1" x14ac:dyDescent="0.25">
      <c r="A130" s="7" t="s">
        <v>59</v>
      </c>
      <c r="B130" s="2" t="s">
        <v>1735</v>
      </c>
      <c r="C130" s="2" t="s">
        <v>1736</v>
      </c>
      <c r="D130" s="2" t="s">
        <v>1737</v>
      </c>
      <c r="F130" s="3" t="s">
        <v>59</v>
      </c>
      <c r="G130" s="3" t="s">
        <v>60</v>
      </c>
      <c r="H130" s="3" t="s">
        <v>59</v>
      </c>
      <c r="I130" s="3" t="s">
        <v>59</v>
      </c>
      <c r="J130" s="3" t="s">
        <v>61</v>
      </c>
      <c r="L130" s="2" t="s">
        <v>1738</v>
      </c>
      <c r="M130" s="3" t="s">
        <v>145</v>
      </c>
      <c r="O130" s="3" t="s">
        <v>64</v>
      </c>
      <c r="P130" s="3" t="s">
        <v>130</v>
      </c>
      <c r="R130" s="3" t="s">
        <v>67</v>
      </c>
      <c r="S130" s="4">
        <v>3</v>
      </c>
      <c r="T130" s="4">
        <v>3</v>
      </c>
      <c r="U130" s="5" t="s">
        <v>1715</v>
      </c>
      <c r="V130" s="5" t="s">
        <v>1715</v>
      </c>
      <c r="W130" s="5" t="s">
        <v>148</v>
      </c>
      <c r="X130" s="5" t="s">
        <v>148</v>
      </c>
      <c r="Y130" s="4">
        <v>299</v>
      </c>
      <c r="Z130" s="4">
        <v>215</v>
      </c>
      <c r="AA130" s="4">
        <v>217</v>
      </c>
      <c r="AB130" s="4">
        <v>4</v>
      </c>
      <c r="AC130" s="4">
        <v>4</v>
      </c>
      <c r="AD130" s="4">
        <v>8</v>
      </c>
      <c r="AE130" s="4">
        <v>8</v>
      </c>
      <c r="AF130" s="4">
        <v>2</v>
      </c>
      <c r="AG130" s="4">
        <v>2</v>
      </c>
      <c r="AH130" s="4">
        <v>3</v>
      </c>
      <c r="AI130" s="4">
        <v>3</v>
      </c>
      <c r="AJ130" s="4">
        <v>3</v>
      </c>
      <c r="AK130" s="4">
        <v>3</v>
      </c>
      <c r="AL130" s="4">
        <v>2</v>
      </c>
      <c r="AM130" s="4">
        <v>2</v>
      </c>
      <c r="AN130" s="4">
        <v>0</v>
      </c>
      <c r="AO130" s="4">
        <v>0</v>
      </c>
      <c r="AP130" s="3" t="s">
        <v>59</v>
      </c>
      <c r="AQ130" s="3" t="s">
        <v>70</v>
      </c>
      <c r="AR130" s="6" t="str">
        <f>HYPERLINK("http://catalog.hathitrust.org/Record/000178366","HathiTrust Record")</f>
        <v>HathiTrust Record</v>
      </c>
      <c r="AS130" s="6" t="str">
        <f>HYPERLINK("https://creighton-primo.hosted.exlibrisgroup.com/primo-explore/search?tab=default_tab&amp;search_scope=EVERYTHING&amp;vid=01CRU&amp;lang=en_US&amp;offset=0&amp;query=any,contains,991005264909702656","Catalog Record")</f>
        <v>Catalog Record</v>
      </c>
      <c r="AT130" s="6" t="str">
        <f>HYPERLINK("http://www.worldcat.org/oclc/4056133","WorldCat Record")</f>
        <v>WorldCat Record</v>
      </c>
      <c r="AU130" s="3" t="s">
        <v>1739</v>
      </c>
      <c r="AV130" s="3" t="s">
        <v>1740</v>
      </c>
      <c r="AW130" s="3" t="s">
        <v>1741</v>
      </c>
      <c r="AX130" s="3" t="s">
        <v>1741</v>
      </c>
      <c r="AY130" s="3" t="s">
        <v>1742</v>
      </c>
      <c r="AZ130" s="3" t="s">
        <v>75</v>
      </c>
      <c r="BB130" s="3" t="s">
        <v>1743</v>
      </c>
      <c r="BC130" s="3" t="s">
        <v>1744</v>
      </c>
      <c r="BD130" s="3" t="s">
        <v>1745</v>
      </c>
    </row>
    <row r="131" spans="1:56" ht="48" customHeight="1" x14ac:dyDescent="0.25">
      <c r="A131" s="7" t="s">
        <v>59</v>
      </c>
      <c r="B131" s="2" t="s">
        <v>1746</v>
      </c>
      <c r="C131" s="2" t="s">
        <v>1747</v>
      </c>
      <c r="D131" s="2" t="s">
        <v>1748</v>
      </c>
      <c r="F131" s="3" t="s">
        <v>59</v>
      </c>
      <c r="G131" s="3" t="s">
        <v>60</v>
      </c>
      <c r="H131" s="3" t="s">
        <v>59</v>
      </c>
      <c r="I131" s="3" t="s">
        <v>59</v>
      </c>
      <c r="J131" s="3" t="s">
        <v>61</v>
      </c>
      <c r="K131" s="2" t="s">
        <v>1749</v>
      </c>
      <c r="L131" s="2" t="s">
        <v>1750</v>
      </c>
      <c r="M131" s="3" t="s">
        <v>417</v>
      </c>
      <c r="O131" s="3" t="s">
        <v>64</v>
      </c>
      <c r="P131" s="3" t="s">
        <v>84</v>
      </c>
      <c r="R131" s="3" t="s">
        <v>67</v>
      </c>
      <c r="S131" s="4">
        <v>9</v>
      </c>
      <c r="T131" s="4">
        <v>9</v>
      </c>
      <c r="U131" s="5" t="s">
        <v>1339</v>
      </c>
      <c r="V131" s="5" t="s">
        <v>1339</v>
      </c>
      <c r="W131" s="5" t="s">
        <v>1751</v>
      </c>
      <c r="X131" s="5" t="s">
        <v>1751</v>
      </c>
      <c r="Y131" s="4">
        <v>549</v>
      </c>
      <c r="Z131" s="4">
        <v>456</v>
      </c>
      <c r="AA131" s="4">
        <v>463</v>
      </c>
      <c r="AB131" s="4">
        <v>2</v>
      </c>
      <c r="AC131" s="4">
        <v>2</v>
      </c>
      <c r="AD131" s="4">
        <v>22</v>
      </c>
      <c r="AE131" s="4">
        <v>22</v>
      </c>
      <c r="AF131" s="4">
        <v>11</v>
      </c>
      <c r="AG131" s="4">
        <v>11</v>
      </c>
      <c r="AH131" s="4">
        <v>6</v>
      </c>
      <c r="AI131" s="4">
        <v>6</v>
      </c>
      <c r="AJ131" s="4">
        <v>12</v>
      </c>
      <c r="AK131" s="4">
        <v>12</v>
      </c>
      <c r="AL131" s="4">
        <v>1</v>
      </c>
      <c r="AM131" s="4">
        <v>1</v>
      </c>
      <c r="AN131" s="4">
        <v>0</v>
      </c>
      <c r="AO131" s="4">
        <v>0</v>
      </c>
      <c r="AP131" s="3" t="s">
        <v>59</v>
      </c>
      <c r="AQ131" s="3" t="s">
        <v>70</v>
      </c>
      <c r="AR131" s="6" t="str">
        <f>HYPERLINK("http://catalog.hathitrust.org/Record/000241343","HathiTrust Record")</f>
        <v>HathiTrust Record</v>
      </c>
      <c r="AS131" s="6" t="str">
        <f>HYPERLINK("https://creighton-primo.hosted.exlibrisgroup.com/primo-explore/search?tab=default_tab&amp;search_scope=EVERYTHING&amp;vid=01CRU&amp;lang=en_US&amp;offset=0&amp;query=any,contains,991000183139702656","Catalog Record")</f>
        <v>Catalog Record</v>
      </c>
      <c r="AT131" s="6" t="str">
        <f>HYPERLINK("http://www.worldcat.org/oclc/9392855","WorldCat Record")</f>
        <v>WorldCat Record</v>
      </c>
      <c r="AU131" s="3" t="s">
        <v>1752</v>
      </c>
      <c r="AV131" s="3" t="s">
        <v>1753</v>
      </c>
      <c r="AW131" s="3" t="s">
        <v>1754</v>
      </c>
      <c r="AX131" s="3" t="s">
        <v>1754</v>
      </c>
      <c r="AY131" s="3" t="s">
        <v>1755</v>
      </c>
      <c r="AZ131" s="3" t="s">
        <v>75</v>
      </c>
      <c r="BB131" s="3" t="s">
        <v>1756</v>
      </c>
      <c r="BC131" s="3" t="s">
        <v>1757</v>
      </c>
      <c r="BD131" s="3" t="s">
        <v>1758</v>
      </c>
    </row>
    <row r="132" spans="1:56" ht="48" customHeight="1" x14ac:dyDescent="0.25">
      <c r="A132" s="7" t="s">
        <v>59</v>
      </c>
      <c r="B132" s="2" t="s">
        <v>1759</v>
      </c>
      <c r="C132" s="2" t="s">
        <v>1760</v>
      </c>
      <c r="D132" s="2" t="s">
        <v>1761</v>
      </c>
      <c r="F132" s="3" t="s">
        <v>59</v>
      </c>
      <c r="G132" s="3" t="s">
        <v>60</v>
      </c>
      <c r="H132" s="3" t="s">
        <v>59</v>
      </c>
      <c r="I132" s="3" t="s">
        <v>59</v>
      </c>
      <c r="J132" s="3" t="s">
        <v>61</v>
      </c>
      <c r="K132" s="2" t="s">
        <v>1762</v>
      </c>
      <c r="L132" s="2" t="s">
        <v>1763</v>
      </c>
      <c r="M132" s="3" t="s">
        <v>590</v>
      </c>
      <c r="N132" s="2" t="s">
        <v>731</v>
      </c>
      <c r="O132" s="3" t="s">
        <v>64</v>
      </c>
      <c r="P132" s="3" t="s">
        <v>130</v>
      </c>
      <c r="R132" s="3" t="s">
        <v>67</v>
      </c>
      <c r="S132" s="4">
        <v>2</v>
      </c>
      <c r="T132" s="4">
        <v>2</v>
      </c>
      <c r="U132" s="5" t="s">
        <v>1764</v>
      </c>
      <c r="V132" s="5" t="s">
        <v>1764</v>
      </c>
      <c r="W132" s="5" t="s">
        <v>148</v>
      </c>
      <c r="X132" s="5" t="s">
        <v>148</v>
      </c>
      <c r="Y132" s="4">
        <v>163</v>
      </c>
      <c r="Z132" s="4">
        <v>133</v>
      </c>
      <c r="AA132" s="4">
        <v>140</v>
      </c>
      <c r="AB132" s="4">
        <v>4</v>
      </c>
      <c r="AC132" s="4">
        <v>4</v>
      </c>
      <c r="AD132" s="4">
        <v>5</v>
      </c>
      <c r="AE132" s="4">
        <v>5</v>
      </c>
      <c r="AF132" s="4">
        <v>1</v>
      </c>
      <c r="AG132" s="4">
        <v>1</v>
      </c>
      <c r="AH132" s="4">
        <v>1</v>
      </c>
      <c r="AI132" s="4">
        <v>1</v>
      </c>
      <c r="AJ132" s="4">
        <v>0</v>
      </c>
      <c r="AK132" s="4">
        <v>0</v>
      </c>
      <c r="AL132" s="4">
        <v>3</v>
      </c>
      <c r="AM132" s="4">
        <v>3</v>
      </c>
      <c r="AN132" s="4">
        <v>0</v>
      </c>
      <c r="AO132" s="4">
        <v>0</v>
      </c>
      <c r="AP132" s="3" t="s">
        <v>59</v>
      </c>
      <c r="AQ132" s="3" t="s">
        <v>70</v>
      </c>
      <c r="AR132" s="6" t="str">
        <f>HYPERLINK("http://catalog.hathitrust.org/Record/001087710","HathiTrust Record")</f>
        <v>HathiTrust Record</v>
      </c>
      <c r="AS132" s="6" t="str">
        <f>HYPERLINK("https://creighton-primo.hosted.exlibrisgroup.com/primo-explore/search?tab=default_tab&amp;search_scope=EVERYTHING&amp;vid=01CRU&amp;lang=en_US&amp;offset=0&amp;query=any,contains,991001241619702656","Catalog Record")</f>
        <v>Catalog Record</v>
      </c>
      <c r="AT132" s="6" t="str">
        <f>HYPERLINK("http://www.worldcat.org/oclc/17620277","WorldCat Record")</f>
        <v>WorldCat Record</v>
      </c>
      <c r="AU132" s="3" t="s">
        <v>1765</v>
      </c>
      <c r="AV132" s="3" t="s">
        <v>1766</v>
      </c>
      <c r="AW132" s="3" t="s">
        <v>1767</v>
      </c>
      <c r="AX132" s="3" t="s">
        <v>1767</v>
      </c>
      <c r="AY132" s="3" t="s">
        <v>1768</v>
      </c>
      <c r="AZ132" s="3" t="s">
        <v>75</v>
      </c>
      <c r="BB132" s="3" t="s">
        <v>1769</v>
      </c>
      <c r="BC132" s="3" t="s">
        <v>1770</v>
      </c>
      <c r="BD132" s="3" t="s">
        <v>1771</v>
      </c>
    </row>
    <row r="133" spans="1:56" ht="48" customHeight="1" x14ac:dyDescent="0.25">
      <c r="A133" s="7" t="s">
        <v>59</v>
      </c>
      <c r="B133" s="2" t="s">
        <v>1772</v>
      </c>
      <c r="C133" s="2" t="s">
        <v>1773</v>
      </c>
      <c r="D133" s="2" t="s">
        <v>1774</v>
      </c>
      <c r="F133" s="3" t="s">
        <v>59</v>
      </c>
      <c r="G133" s="3" t="s">
        <v>60</v>
      </c>
      <c r="H133" s="3" t="s">
        <v>59</v>
      </c>
      <c r="I133" s="3" t="s">
        <v>59</v>
      </c>
      <c r="J133" s="3" t="s">
        <v>61</v>
      </c>
      <c r="L133" s="2" t="s">
        <v>1775</v>
      </c>
      <c r="M133" s="3" t="s">
        <v>248</v>
      </c>
      <c r="O133" s="3" t="s">
        <v>64</v>
      </c>
      <c r="P133" s="3" t="s">
        <v>130</v>
      </c>
      <c r="R133" s="3" t="s">
        <v>67</v>
      </c>
      <c r="S133" s="4">
        <v>8</v>
      </c>
      <c r="T133" s="4">
        <v>8</v>
      </c>
      <c r="U133" s="5" t="s">
        <v>1776</v>
      </c>
      <c r="V133" s="5" t="s">
        <v>1776</v>
      </c>
      <c r="W133" s="5" t="s">
        <v>1777</v>
      </c>
      <c r="X133" s="5" t="s">
        <v>1777</v>
      </c>
      <c r="Y133" s="4">
        <v>402</v>
      </c>
      <c r="Z133" s="4">
        <v>329</v>
      </c>
      <c r="AA133" s="4">
        <v>345</v>
      </c>
      <c r="AB133" s="4">
        <v>3</v>
      </c>
      <c r="AC133" s="4">
        <v>3</v>
      </c>
      <c r="AD133" s="4">
        <v>14</v>
      </c>
      <c r="AE133" s="4">
        <v>15</v>
      </c>
      <c r="AF133" s="4">
        <v>4</v>
      </c>
      <c r="AG133" s="4">
        <v>5</v>
      </c>
      <c r="AH133" s="4">
        <v>3</v>
      </c>
      <c r="AI133" s="4">
        <v>3</v>
      </c>
      <c r="AJ133" s="4">
        <v>10</v>
      </c>
      <c r="AK133" s="4">
        <v>11</v>
      </c>
      <c r="AL133" s="4">
        <v>2</v>
      </c>
      <c r="AM133" s="4">
        <v>2</v>
      </c>
      <c r="AN133" s="4">
        <v>0</v>
      </c>
      <c r="AO133" s="4">
        <v>0</v>
      </c>
      <c r="AP133" s="3" t="s">
        <v>59</v>
      </c>
      <c r="AQ133" s="3" t="s">
        <v>70</v>
      </c>
      <c r="AR133" s="6" t="str">
        <f>HYPERLINK("http://catalog.hathitrust.org/Record/000185885","HathiTrust Record")</f>
        <v>HathiTrust Record</v>
      </c>
      <c r="AS133" s="6" t="str">
        <f>HYPERLINK("https://creighton-primo.hosted.exlibrisgroup.com/primo-explore/search?tab=default_tab&amp;search_scope=EVERYTHING&amp;vid=01CRU&amp;lang=en_US&amp;offset=0&amp;query=any,contains,991005152079702656","Catalog Record")</f>
        <v>Catalog Record</v>
      </c>
      <c r="AT133" s="6" t="str">
        <f>HYPERLINK("http://www.worldcat.org/oclc/7733582","WorldCat Record")</f>
        <v>WorldCat Record</v>
      </c>
      <c r="AU133" s="3" t="s">
        <v>1778</v>
      </c>
      <c r="AV133" s="3" t="s">
        <v>1779</v>
      </c>
      <c r="AW133" s="3" t="s">
        <v>1780</v>
      </c>
      <c r="AX133" s="3" t="s">
        <v>1780</v>
      </c>
      <c r="AY133" s="3" t="s">
        <v>1781</v>
      </c>
      <c r="AZ133" s="3" t="s">
        <v>75</v>
      </c>
      <c r="BB133" s="3" t="s">
        <v>1782</v>
      </c>
      <c r="BC133" s="3" t="s">
        <v>1783</v>
      </c>
      <c r="BD133" s="3" t="s">
        <v>1784</v>
      </c>
    </row>
    <row r="134" spans="1:56" ht="48" customHeight="1" x14ac:dyDescent="0.25">
      <c r="A134" s="7" t="s">
        <v>59</v>
      </c>
      <c r="B134" s="2" t="s">
        <v>1785</v>
      </c>
      <c r="C134" s="2" t="s">
        <v>1786</v>
      </c>
      <c r="D134" s="2" t="s">
        <v>1787</v>
      </c>
      <c r="F134" s="3" t="s">
        <v>59</v>
      </c>
      <c r="G134" s="3" t="s">
        <v>60</v>
      </c>
      <c r="H134" s="3" t="s">
        <v>59</v>
      </c>
      <c r="I134" s="3" t="s">
        <v>59</v>
      </c>
      <c r="J134" s="3" t="s">
        <v>61</v>
      </c>
      <c r="K134" s="2" t="s">
        <v>1788</v>
      </c>
      <c r="L134" s="2" t="s">
        <v>1789</v>
      </c>
      <c r="M134" s="3" t="s">
        <v>190</v>
      </c>
      <c r="O134" s="3" t="s">
        <v>64</v>
      </c>
      <c r="P134" s="3" t="s">
        <v>130</v>
      </c>
      <c r="Q134" s="2" t="s">
        <v>1790</v>
      </c>
      <c r="R134" s="3" t="s">
        <v>67</v>
      </c>
      <c r="S134" s="4">
        <v>5</v>
      </c>
      <c r="T134" s="4">
        <v>5</v>
      </c>
      <c r="U134" s="5" t="s">
        <v>1791</v>
      </c>
      <c r="V134" s="5" t="s">
        <v>1791</v>
      </c>
      <c r="W134" s="5" t="s">
        <v>148</v>
      </c>
      <c r="X134" s="5" t="s">
        <v>148</v>
      </c>
      <c r="Y134" s="4">
        <v>262</v>
      </c>
      <c r="Z134" s="4">
        <v>211</v>
      </c>
      <c r="AA134" s="4">
        <v>212</v>
      </c>
      <c r="AB134" s="4">
        <v>1</v>
      </c>
      <c r="AC134" s="4">
        <v>1</v>
      </c>
      <c r="AD134" s="4">
        <v>6</v>
      </c>
      <c r="AE134" s="4">
        <v>6</v>
      </c>
      <c r="AF134" s="4">
        <v>0</v>
      </c>
      <c r="AG134" s="4">
        <v>0</v>
      </c>
      <c r="AH134" s="4">
        <v>4</v>
      </c>
      <c r="AI134" s="4">
        <v>4</v>
      </c>
      <c r="AJ134" s="4">
        <v>4</v>
      </c>
      <c r="AK134" s="4">
        <v>4</v>
      </c>
      <c r="AL134" s="4">
        <v>0</v>
      </c>
      <c r="AM134" s="4">
        <v>0</v>
      </c>
      <c r="AN134" s="4">
        <v>0</v>
      </c>
      <c r="AO134" s="4">
        <v>0</v>
      </c>
      <c r="AP134" s="3" t="s">
        <v>59</v>
      </c>
      <c r="AQ134" s="3" t="s">
        <v>70</v>
      </c>
      <c r="AR134" s="6" t="str">
        <f>HYPERLINK("http://catalog.hathitrust.org/Record/000810630","HathiTrust Record")</f>
        <v>HathiTrust Record</v>
      </c>
      <c r="AS134" s="6" t="str">
        <f>HYPERLINK("https://creighton-primo.hosted.exlibrisgroup.com/primo-explore/search?tab=default_tab&amp;search_scope=EVERYTHING&amp;vid=01CRU&amp;lang=en_US&amp;offset=0&amp;query=any,contains,991000941639702656","Catalog Record")</f>
        <v>Catalog Record</v>
      </c>
      <c r="AT134" s="6" t="str">
        <f>HYPERLINK("http://www.worldcat.org/oclc/14413150","WorldCat Record")</f>
        <v>WorldCat Record</v>
      </c>
      <c r="AU134" s="3" t="s">
        <v>1792</v>
      </c>
      <c r="AV134" s="3" t="s">
        <v>1793</v>
      </c>
      <c r="AW134" s="3" t="s">
        <v>1794</v>
      </c>
      <c r="AX134" s="3" t="s">
        <v>1794</v>
      </c>
      <c r="AY134" s="3" t="s">
        <v>1795</v>
      </c>
      <c r="AZ134" s="3" t="s">
        <v>75</v>
      </c>
      <c r="BB134" s="3" t="s">
        <v>1796</v>
      </c>
      <c r="BC134" s="3" t="s">
        <v>1797</v>
      </c>
      <c r="BD134" s="3" t="s">
        <v>1798</v>
      </c>
    </row>
    <row r="135" spans="1:56" ht="48" customHeight="1" x14ac:dyDescent="0.25">
      <c r="A135" s="7" t="s">
        <v>59</v>
      </c>
      <c r="B135" s="2" t="s">
        <v>1799</v>
      </c>
      <c r="C135" s="2" t="s">
        <v>1800</v>
      </c>
      <c r="D135" s="2" t="s">
        <v>1801</v>
      </c>
      <c r="F135" s="3" t="s">
        <v>59</v>
      </c>
      <c r="G135" s="3" t="s">
        <v>60</v>
      </c>
      <c r="H135" s="3" t="s">
        <v>59</v>
      </c>
      <c r="I135" s="3" t="s">
        <v>59</v>
      </c>
      <c r="J135" s="3" t="s">
        <v>61</v>
      </c>
      <c r="L135" s="2" t="s">
        <v>1802</v>
      </c>
      <c r="M135" s="3" t="s">
        <v>248</v>
      </c>
      <c r="O135" s="3" t="s">
        <v>64</v>
      </c>
      <c r="P135" s="3" t="s">
        <v>130</v>
      </c>
      <c r="R135" s="3" t="s">
        <v>67</v>
      </c>
      <c r="S135" s="4">
        <v>1</v>
      </c>
      <c r="T135" s="4">
        <v>1</v>
      </c>
      <c r="U135" s="5" t="s">
        <v>1803</v>
      </c>
      <c r="V135" s="5" t="s">
        <v>1803</v>
      </c>
      <c r="W135" s="5" t="s">
        <v>1804</v>
      </c>
      <c r="X135" s="5" t="s">
        <v>1804</v>
      </c>
      <c r="Y135" s="4">
        <v>241</v>
      </c>
      <c r="Z135" s="4">
        <v>185</v>
      </c>
      <c r="AA135" s="4">
        <v>201</v>
      </c>
      <c r="AB135" s="4">
        <v>2</v>
      </c>
      <c r="AC135" s="4">
        <v>2</v>
      </c>
      <c r="AD135" s="4">
        <v>6</v>
      </c>
      <c r="AE135" s="4">
        <v>6</v>
      </c>
      <c r="AF135" s="4">
        <v>0</v>
      </c>
      <c r="AG135" s="4">
        <v>0</v>
      </c>
      <c r="AH135" s="4">
        <v>1</v>
      </c>
      <c r="AI135" s="4">
        <v>1</v>
      </c>
      <c r="AJ135" s="4">
        <v>5</v>
      </c>
      <c r="AK135" s="4">
        <v>5</v>
      </c>
      <c r="AL135" s="4">
        <v>1</v>
      </c>
      <c r="AM135" s="4">
        <v>1</v>
      </c>
      <c r="AN135" s="4">
        <v>0</v>
      </c>
      <c r="AO135" s="4">
        <v>0</v>
      </c>
      <c r="AP135" s="3" t="s">
        <v>59</v>
      </c>
      <c r="AQ135" s="3" t="s">
        <v>70</v>
      </c>
      <c r="AR135" s="6" t="str">
        <f>HYPERLINK("http://catalog.hathitrust.org/Record/000104999","HathiTrust Record")</f>
        <v>HathiTrust Record</v>
      </c>
      <c r="AS135" s="6" t="str">
        <f>HYPERLINK("https://creighton-primo.hosted.exlibrisgroup.com/primo-explore/search?tab=default_tab&amp;search_scope=EVERYTHING&amp;vid=01CRU&amp;lang=en_US&amp;offset=0&amp;query=any,contains,991005016419702656","Catalog Record")</f>
        <v>Catalog Record</v>
      </c>
      <c r="AT135" s="6" t="str">
        <f>HYPERLINK("http://www.worldcat.org/oclc/6626549","WorldCat Record")</f>
        <v>WorldCat Record</v>
      </c>
      <c r="AU135" s="3" t="s">
        <v>1805</v>
      </c>
      <c r="AV135" s="3" t="s">
        <v>1806</v>
      </c>
      <c r="AW135" s="3" t="s">
        <v>1807</v>
      </c>
      <c r="AX135" s="3" t="s">
        <v>1807</v>
      </c>
      <c r="AY135" s="3" t="s">
        <v>1808</v>
      </c>
      <c r="AZ135" s="3" t="s">
        <v>75</v>
      </c>
      <c r="BB135" s="3" t="s">
        <v>1809</v>
      </c>
      <c r="BC135" s="3" t="s">
        <v>1810</v>
      </c>
      <c r="BD135" s="3" t="s">
        <v>1811</v>
      </c>
    </row>
    <row r="136" spans="1:56" ht="48" customHeight="1" x14ac:dyDescent="0.25">
      <c r="A136" s="7" t="s">
        <v>59</v>
      </c>
      <c r="B136" s="2" t="s">
        <v>1812</v>
      </c>
      <c r="C136" s="2" t="s">
        <v>1813</v>
      </c>
      <c r="D136" s="2" t="s">
        <v>1814</v>
      </c>
      <c r="F136" s="3" t="s">
        <v>59</v>
      </c>
      <c r="G136" s="3" t="s">
        <v>60</v>
      </c>
      <c r="H136" s="3" t="s">
        <v>59</v>
      </c>
      <c r="I136" s="3" t="s">
        <v>59</v>
      </c>
      <c r="J136" s="3" t="s">
        <v>61</v>
      </c>
      <c r="K136" s="2" t="s">
        <v>1815</v>
      </c>
      <c r="L136" s="2" t="s">
        <v>1816</v>
      </c>
      <c r="M136" s="3" t="s">
        <v>1817</v>
      </c>
      <c r="O136" s="3" t="s">
        <v>64</v>
      </c>
      <c r="P136" s="3" t="s">
        <v>264</v>
      </c>
      <c r="R136" s="3" t="s">
        <v>67</v>
      </c>
      <c r="S136" s="4">
        <v>13</v>
      </c>
      <c r="T136" s="4">
        <v>13</v>
      </c>
      <c r="U136" s="5" t="s">
        <v>1818</v>
      </c>
      <c r="V136" s="5" t="s">
        <v>1818</v>
      </c>
      <c r="W136" s="5" t="s">
        <v>1819</v>
      </c>
      <c r="X136" s="5" t="s">
        <v>1819</v>
      </c>
      <c r="Y136" s="4">
        <v>467</v>
      </c>
      <c r="Z136" s="4">
        <v>383</v>
      </c>
      <c r="AA136" s="4">
        <v>482</v>
      </c>
      <c r="AB136" s="4">
        <v>3</v>
      </c>
      <c r="AC136" s="4">
        <v>3</v>
      </c>
      <c r="AD136" s="4">
        <v>15</v>
      </c>
      <c r="AE136" s="4">
        <v>17</v>
      </c>
      <c r="AF136" s="4">
        <v>5</v>
      </c>
      <c r="AG136" s="4">
        <v>7</v>
      </c>
      <c r="AH136" s="4">
        <v>6</v>
      </c>
      <c r="AI136" s="4">
        <v>6</v>
      </c>
      <c r="AJ136" s="4">
        <v>5</v>
      </c>
      <c r="AK136" s="4">
        <v>6</v>
      </c>
      <c r="AL136" s="4">
        <v>2</v>
      </c>
      <c r="AM136" s="4">
        <v>2</v>
      </c>
      <c r="AN136" s="4">
        <v>0</v>
      </c>
      <c r="AO136" s="4">
        <v>0</v>
      </c>
      <c r="AP136" s="3" t="s">
        <v>59</v>
      </c>
      <c r="AQ136" s="3" t="s">
        <v>59</v>
      </c>
      <c r="AS136" s="6" t="str">
        <f>HYPERLINK("https://creighton-primo.hosted.exlibrisgroup.com/primo-explore/search?tab=default_tab&amp;search_scope=EVERYTHING&amp;vid=01CRU&amp;lang=en_US&amp;offset=0&amp;query=any,contains,991004275969702656","Catalog Record")</f>
        <v>Catalog Record</v>
      </c>
      <c r="AT136" s="6" t="str">
        <f>HYPERLINK("http://www.worldcat.org/oclc/51804780","WorldCat Record")</f>
        <v>WorldCat Record</v>
      </c>
      <c r="AU136" s="3" t="s">
        <v>1820</v>
      </c>
      <c r="AV136" s="3" t="s">
        <v>1821</v>
      </c>
      <c r="AW136" s="3" t="s">
        <v>1822</v>
      </c>
      <c r="AX136" s="3" t="s">
        <v>1822</v>
      </c>
      <c r="AY136" s="3" t="s">
        <v>1823</v>
      </c>
      <c r="AZ136" s="3" t="s">
        <v>75</v>
      </c>
      <c r="BB136" s="3" t="s">
        <v>1824</v>
      </c>
      <c r="BC136" s="3" t="s">
        <v>1825</v>
      </c>
      <c r="BD136" s="3" t="s">
        <v>1826</v>
      </c>
    </row>
    <row r="137" spans="1:56" ht="48" customHeight="1" x14ac:dyDescent="0.25">
      <c r="A137" s="7" t="s">
        <v>59</v>
      </c>
      <c r="B137" s="2" t="s">
        <v>1827</v>
      </c>
      <c r="C137" s="2" t="s">
        <v>1828</v>
      </c>
      <c r="D137" s="2" t="s">
        <v>1829</v>
      </c>
      <c r="F137" s="3" t="s">
        <v>59</v>
      </c>
      <c r="G137" s="3" t="s">
        <v>60</v>
      </c>
      <c r="H137" s="3" t="s">
        <v>59</v>
      </c>
      <c r="I137" s="3" t="s">
        <v>59</v>
      </c>
      <c r="J137" s="3" t="s">
        <v>61</v>
      </c>
      <c r="L137" s="2" t="s">
        <v>1830</v>
      </c>
      <c r="M137" s="3" t="s">
        <v>1831</v>
      </c>
      <c r="O137" s="3" t="s">
        <v>64</v>
      </c>
      <c r="P137" s="3" t="s">
        <v>674</v>
      </c>
      <c r="R137" s="3" t="s">
        <v>67</v>
      </c>
      <c r="S137" s="4">
        <v>1</v>
      </c>
      <c r="T137" s="4">
        <v>1</v>
      </c>
      <c r="U137" s="5" t="s">
        <v>1832</v>
      </c>
      <c r="V137" s="5" t="s">
        <v>1832</v>
      </c>
      <c r="W137" s="5" t="s">
        <v>1833</v>
      </c>
      <c r="X137" s="5" t="s">
        <v>1833</v>
      </c>
      <c r="Y137" s="4">
        <v>223</v>
      </c>
      <c r="Z137" s="4">
        <v>185</v>
      </c>
      <c r="AA137" s="4">
        <v>187</v>
      </c>
      <c r="AB137" s="4">
        <v>3</v>
      </c>
      <c r="AC137" s="4">
        <v>3</v>
      </c>
      <c r="AD137" s="4">
        <v>6</v>
      </c>
      <c r="AE137" s="4">
        <v>6</v>
      </c>
      <c r="AF137" s="4">
        <v>1</v>
      </c>
      <c r="AG137" s="4">
        <v>1</v>
      </c>
      <c r="AH137" s="4">
        <v>2</v>
      </c>
      <c r="AI137" s="4">
        <v>2</v>
      </c>
      <c r="AJ137" s="4">
        <v>2</v>
      </c>
      <c r="AK137" s="4">
        <v>2</v>
      </c>
      <c r="AL137" s="4">
        <v>2</v>
      </c>
      <c r="AM137" s="4">
        <v>2</v>
      </c>
      <c r="AN137" s="4">
        <v>0</v>
      </c>
      <c r="AO137" s="4">
        <v>0</v>
      </c>
      <c r="AP137" s="3" t="s">
        <v>59</v>
      </c>
      <c r="AQ137" s="3" t="s">
        <v>70</v>
      </c>
      <c r="AR137" s="6" t="str">
        <f>HYPERLINK("http://catalog.hathitrust.org/Record/000015468","HathiTrust Record")</f>
        <v>HathiTrust Record</v>
      </c>
      <c r="AS137" s="6" t="str">
        <f>HYPERLINK("https://creighton-primo.hosted.exlibrisgroup.com/primo-explore/search?tab=default_tab&amp;search_scope=EVERYTHING&amp;vid=01CRU&amp;lang=en_US&amp;offset=0&amp;query=any,contains,991003419339702656","Catalog Record")</f>
        <v>Catalog Record</v>
      </c>
      <c r="AT137" s="6" t="str">
        <f>HYPERLINK("http://www.worldcat.org/oclc/960225","WorldCat Record")</f>
        <v>WorldCat Record</v>
      </c>
      <c r="AU137" s="3" t="s">
        <v>1834</v>
      </c>
      <c r="AV137" s="3" t="s">
        <v>1835</v>
      </c>
      <c r="AW137" s="3" t="s">
        <v>1836</v>
      </c>
      <c r="AX137" s="3" t="s">
        <v>1836</v>
      </c>
      <c r="AY137" s="3" t="s">
        <v>1837</v>
      </c>
      <c r="AZ137" s="3" t="s">
        <v>75</v>
      </c>
      <c r="BB137" s="3" t="s">
        <v>1838</v>
      </c>
      <c r="BC137" s="3" t="s">
        <v>1839</v>
      </c>
      <c r="BD137" s="3" t="s">
        <v>1840</v>
      </c>
    </row>
    <row r="138" spans="1:56" ht="48" customHeight="1" x14ac:dyDescent="0.25">
      <c r="A138" s="7" t="s">
        <v>59</v>
      </c>
      <c r="B138" s="2" t="s">
        <v>1841</v>
      </c>
      <c r="C138" s="2" t="s">
        <v>1842</v>
      </c>
      <c r="D138" s="2" t="s">
        <v>1843</v>
      </c>
      <c r="F138" s="3" t="s">
        <v>59</v>
      </c>
      <c r="G138" s="3" t="s">
        <v>60</v>
      </c>
      <c r="H138" s="3" t="s">
        <v>59</v>
      </c>
      <c r="I138" s="3" t="s">
        <v>59</v>
      </c>
      <c r="J138" s="3" t="s">
        <v>61</v>
      </c>
      <c r="K138" s="2" t="s">
        <v>1844</v>
      </c>
      <c r="L138" s="2" t="s">
        <v>1845</v>
      </c>
      <c r="M138" s="3" t="s">
        <v>234</v>
      </c>
      <c r="O138" s="3" t="s">
        <v>64</v>
      </c>
      <c r="P138" s="3" t="s">
        <v>130</v>
      </c>
      <c r="Q138" s="2" t="s">
        <v>1846</v>
      </c>
      <c r="R138" s="3" t="s">
        <v>67</v>
      </c>
      <c r="S138" s="4">
        <v>1</v>
      </c>
      <c r="T138" s="4">
        <v>1</v>
      </c>
      <c r="U138" s="5" t="s">
        <v>1832</v>
      </c>
      <c r="V138" s="5" t="s">
        <v>1832</v>
      </c>
      <c r="W138" s="5" t="s">
        <v>1847</v>
      </c>
      <c r="X138" s="5" t="s">
        <v>1847</v>
      </c>
      <c r="Y138" s="4">
        <v>168</v>
      </c>
      <c r="Z138" s="4">
        <v>133</v>
      </c>
      <c r="AA138" s="4">
        <v>135</v>
      </c>
      <c r="AB138" s="4">
        <v>1</v>
      </c>
      <c r="AC138" s="4">
        <v>1</v>
      </c>
      <c r="AD138" s="4">
        <v>3</v>
      </c>
      <c r="AE138" s="4">
        <v>3</v>
      </c>
      <c r="AF138" s="4">
        <v>1</v>
      </c>
      <c r="AG138" s="4">
        <v>1</v>
      </c>
      <c r="AH138" s="4">
        <v>1</v>
      </c>
      <c r="AI138" s="4">
        <v>1</v>
      </c>
      <c r="AJ138" s="4">
        <v>3</v>
      </c>
      <c r="AK138" s="4">
        <v>3</v>
      </c>
      <c r="AL138" s="4">
        <v>0</v>
      </c>
      <c r="AM138" s="4">
        <v>0</v>
      </c>
      <c r="AN138" s="4">
        <v>0</v>
      </c>
      <c r="AO138" s="4">
        <v>0</v>
      </c>
      <c r="AP138" s="3" t="s">
        <v>59</v>
      </c>
      <c r="AQ138" s="3" t="s">
        <v>70</v>
      </c>
      <c r="AR138" s="6" t="str">
        <f>HYPERLINK("http://catalog.hathitrust.org/Record/001097804","HathiTrust Record")</f>
        <v>HathiTrust Record</v>
      </c>
      <c r="AS138" s="6" t="str">
        <f>HYPERLINK("https://creighton-primo.hosted.exlibrisgroup.com/primo-explore/search?tab=default_tab&amp;search_scope=EVERYTHING&amp;vid=01CRU&amp;lang=en_US&amp;offset=0&amp;query=any,contains,991001432069702656","Catalog Record")</f>
        <v>Catalog Record</v>
      </c>
      <c r="AT138" s="6" t="str">
        <f>HYPERLINK("http://www.worldcat.org/oclc/19122956","WorldCat Record")</f>
        <v>WorldCat Record</v>
      </c>
      <c r="AU138" s="3" t="s">
        <v>1848</v>
      </c>
      <c r="AV138" s="3" t="s">
        <v>1849</v>
      </c>
      <c r="AW138" s="3" t="s">
        <v>1850</v>
      </c>
      <c r="AX138" s="3" t="s">
        <v>1850</v>
      </c>
      <c r="AY138" s="3" t="s">
        <v>1851</v>
      </c>
      <c r="AZ138" s="3" t="s">
        <v>75</v>
      </c>
      <c r="BB138" s="3" t="s">
        <v>1852</v>
      </c>
      <c r="BC138" s="3" t="s">
        <v>1853</v>
      </c>
      <c r="BD138" s="3" t="s">
        <v>1854</v>
      </c>
    </row>
    <row r="139" spans="1:56" ht="48" customHeight="1" x14ac:dyDescent="0.25">
      <c r="A139" s="7" t="s">
        <v>59</v>
      </c>
      <c r="B139" s="2" t="s">
        <v>1855</v>
      </c>
      <c r="C139" s="2" t="s">
        <v>1856</v>
      </c>
      <c r="D139" s="2" t="s">
        <v>1857</v>
      </c>
      <c r="E139" s="3" t="s">
        <v>512</v>
      </c>
      <c r="F139" s="3" t="s">
        <v>70</v>
      </c>
      <c r="G139" s="3" t="s">
        <v>60</v>
      </c>
      <c r="H139" s="3" t="s">
        <v>59</v>
      </c>
      <c r="I139" s="3" t="s">
        <v>59</v>
      </c>
      <c r="J139" s="3" t="s">
        <v>61</v>
      </c>
      <c r="K139" s="2" t="s">
        <v>1858</v>
      </c>
      <c r="L139" s="2" t="s">
        <v>1859</v>
      </c>
      <c r="M139" s="3" t="s">
        <v>872</v>
      </c>
      <c r="O139" s="3" t="s">
        <v>64</v>
      </c>
      <c r="P139" s="3" t="s">
        <v>130</v>
      </c>
      <c r="R139" s="3" t="s">
        <v>67</v>
      </c>
      <c r="S139" s="4">
        <v>2</v>
      </c>
      <c r="T139" s="4">
        <v>2</v>
      </c>
      <c r="U139" s="5" t="s">
        <v>1860</v>
      </c>
      <c r="V139" s="5" t="s">
        <v>1860</v>
      </c>
      <c r="W139" s="5" t="s">
        <v>501</v>
      </c>
      <c r="X139" s="5" t="s">
        <v>501</v>
      </c>
      <c r="Y139" s="4">
        <v>492</v>
      </c>
      <c r="Z139" s="4">
        <v>392</v>
      </c>
      <c r="AA139" s="4">
        <v>429</v>
      </c>
      <c r="AB139" s="4">
        <v>6</v>
      </c>
      <c r="AC139" s="4">
        <v>6</v>
      </c>
      <c r="AD139" s="4">
        <v>16</v>
      </c>
      <c r="AE139" s="4">
        <v>18</v>
      </c>
      <c r="AF139" s="4">
        <v>2</v>
      </c>
      <c r="AG139" s="4">
        <v>3</v>
      </c>
      <c r="AH139" s="4">
        <v>4</v>
      </c>
      <c r="AI139" s="4">
        <v>5</v>
      </c>
      <c r="AJ139" s="4">
        <v>9</v>
      </c>
      <c r="AK139" s="4">
        <v>9</v>
      </c>
      <c r="AL139" s="4">
        <v>4</v>
      </c>
      <c r="AM139" s="4">
        <v>4</v>
      </c>
      <c r="AN139" s="4">
        <v>0</v>
      </c>
      <c r="AO139" s="4">
        <v>0</v>
      </c>
      <c r="AP139" s="3" t="s">
        <v>59</v>
      </c>
      <c r="AQ139" s="3" t="s">
        <v>70</v>
      </c>
      <c r="AR139" s="6" t="str">
        <f>HYPERLINK("http://catalog.hathitrust.org/Record/001554294","HathiTrust Record")</f>
        <v>HathiTrust Record</v>
      </c>
      <c r="AS139" s="6" t="str">
        <f>HYPERLINK("https://creighton-primo.hosted.exlibrisgroup.com/primo-explore/search?tab=default_tab&amp;search_scope=EVERYTHING&amp;vid=01CRU&amp;lang=en_US&amp;offset=0&amp;query=any,contains,991005265139702656","Catalog Record")</f>
        <v>Catalog Record</v>
      </c>
      <c r="AT139" s="6" t="str">
        <f>HYPERLINK("http://www.worldcat.org/oclc/287277","WorldCat Record")</f>
        <v>WorldCat Record</v>
      </c>
      <c r="AU139" s="3" t="s">
        <v>1861</v>
      </c>
      <c r="AV139" s="3" t="s">
        <v>1862</v>
      </c>
      <c r="AW139" s="3" t="s">
        <v>1863</v>
      </c>
      <c r="AX139" s="3" t="s">
        <v>1863</v>
      </c>
      <c r="AY139" s="3" t="s">
        <v>1864</v>
      </c>
      <c r="AZ139" s="3" t="s">
        <v>75</v>
      </c>
      <c r="BC139" s="3" t="s">
        <v>1865</v>
      </c>
      <c r="BD139" s="3" t="s">
        <v>1866</v>
      </c>
    </row>
    <row r="140" spans="1:56" ht="48" customHeight="1" x14ac:dyDescent="0.25">
      <c r="A140" s="7" t="s">
        <v>59</v>
      </c>
      <c r="B140" s="2" t="s">
        <v>1855</v>
      </c>
      <c r="C140" s="2" t="s">
        <v>1856</v>
      </c>
      <c r="D140" s="2" t="s">
        <v>1857</v>
      </c>
      <c r="E140" s="3" t="s">
        <v>159</v>
      </c>
      <c r="F140" s="3" t="s">
        <v>70</v>
      </c>
      <c r="G140" s="3" t="s">
        <v>60</v>
      </c>
      <c r="H140" s="3" t="s">
        <v>59</v>
      </c>
      <c r="I140" s="3" t="s">
        <v>59</v>
      </c>
      <c r="J140" s="3" t="s">
        <v>61</v>
      </c>
      <c r="K140" s="2" t="s">
        <v>1858</v>
      </c>
      <c r="L140" s="2" t="s">
        <v>1859</v>
      </c>
      <c r="M140" s="3" t="s">
        <v>872</v>
      </c>
      <c r="O140" s="3" t="s">
        <v>64</v>
      </c>
      <c r="P140" s="3" t="s">
        <v>130</v>
      </c>
      <c r="R140" s="3" t="s">
        <v>67</v>
      </c>
      <c r="S140" s="4">
        <v>0</v>
      </c>
      <c r="T140" s="4">
        <v>2</v>
      </c>
      <c r="V140" s="5" t="s">
        <v>1860</v>
      </c>
      <c r="W140" s="5" t="s">
        <v>501</v>
      </c>
      <c r="X140" s="5" t="s">
        <v>501</v>
      </c>
      <c r="Y140" s="4">
        <v>492</v>
      </c>
      <c r="Z140" s="4">
        <v>392</v>
      </c>
      <c r="AA140" s="4">
        <v>429</v>
      </c>
      <c r="AB140" s="4">
        <v>6</v>
      </c>
      <c r="AC140" s="4">
        <v>6</v>
      </c>
      <c r="AD140" s="4">
        <v>16</v>
      </c>
      <c r="AE140" s="4">
        <v>18</v>
      </c>
      <c r="AF140" s="4">
        <v>2</v>
      </c>
      <c r="AG140" s="4">
        <v>3</v>
      </c>
      <c r="AH140" s="4">
        <v>4</v>
      </c>
      <c r="AI140" s="4">
        <v>5</v>
      </c>
      <c r="AJ140" s="4">
        <v>9</v>
      </c>
      <c r="AK140" s="4">
        <v>9</v>
      </c>
      <c r="AL140" s="4">
        <v>4</v>
      </c>
      <c r="AM140" s="4">
        <v>4</v>
      </c>
      <c r="AN140" s="4">
        <v>0</v>
      </c>
      <c r="AO140" s="4">
        <v>0</v>
      </c>
      <c r="AP140" s="3" t="s">
        <v>59</v>
      </c>
      <c r="AQ140" s="3" t="s">
        <v>70</v>
      </c>
      <c r="AR140" s="6" t="str">
        <f>HYPERLINK("http://catalog.hathitrust.org/Record/001554294","HathiTrust Record")</f>
        <v>HathiTrust Record</v>
      </c>
      <c r="AS140" s="6" t="str">
        <f>HYPERLINK("https://creighton-primo.hosted.exlibrisgroup.com/primo-explore/search?tab=default_tab&amp;search_scope=EVERYTHING&amp;vid=01CRU&amp;lang=en_US&amp;offset=0&amp;query=any,contains,991005265139702656","Catalog Record")</f>
        <v>Catalog Record</v>
      </c>
      <c r="AT140" s="6" t="str">
        <f>HYPERLINK("http://www.worldcat.org/oclc/287277","WorldCat Record")</f>
        <v>WorldCat Record</v>
      </c>
      <c r="AU140" s="3" t="s">
        <v>1861</v>
      </c>
      <c r="AV140" s="3" t="s">
        <v>1862</v>
      </c>
      <c r="AW140" s="3" t="s">
        <v>1863</v>
      </c>
      <c r="AX140" s="3" t="s">
        <v>1863</v>
      </c>
      <c r="AY140" s="3" t="s">
        <v>1864</v>
      </c>
      <c r="AZ140" s="3" t="s">
        <v>75</v>
      </c>
      <c r="BC140" s="3" t="s">
        <v>1867</v>
      </c>
      <c r="BD140" s="3" t="s">
        <v>1868</v>
      </c>
    </row>
    <row r="141" spans="1:56" ht="48" customHeight="1" x14ac:dyDescent="0.25">
      <c r="A141" s="7" t="s">
        <v>59</v>
      </c>
      <c r="B141" s="2" t="s">
        <v>1869</v>
      </c>
      <c r="C141" s="2" t="s">
        <v>1870</v>
      </c>
      <c r="D141" s="2" t="s">
        <v>1871</v>
      </c>
      <c r="F141" s="3" t="s">
        <v>59</v>
      </c>
      <c r="G141" s="3" t="s">
        <v>60</v>
      </c>
      <c r="H141" s="3" t="s">
        <v>59</v>
      </c>
      <c r="I141" s="3" t="s">
        <v>59</v>
      </c>
      <c r="J141" s="3" t="s">
        <v>61</v>
      </c>
      <c r="L141" s="2" t="s">
        <v>1872</v>
      </c>
      <c r="M141" s="3" t="s">
        <v>485</v>
      </c>
      <c r="O141" s="3" t="s">
        <v>64</v>
      </c>
      <c r="P141" s="3" t="s">
        <v>84</v>
      </c>
      <c r="R141" s="3" t="s">
        <v>67</v>
      </c>
      <c r="S141" s="4">
        <v>1</v>
      </c>
      <c r="T141" s="4">
        <v>1</v>
      </c>
      <c r="U141" s="5" t="s">
        <v>1873</v>
      </c>
      <c r="V141" s="5" t="s">
        <v>1873</v>
      </c>
      <c r="W141" s="5" t="s">
        <v>148</v>
      </c>
      <c r="X141" s="5" t="s">
        <v>148</v>
      </c>
      <c r="Y141" s="4">
        <v>188</v>
      </c>
      <c r="Z141" s="4">
        <v>131</v>
      </c>
      <c r="AA141" s="4">
        <v>132</v>
      </c>
      <c r="AB141" s="4">
        <v>2</v>
      </c>
      <c r="AC141" s="4">
        <v>2</v>
      </c>
      <c r="AD141" s="4">
        <v>1</v>
      </c>
      <c r="AE141" s="4">
        <v>1</v>
      </c>
      <c r="AF141" s="4">
        <v>0</v>
      </c>
      <c r="AG141" s="4">
        <v>0</v>
      </c>
      <c r="AH141" s="4">
        <v>0</v>
      </c>
      <c r="AI141" s="4">
        <v>0</v>
      </c>
      <c r="AJ141" s="4">
        <v>0</v>
      </c>
      <c r="AK141" s="4">
        <v>0</v>
      </c>
      <c r="AL141" s="4">
        <v>1</v>
      </c>
      <c r="AM141" s="4">
        <v>1</v>
      </c>
      <c r="AN141" s="4">
        <v>0</v>
      </c>
      <c r="AO141" s="4">
        <v>0</v>
      </c>
      <c r="AP141" s="3" t="s">
        <v>59</v>
      </c>
      <c r="AQ141" s="3" t="s">
        <v>70</v>
      </c>
      <c r="AR141" s="6" t="str">
        <f>HYPERLINK("http://catalog.hathitrust.org/Record/009108176","HathiTrust Record")</f>
        <v>HathiTrust Record</v>
      </c>
      <c r="AS141" s="6" t="str">
        <f>HYPERLINK("https://creighton-primo.hosted.exlibrisgroup.com/primo-explore/search?tab=default_tab&amp;search_scope=EVERYTHING&amp;vid=01CRU&amp;lang=en_US&amp;offset=0&amp;query=any,contains,991004806359702656","Catalog Record")</f>
        <v>Catalog Record</v>
      </c>
      <c r="AT141" s="6" t="str">
        <f>HYPERLINK("http://www.worldcat.org/oclc/5251248","WorldCat Record")</f>
        <v>WorldCat Record</v>
      </c>
      <c r="AU141" s="3" t="s">
        <v>1874</v>
      </c>
      <c r="AV141" s="3" t="s">
        <v>1875</v>
      </c>
      <c r="AW141" s="3" t="s">
        <v>1876</v>
      </c>
      <c r="AX141" s="3" t="s">
        <v>1876</v>
      </c>
      <c r="AY141" s="3" t="s">
        <v>1877</v>
      </c>
      <c r="AZ141" s="3" t="s">
        <v>75</v>
      </c>
      <c r="BB141" s="3" t="s">
        <v>1878</v>
      </c>
      <c r="BC141" s="3" t="s">
        <v>1879</v>
      </c>
      <c r="BD141" s="3" t="s">
        <v>1880</v>
      </c>
    </row>
    <row r="142" spans="1:56" ht="48" customHeight="1" x14ac:dyDescent="0.25">
      <c r="A142" s="7" t="s">
        <v>59</v>
      </c>
      <c r="B142" s="2" t="s">
        <v>1881</v>
      </c>
      <c r="C142" s="2" t="s">
        <v>1882</v>
      </c>
      <c r="D142" s="2" t="s">
        <v>1883</v>
      </c>
      <c r="F142" s="3" t="s">
        <v>59</v>
      </c>
      <c r="G142" s="3" t="s">
        <v>60</v>
      </c>
      <c r="H142" s="3" t="s">
        <v>59</v>
      </c>
      <c r="I142" s="3" t="s">
        <v>59</v>
      </c>
      <c r="J142" s="3" t="s">
        <v>61</v>
      </c>
      <c r="K142" s="2" t="s">
        <v>1884</v>
      </c>
      <c r="L142" s="2" t="s">
        <v>1885</v>
      </c>
      <c r="M142" s="3" t="s">
        <v>190</v>
      </c>
      <c r="N142" s="2" t="s">
        <v>926</v>
      </c>
      <c r="O142" s="3" t="s">
        <v>64</v>
      </c>
      <c r="P142" s="3" t="s">
        <v>130</v>
      </c>
      <c r="Q142" s="2" t="s">
        <v>1886</v>
      </c>
      <c r="R142" s="3" t="s">
        <v>67</v>
      </c>
      <c r="S142" s="4">
        <v>6</v>
      </c>
      <c r="T142" s="4">
        <v>6</v>
      </c>
      <c r="U142" s="5" t="s">
        <v>1887</v>
      </c>
      <c r="V142" s="5" t="s">
        <v>1887</v>
      </c>
      <c r="W142" s="5" t="s">
        <v>1888</v>
      </c>
      <c r="X142" s="5" t="s">
        <v>1888</v>
      </c>
      <c r="Y142" s="4">
        <v>395</v>
      </c>
      <c r="Z142" s="4">
        <v>226</v>
      </c>
      <c r="AA142" s="4">
        <v>653</v>
      </c>
      <c r="AB142" s="4">
        <v>1</v>
      </c>
      <c r="AC142" s="4">
        <v>4</v>
      </c>
      <c r="AD142" s="4">
        <v>6</v>
      </c>
      <c r="AE142" s="4">
        <v>23</v>
      </c>
      <c r="AF142" s="4">
        <v>4</v>
      </c>
      <c r="AG142" s="4">
        <v>10</v>
      </c>
      <c r="AH142" s="4">
        <v>1</v>
      </c>
      <c r="AI142" s="4">
        <v>5</v>
      </c>
      <c r="AJ142" s="4">
        <v>2</v>
      </c>
      <c r="AK142" s="4">
        <v>10</v>
      </c>
      <c r="AL142" s="4">
        <v>0</v>
      </c>
      <c r="AM142" s="4">
        <v>3</v>
      </c>
      <c r="AN142" s="4">
        <v>0</v>
      </c>
      <c r="AO142" s="4">
        <v>0</v>
      </c>
      <c r="AP142" s="3" t="s">
        <v>59</v>
      </c>
      <c r="AQ142" s="3" t="s">
        <v>70</v>
      </c>
      <c r="AR142" s="6" t="str">
        <f>HYPERLINK("http://catalog.hathitrust.org/Record/000825353","HathiTrust Record")</f>
        <v>HathiTrust Record</v>
      </c>
      <c r="AS142" s="6" t="str">
        <f>HYPERLINK("https://creighton-primo.hosted.exlibrisgroup.com/primo-explore/search?tab=default_tab&amp;search_scope=EVERYTHING&amp;vid=01CRU&amp;lang=en_US&amp;offset=0&amp;query=any,contains,991000702889702656","Catalog Record")</f>
        <v>Catalog Record</v>
      </c>
      <c r="AT142" s="6" t="str">
        <f>HYPERLINK("http://www.worldcat.org/oclc/12552853","WorldCat Record")</f>
        <v>WorldCat Record</v>
      </c>
      <c r="AU142" s="3" t="s">
        <v>1889</v>
      </c>
      <c r="AV142" s="3" t="s">
        <v>1890</v>
      </c>
      <c r="AW142" s="3" t="s">
        <v>1891</v>
      </c>
      <c r="AX142" s="3" t="s">
        <v>1891</v>
      </c>
      <c r="AY142" s="3" t="s">
        <v>1892</v>
      </c>
      <c r="AZ142" s="3" t="s">
        <v>75</v>
      </c>
      <c r="BB142" s="3" t="s">
        <v>1893</v>
      </c>
      <c r="BC142" s="3" t="s">
        <v>1894</v>
      </c>
      <c r="BD142" s="3" t="s">
        <v>1895</v>
      </c>
    </row>
    <row r="143" spans="1:56" ht="48" customHeight="1" x14ac:dyDescent="0.25">
      <c r="A143" s="7" t="s">
        <v>59</v>
      </c>
      <c r="B143" s="2" t="s">
        <v>1896</v>
      </c>
      <c r="C143" s="2" t="s">
        <v>1897</v>
      </c>
      <c r="D143" s="2" t="s">
        <v>1898</v>
      </c>
      <c r="F143" s="3" t="s">
        <v>59</v>
      </c>
      <c r="G143" s="3" t="s">
        <v>60</v>
      </c>
      <c r="H143" s="3" t="s">
        <v>59</v>
      </c>
      <c r="I143" s="3" t="s">
        <v>59</v>
      </c>
      <c r="J143" s="3" t="s">
        <v>61</v>
      </c>
      <c r="K143" s="2" t="s">
        <v>1899</v>
      </c>
      <c r="L143" s="2" t="s">
        <v>1900</v>
      </c>
      <c r="M143" s="3" t="s">
        <v>519</v>
      </c>
      <c r="N143" s="2" t="s">
        <v>114</v>
      </c>
      <c r="O143" s="3" t="s">
        <v>64</v>
      </c>
      <c r="P143" s="3" t="s">
        <v>1901</v>
      </c>
      <c r="R143" s="3" t="s">
        <v>67</v>
      </c>
      <c r="S143" s="4">
        <v>1</v>
      </c>
      <c r="T143" s="4">
        <v>1</v>
      </c>
      <c r="U143" s="5" t="s">
        <v>1902</v>
      </c>
      <c r="V143" s="5" t="s">
        <v>1902</v>
      </c>
      <c r="W143" s="5" t="s">
        <v>1903</v>
      </c>
      <c r="X143" s="5" t="s">
        <v>1903</v>
      </c>
      <c r="Y143" s="4">
        <v>58</v>
      </c>
      <c r="Z143" s="4">
        <v>43</v>
      </c>
      <c r="AA143" s="4">
        <v>153</v>
      </c>
      <c r="AB143" s="4">
        <v>1</v>
      </c>
      <c r="AC143" s="4">
        <v>2</v>
      </c>
      <c r="AD143" s="4">
        <v>0</v>
      </c>
      <c r="AE143" s="4">
        <v>3</v>
      </c>
      <c r="AF143" s="4">
        <v>0</v>
      </c>
      <c r="AG143" s="4">
        <v>2</v>
      </c>
      <c r="AH143" s="4">
        <v>0</v>
      </c>
      <c r="AI143" s="4">
        <v>0</v>
      </c>
      <c r="AJ143" s="4">
        <v>0</v>
      </c>
      <c r="AK143" s="4">
        <v>2</v>
      </c>
      <c r="AL143" s="4">
        <v>0</v>
      </c>
      <c r="AM143" s="4">
        <v>1</v>
      </c>
      <c r="AN143" s="4">
        <v>0</v>
      </c>
      <c r="AO143" s="4">
        <v>0</v>
      </c>
      <c r="AP143" s="3" t="s">
        <v>59</v>
      </c>
      <c r="AQ143" s="3" t="s">
        <v>70</v>
      </c>
      <c r="AR143" s="6" t="str">
        <f>HYPERLINK("http://catalog.hathitrust.org/Record/101954310","HathiTrust Record")</f>
        <v>HathiTrust Record</v>
      </c>
      <c r="AS143" s="6" t="str">
        <f>HYPERLINK("https://creighton-primo.hosted.exlibrisgroup.com/primo-explore/search?tab=default_tab&amp;search_scope=EVERYTHING&amp;vid=01CRU&amp;lang=en_US&amp;offset=0&amp;query=any,contains,991002319759702656","Catalog Record")</f>
        <v>Catalog Record</v>
      </c>
      <c r="AT143" s="6" t="str">
        <f>HYPERLINK("http://www.worldcat.org/oclc/30083198","WorldCat Record")</f>
        <v>WorldCat Record</v>
      </c>
      <c r="AU143" s="3" t="s">
        <v>1904</v>
      </c>
      <c r="AV143" s="3" t="s">
        <v>1905</v>
      </c>
      <c r="AW143" s="3" t="s">
        <v>1906</v>
      </c>
      <c r="AX143" s="3" t="s">
        <v>1906</v>
      </c>
      <c r="AY143" s="3" t="s">
        <v>1907</v>
      </c>
      <c r="AZ143" s="3" t="s">
        <v>75</v>
      </c>
      <c r="BB143" s="3" t="s">
        <v>1908</v>
      </c>
      <c r="BC143" s="3" t="s">
        <v>1909</v>
      </c>
      <c r="BD143" s="3" t="s">
        <v>1910</v>
      </c>
    </row>
    <row r="144" spans="1:56" ht="48" customHeight="1" x14ac:dyDescent="0.25">
      <c r="A144" s="7" t="s">
        <v>59</v>
      </c>
      <c r="B144" s="2" t="s">
        <v>1911</v>
      </c>
      <c r="C144" s="2" t="s">
        <v>1912</v>
      </c>
      <c r="D144" s="2" t="s">
        <v>1913</v>
      </c>
      <c r="F144" s="3" t="s">
        <v>59</v>
      </c>
      <c r="G144" s="3" t="s">
        <v>60</v>
      </c>
      <c r="H144" s="3" t="s">
        <v>59</v>
      </c>
      <c r="I144" s="3" t="s">
        <v>59</v>
      </c>
      <c r="J144" s="3" t="s">
        <v>61</v>
      </c>
      <c r="K144" s="2" t="s">
        <v>1914</v>
      </c>
      <c r="L144" s="2" t="s">
        <v>1915</v>
      </c>
      <c r="M144" s="3" t="s">
        <v>1817</v>
      </c>
      <c r="O144" s="3" t="s">
        <v>64</v>
      </c>
      <c r="P144" s="3" t="s">
        <v>84</v>
      </c>
      <c r="Q144" s="2" t="s">
        <v>1916</v>
      </c>
      <c r="R144" s="3" t="s">
        <v>67</v>
      </c>
      <c r="S144" s="4">
        <v>29</v>
      </c>
      <c r="T144" s="4">
        <v>29</v>
      </c>
      <c r="U144" s="5" t="s">
        <v>1917</v>
      </c>
      <c r="V144" s="5" t="s">
        <v>1917</v>
      </c>
      <c r="W144" s="5" t="s">
        <v>1918</v>
      </c>
      <c r="X144" s="5" t="s">
        <v>1918</v>
      </c>
      <c r="Y144" s="4">
        <v>404</v>
      </c>
      <c r="Z144" s="4">
        <v>284</v>
      </c>
      <c r="AA144" s="4">
        <v>389</v>
      </c>
      <c r="AB144" s="4">
        <v>2</v>
      </c>
      <c r="AC144" s="4">
        <v>2</v>
      </c>
      <c r="AD144" s="4">
        <v>10</v>
      </c>
      <c r="AE144" s="4">
        <v>14</v>
      </c>
      <c r="AF144" s="4">
        <v>5</v>
      </c>
      <c r="AG144" s="4">
        <v>5</v>
      </c>
      <c r="AH144" s="4">
        <v>2</v>
      </c>
      <c r="AI144" s="4">
        <v>5</v>
      </c>
      <c r="AJ144" s="4">
        <v>7</v>
      </c>
      <c r="AK144" s="4">
        <v>9</v>
      </c>
      <c r="AL144" s="4">
        <v>1</v>
      </c>
      <c r="AM144" s="4">
        <v>1</v>
      </c>
      <c r="AN144" s="4">
        <v>0</v>
      </c>
      <c r="AO144" s="4">
        <v>0</v>
      </c>
      <c r="AP144" s="3" t="s">
        <v>59</v>
      </c>
      <c r="AQ144" s="3" t="s">
        <v>59</v>
      </c>
      <c r="AS144" s="6" t="str">
        <f>HYPERLINK("https://creighton-primo.hosted.exlibrisgroup.com/primo-explore/search?tab=default_tab&amp;search_scope=EVERYTHING&amp;vid=01CRU&amp;lang=en_US&amp;offset=0&amp;query=any,contains,991005132579702656","Catalog Record")</f>
        <v>Catalog Record</v>
      </c>
      <c r="AT144" s="6" t="str">
        <f>HYPERLINK("http://www.worldcat.org/oclc/52145477","WorldCat Record")</f>
        <v>WorldCat Record</v>
      </c>
      <c r="AU144" s="3" t="s">
        <v>1919</v>
      </c>
      <c r="AV144" s="3" t="s">
        <v>1920</v>
      </c>
      <c r="AW144" s="3" t="s">
        <v>1921</v>
      </c>
      <c r="AX144" s="3" t="s">
        <v>1921</v>
      </c>
      <c r="AY144" s="3" t="s">
        <v>1922</v>
      </c>
      <c r="AZ144" s="3" t="s">
        <v>75</v>
      </c>
      <c r="BB144" s="3" t="s">
        <v>1923</v>
      </c>
      <c r="BC144" s="3" t="s">
        <v>1924</v>
      </c>
      <c r="BD144" s="3" t="s">
        <v>1925</v>
      </c>
    </row>
    <row r="145" spans="1:56" ht="48" customHeight="1" x14ac:dyDescent="0.25">
      <c r="A145" s="7" t="s">
        <v>59</v>
      </c>
      <c r="B145" s="2" t="s">
        <v>1926</v>
      </c>
      <c r="C145" s="2" t="s">
        <v>1927</v>
      </c>
      <c r="D145" s="2" t="s">
        <v>1928</v>
      </c>
      <c r="F145" s="3" t="s">
        <v>59</v>
      </c>
      <c r="G145" s="3" t="s">
        <v>60</v>
      </c>
      <c r="H145" s="3" t="s">
        <v>59</v>
      </c>
      <c r="I145" s="3" t="s">
        <v>59</v>
      </c>
      <c r="J145" s="3" t="s">
        <v>61</v>
      </c>
      <c r="K145" s="2" t="s">
        <v>1929</v>
      </c>
      <c r="L145" s="2" t="s">
        <v>1930</v>
      </c>
      <c r="M145" s="3" t="s">
        <v>843</v>
      </c>
      <c r="O145" s="3" t="s">
        <v>64</v>
      </c>
      <c r="P145" s="3" t="s">
        <v>1931</v>
      </c>
      <c r="R145" s="3" t="s">
        <v>67</v>
      </c>
      <c r="S145" s="4">
        <v>1</v>
      </c>
      <c r="T145" s="4">
        <v>1</v>
      </c>
      <c r="U145" s="5" t="s">
        <v>1932</v>
      </c>
      <c r="V145" s="5" t="s">
        <v>1932</v>
      </c>
      <c r="W145" s="5" t="s">
        <v>1932</v>
      </c>
      <c r="X145" s="5" t="s">
        <v>1932</v>
      </c>
      <c r="Y145" s="4">
        <v>180</v>
      </c>
      <c r="Z145" s="4">
        <v>150</v>
      </c>
      <c r="AA145" s="4">
        <v>215</v>
      </c>
      <c r="AB145" s="4">
        <v>1</v>
      </c>
      <c r="AC145" s="4">
        <v>1</v>
      </c>
      <c r="AD145" s="4">
        <v>9</v>
      </c>
      <c r="AE145" s="4">
        <v>9</v>
      </c>
      <c r="AF145" s="4">
        <v>6</v>
      </c>
      <c r="AG145" s="4">
        <v>6</v>
      </c>
      <c r="AH145" s="4">
        <v>1</v>
      </c>
      <c r="AI145" s="4">
        <v>1</v>
      </c>
      <c r="AJ145" s="4">
        <v>5</v>
      </c>
      <c r="AK145" s="4">
        <v>5</v>
      </c>
      <c r="AL145" s="4">
        <v>0</v>
      </c>
      <c r="AM145" s="4">
        <v>0</v>
      </c>
      <c r="AN145" s="4">
        <v>0</v>
      </c>
      <c r="AO145" s="4">
        <v>0</v>
      </c>
      <c r="AP145" s="3" t="s">
        <v>59</v>
      </c>
      <c r="AQ145" s="3" t="s">
        <v>59</v>
      </c>
      <c r="AS145" s="6" t="str">
        <f>HYPERLINK("https://creighton-primo.hosted.exlibrisgroup.com/primo-explore/search?tab=default_tab&amp;search_scope=EVERYTHING&amp;vid=01CRU&amp;lang=en_US&amp;offset=0&amp;query=any,contains,991005268109702656","Catalog Record")</f>
        <v>Catalog Record</v>
      </c>
      <c r="AT145" s="6" t="str">
        <f>HYPERLINK("http://www.worldcat.org/oclc/183608836","WorldCat Record")</f>
        <v>WorldCat Record</v>
      </c>
      <c r="AU145" s="3" t="s">
        <v>1933</v>
      </c>
      <c r="AV145" s="3" t="s">
        <v>1934</v>
      </c>
      <c r="AW145" s="3" t="s">
        <v>1935</v>
      </c>
      <c r="AX145" s="3" t="s">
        <v>1935</v>
      </c>
      <c r="AY145" s="3" t="s">
        <v>1936</v>
      </c>
      <c r="AZ145" s="3" t="s">
        <v>75</v>
      </c>
      <c r="BB145" s="3" t="s">
        <v>1937</v>
      </c>
      <c r="BC145" s="3" t="s">
        <v>1938</v>
      </c>
      <c r="BD145" s="3" t="s">
        <v>1939</v>
      </c>
    </row>
    <row r="146" spans="1:56" ht="48" customHeight="1" x14ac:dyDescent="0.25">
      <c r="A146" s="7" t="s">
        <v>59</v>
      </c>
      <c r="B146" s="2" t="s">
        <v>1940</v>
      </c>
      <c r="C146" s="2" t="s">
        <v>1941</v>
      </c>
      <c r="D146" s="2" t="s">
        <v>1942</v>
      </c>
      <c r="F146" s="3" t="s">
        <v>59</v>
      </c>
      <c r="G146" s="3" t="s">
        <v>60</v>
      </c>
      <c r="H146" s="3" t="s">
        <v>59</v>
      </c>
      <c r="I146" s="3" t="s">
        <v>59</v>
      </c>
      <c r="J146" s="3" t="s">
        <v>61</v>
      </c>
      <c r="K146" s="2" t="s">
        <v>1943</v>
      </c>
      <c r="L146" s="2" t="s">
        <v>1944</v>
      </c>
      <c r="M146" s="3" t="s">
        <v>535</v>
      </c>
      <c r="N146" s="2" t="s">
        <v>1945</v>
      </c>
      <c r="O146" s="3" t="s">
        <v>64</v>
      </c>
      <c r="P146" s="3" t="s">
        <v>115</v>
      </c>
      <c r="R146" s="3" t="s">
        <v>67</v>
      </c>
      <c r="S146" s="4">
        <v>4</v>
      </c>
      <c r="T146" s="4">
        <v>4</v>
      </c>
      <c r="U146" s="5" t="s">
        <v>1946</v>
      </c>
      <c r="V146" s="5" t="s">
        <v>1946</v>
      </c>
      <c r="W146" s="5" t="s">
        <v>1947</v>
      </c>
      <c r="X146" s="5" t="s">
        <v>1947</v>
      </c>
      <c r="Y146" s="4">
        <v>388</v>
      </c>
      <c r="Z146" s="4">
        <v>317</v>
      </c>
      <c r="AA146" s="4">
        <v>790</v>
      </c>
      <c r="AB146" s="4">
        <v>3</v>
      </c>
      <c r="AC146" s="4">
        <v>9</v>
      </c>
      <c r="AD146" s="4">
        <v>10</v>
      </c>
      <c r="AE146" s="4">
        <v>32</v>
      </c>
      <c r="AF146" s="4">
        <v>3</v>
      </c>
      <c r="AG146" s="4">
        <v>12</v>
      </c>
      <c r="AH146" s="4">
        <v>3</v>
      </c>
      <c r="AI146" s="4">
        <v>5</v>
      </c>
      <c r="AJ146" s="4">
        <v>4</v>
      </c>
      <c r="AK146" s="4">
        <v>11</v>
      </c>
      <c r="AL146" s="4">
        <v>2</v>
      </c>
      <c r="AM146" s="4">
        <v>8</v>
      </c>
      <c r="AN146" s="4">
        <v>0</v>
      </c>
      <c r="AO146" s="4">
        <v>0</v>
      </c>
      <c r="AP146" s="3" t="s">
        <v>59</v>
      </c>
      <c r="AQ146" s="3" t="s">
        <v>70</v>
      </c>
      <c r="AR146" s="6" t="str">
        <f>HYPERLINK("http://catalog.hathitrust.org/Record/001554302","HathiTrust Record")</f>
        <v>HathiTrust Record</v>
      </c>
      <c r="AS146" s="6" t="str">
        <f>HYPERLINK("https://creighton-primo.hosted.exlibrisgroup.com/primo-explore/search?tab=default_tab&amp;search_scope=EVERYTHING&amp;vid=01CRU&amp;lang=en_US&amp;offset=0&amp;query=any,contains,991003181379702656","Catalog Record")</f>
        <v>Catalog Record</v>
      </c>
      <c r="AT146" s="6" t="str">
        <f>HYPERLINK("http://www.worldcat.org/oclc/711826","WorldCat Record")</f>
        <v>WorldCat Record</v>
      </c>
      <c r="AU146" s="3" t="s">
        <v>1948</v>
      </c>
      <c r="AV146" s="3" t="s">
        <v>1949</v>
      </c>
      <c r="AW146" s="3" t="s">
        <v>1950</v>
      </c>
      <c r="AX146" s="3" t="s">
        <v>1950</v>
      </c>
      <c r="AY146" s="3" t="s">
        <v>1951</v>
      </c>
      <c r="AZ146" s="3" t="s">
        <v>75</v>
      </c>
      <c r="BC146" s="3" t="s">
        <v>1952</v>
      </c>
      <c r="BD146" s="3" t="s">
        <v>1953</v>
      </c>
    </row>
    <row r="147" spans="1:56" ht="48" customHeight="1" x14ac:dyDescent="0.25">
      <c r="A147" s="7" t="s">
        <v>59</v>
      </c>
      <c r="B147" s="2" t="s">
        <v>1954</v>
      </c>
      <c r="C147" s="2" t="s">
        <v>1955</v>
      </c>
      <c r="D147" s="2" t="s">
        <v>1956</v>
      </c>
      <c r="F147" s="3" t="s">
        <v>59</v>
      </c>
      <c r="G147" s="3" t="s">
        <v>60</v>
      </c>
      <c r="H147" s="3" t="s">
        <v>59</v>
      </c>
      <c r="I147" s="3" t="s">
        <v>59</v>
      </c>
      <c r="J147" s="3" t="s">
        <v>61</v>
      </c>
      <c r="K147" s="2" t="s">
        <v>1957</v>
      </c>
      <c r="L147" s="2" t="s">
        <v>1958</v>
      </c>
      <c r="M147" s="3" t="s">
        <v>113</v>
      </c>
      <c r="O147" s="3" t="s">
        <v>64</v>
      </c>
      <c r="P147" s="3" t="s">
        <v>130</v>
      </c>
      <c r="R147" s="3" t="s">
        <v>67</v>
      </c>
      <c r="S147" s="4">
        <v>4</v>
      </c>
      <c r="T147" s="4">
        <v>4</v>
      </c>
      <c r="U147" s="5" t="s">
        <v>1959</v>
      </c>
      <c r="V147" s="5" t="s">
        <v>1959</v>
      </c>
      <c r="W147" s="5" t="s">
        <v>1960</v>
      </c>
      <c r="X147" s="5" t="s">
        <v>1960</v>
      </c>
      <c r="Y147" s="4">
        <v>207</v>
      </c>
      <c r="Z147" s="4">
        <v>150</v>
      </c>
      <c r="AA147" s="4">
        <v>150</v>
      </c>
      <c r="AB147" s="4">
        <v>1</v>
      </c>
      <c r="AC147" s="4">
        <v>1</v>
      </c>
      <c r="AD147" s="4">
        <v>0</v>
      </c>
      <c r="AE147" s="4">
        <v>0</v>
      </c>
      <c r="AF147" s="4">
        <v>0</v>
      </c>
      <c r="AG147" s="4">
        <v>0</v>
      </c>
      <c r="AH147" s="4">
        <v>0</v>
      </c>
      <c r="AI147" s="4">
        <v>0</v>
      </c>
      <c r="AJ147" s="4">
        <v>0</v>
      </c>
      <c r="AK147" s="4">
        <v>0</v>
      </c>
      <c r="AL147" s="4">
        <v>0</v>
      </c>
      <c r="AM147" s="4">
        <v>0</v>
      </c>
      <c r="AN147" s="4">
        <v>0</v>
      </c>
      <c r="AO147" s="4">
        <v>0</v>
      </c>
      <c r="AP147" s="3" t="s">
        <v>59</v>
      </c>
      <c r="AQ147" s="3" t="s">
        <v>59</v>
      </c>
      <c r="AS147" s="6" t="str">
        <f>HYPERLINK("https://creighton-primo.hosted.exlibrisgroup.com/primo-explore/search?tab=default_tab&amp;search_scope=EVERYTHING&amp;vid=01CRU&amp;lang=en_US&amp;offset=0&amp;query=any,contains,991000828419702656","Catalog Record")</f>
        <v>Catalog Record</v>
      </c>
      <c r="AT147" s="6" t="str">
        <f>HYPERLINK("http://www.worldcat.org/oclc/13425614","WorldCat Record")</f>
        <v>WorldCat Record</v>
      </c>
      <c r="AU147" s="3" t="s">
        <v>1961</v>
      </c>
      <c r="AV147" s="3" t="s">
        <v>1962</v>
      </c>
      <c r="AW147" s="3" t="s">
        <v>1963</v>
      </c>
      <c r="AX147" s="3" t="s">
        <v>1963</v>
      </c>
      <c r="AY147" s="3" t="s">
        <v>1964</v>
      </c>
      <c r="AZ147" s="3" t="s">
        <v>75</v>
      </c>
      <c r="BB147" s="3" t="s">
        <v>1965</v>
      </c>
      <c r="BC147" s="3" t="s">
        <v>1966</v>
      </c>
      <c r="BD147" s="3" t="s">
        <v>1967</v>
      </c>
    </row>
    <row r="148" spans="1:56" ht="48" customHeight="1" x14ac:dyDescent="0.25">
      <c r="A148" s="7" t="s">
        <v>59</v>
      </c>
      <c r="B148" s="2" t="s">
        <v>1968</v>
      </c>
      <c r="C148" s="2" t="s">
        <v>1969</v>
      </c>
      <c r="D148" s="2" t="s">
        <v>1970</v>
      </c>
      <c r="F148" s="3" t="s">
        <v>59</v>
      </c>
      <c r="G148" s="3" t="s">
        <v>60</v>
      </c>
      <c r="H148" s="3" t="s">
        <v>59</v>
      </c>
      <c r="I148" s="3" t="s">
        <v>59</v>
      </c>
      <c r="J148" s="3" t="s">
        <v>61</v>
      </c>
      <c r="K148" s="2" t="s">
        <v>1971</v>
      </c>
      <c r="L148" s="2" t="s">
        <v>1972</v>
      </c>
      <c r="M148" s="3" t="s">
        <v>376</v>
      </c>
      <c r="O148" s="3" t="s">
        <v>64</v>
      </c>
      <c r="P148" s="3" t="s">
        <v>1973</v>
      </c>
      <c r="R148" s="3" t="s">
        <v>67</v>
      </c>
      <c r="S148" s="4">
        <v>5</v>
      </c>
      <c r="T148" s="4">
        <v>5</v>
      </c>
      <c r="U148" s="5" t="s">
        <v>1974</v>
      </c>
      <c r="V148" s="5" t="s">
        <v>1974</v>
      </c>
      <c r="W148" s="5" t="s">
        <v>148</v>
      </c>
      <c r="X148" s="5" t="s">
        <v>148</v>
      </c>
      <c r="Y148" s="4">
        <v>173</v>
      </c>
      <c r="Z148" s="4">
        <v>148</v>
      </c>
      <c r="AA148" s="4">
        <v>149</v>
      </c>
      <c r="AB148" s="4">
        <v>3</v>
      </c>
      <c r="AC148" s="4">
        <v>3</v>
      </c>
      <c r="AD148" s="4">
        <v>3</v>
      </c>
      <c r="AE148" s="4">
        <v>3</v>
      </c>
      <c r="AF148" s="4">
        <v>1</v>
      </c>
      <c r="AG148" s="4">
        <v>1</v>
      </c>
      <c r="AH148" s="4">
        <v>0</v>
      </c>
      <c r="AI148" s="4">
        <v>0</v>
      </c>
      <c r="AJ148" s="4">
        <v>0</v>
      </c>
      <c r="AK148" s="4">
        <v>0</v>
      </c>
      <c r="AL148" s="4">
        <v>2</v>
      </c>
      <c r="AM148" s="4">
        <v>2</v>
      </c>
      <c r="AN148" s="4">
        <v>0</v>
      </c>
      <c r="AO148" s="4">
        <v>0</v>
      </c>
      <c r="AP148" s="3" t="s">
        <v>59</v>
      </c>
      <c r="AQ148" s="3" t="s">
        <v>59</v>
      </c>
      <c r="AS148" s="6" t="str">
        <f>HYPERLINK("https://creighton-primo.hosted.exlibrisgroup.com/primo-explore/search?tab=default_tab&amp;search_scope=EVERYTHING&amp;vid=01CRU&amp;lang=en_US&amp;offset=0&amp;query=any,contains,991003139349702656","Catalog Record")</f>
        <v>Catalog Record</v>
      </c>
      <c r="AT148" s="6" t="str">
        <f>HYPERLINK("http://www.worldcat.org/oclc/681056","WorldCat Record")</f>
        <v>WorldCat Record</v>
      </c>
      <c r="AU148" s="3" t="s">
        <v>1975</v>
      </c>
      <c r="AV148" s="3" t="s">
        <v>1976</v>
      </c>
      <c r="AW148" s="3" t="s">
        <v>1977</v>
      </c>
      <c r="AX148" s="3" t="s">
        <v>1977</v>
      </c>
      <c r="AY148" s="3" t="s">
        <v>1978</v>
      </c>
      <c r="AZ148" s="3" t="s">
        <v>75</v>
      </c>
      <c r="BC148" s="3" t="s">
        <v>1979</v>
      </c>
      <c r="BD148" s="3" t="s">
        <v>1980</v>
      </c>
    </row>
    <row r="149" spans="1:56" ht="48" customHeight="1" x14ac:dyDescent="0.25">
      <c r="A149" s="7" t="s">
        <v>59</v>
      </c>
      <c r="B149" s="2" t="s">
        <v>1981</v>
      </c>
      <c r="C149" s="2" t="s">
        <v>1982</v>
      </c>
      <c r="D149" s="2" t="s">
        <v>1983</v>
      </c>
      <c r="F149" s="3" t="s">
        <v>59</v>
      </c>
      <c r="G149" s="3" t="s">
        <v>60</v>
      </c>
      <c r="H149" s="3" t="s">
        <v>70</v>
      </c>
      <c r="I149" s="3" t="s">
        <v>59</v>
      </c>
      <c r="J149" s="3" t="s">
        <v>61</v>
      </c>
      <c r="K149" s="2" t="s">
        <v>1984</v>
      </c>
      <c r="L149" s="2" t="s">
        <v>1985</v>
      </c>
      <c r="M149" s="3" t="s">
        <v>1986</v>
      </c>
      <c r="O149" s="3" t="s">
        <v>64</v>
      </c>
      <c r="P149" s="3" t="s">
        <v>674</v>
      </c>
      <c r="R149" s="3" t="s">
        <v>67</v>
      </c>
      <c r="S149" s="4">
        <v>4</v>
      </c>
      <c r="T149" s="4">
        <v>12</v>
      </c>
      <c r="U149" s="5" t="s">
        <v>1987</v>
      </c>
      <c r="V149" s="5" t="s">
        <v>1988</v>
      </c>
      <c r="W149" s="5" t="s">
        <v>1989</v>
      </c>
      <c r="X149" s="5" t="s">
        <v>1990</v>
      </c>
      <c r="Y149" s="4">
        <v>397</v>
      </c>
      <c r="Z149" s="4">
        <v>287</v>
      </c>
      <c r="AA149" s="4">
        <v>288</v>
      </c>
      <c r="AB149" s="4">
        <v>6</v>
      </c>
      <c r="AC149" s="4">
        <v>6</v>
      </c>
      <c r="AD149" s="4">
        <v>17</v>
      </c>
      <c r="AE149" s="4">
        <v>17</v>
      </c>
      <c r="AF149" s="4">
        <v>8</v>
      </c>
      <c r="AG149" s="4">
        <v>8</v>
      </c>
      <c r="AH149" s="4">
        <v>4</v>
      </c>
      <c r="AI149" s="4">
        <v>4</v>
      </c>
      <c r="AJ149" s="4">
        <v>5</v>
      </c>
      <c r="AK149" s="4">
        <v>5</v>
      </c>
      <c r="AL149" s="4">
        <v>4</v>
      </c>
      <c r="AM149" s="4">
        <v>4</v>
      </c>
      <c r="AN149" s="4">
        <v>0</v>
      </c>
      <c r="AO149" s="4">
        <v>0</v>
      </c>
      <c r="AP149" s="3" t="s">
        <v>59</v>
      </c>
      <c r="AQ149" s="3" t="s">
        <v>70</v>
      </c>
      <c r="AR149" s="6" t="str">
        <f>HYPERLINK("http://catalog.hathitrust.org/Record/004218743","HathiTrust Record")</f>
        <v>HathiTrust Record</v>
      </c>
      <c r="AS149" s="6" t="str">
        <f>HYPERLINK("https://creighton-primo.hosted.exlibrisgroup.com/primo-explore/search?tab=default_tab&amp;search_scope=EVERYTHING&amp;vid=01CRU&amp;lang=en_US&amp;offset=0&amp;query=any,contains,991001707909702656","Catalog Record")</f>
        <v>Catalog Record</v>
      </c>
      <c r="AT149" s="6" t="str">
        <f>HYPERLINK("http://www.worldcat.org/oclc/45835604","WorldCat Record")</f>
        <v>WorldCat Record</v>
      </c>
      <c r="AU149" s="3" t="s">
        <v>1991</v>
      </c>
      <c r="AV149" s="3" t="s">
        <v>1992</v>
      </c>
      <c r="AW149" s="3" t="s">
        <v>1993</v>
      </c>
      <c r="AX149" s="3" t="s">
        <v>1993</v>
      </c>
      <c r="AY149" s="3" t="s">
        <v>1994</v>
      </c>
      <c r="AZ149" s="3" t="s">
        <v>75</v>
      </c>
      <c r="BB149" s="3" t="s">
        <v>1995</v>
      </c>
      <c r="BC149" s="3" t="s">
        <v>1996</v>
      </c>
      <c r="BD149" s="3" t="s">
        <v>1997</v>
      </c>
    </row>
    <row r="150" spans="1:56" ht="48" customHeight="1" x14ac:dyDescent="0.25">
      <c r="A150" s="7" t="s">
        <v>59</v>
      </c>
      <c r="B150" s="2" t="s">
        <v>1998</v>
      </c>
      <c r="C150" s="2" t="s">
        <v>1999</v>
      </c>
      <c r="D150" s="2" t="s">
        <v>2000</v>
      </c>
      <c r="F150" s="3" t="s">
        <v>59</v>
      </c>
      <c r="G150" s="3" t="s">
        <v>60</v>
      </c>
      <c r="H150" s="3" t="s">
        <v>59</v>
      </c>
      <c r="I150" s="3" t="s">
        <v>59</v>
      </c>
      <c r="J150" s="3" t="s">
        <v>61</v>
      </c>
      <c r="K150" s="2" t="s">
        <v>2001</v>
      </c>
      <c r="L150" s="2" t="s">
        <v>2002</v>
      </c>
      <c r="M150" s="3" t="s">
        <v>190</v>
      </c>
      <c r="N150" s="2" t="s">
        <v>2003</v>
      </c>
      <c r="O150" s="3" t="s">
        <v>64</v>
      </c>
      <c r="P150" s="3" t="s">
        <v>661</v>
      </c>
      <c r="R150" s="3" t="s">
        <v>67</v>
      </c>
      <c r="S150" s="4">
        <v>7</v>
      </c>
      <c r="T150" s="4">
        <v>7</v>
      </c>
      <c r="U150" s="5" t="s">
        <v>2004</v>
      </c>
      <c r="V150" s="5" t="s">
        <v>2004</v>
      </c>
      <c r="W150" s="5" t="s">
        <v>148</v>
      </c>
      <c r="X150" s="5" t="s">
        <v>148</v>
      </c>
      <c r="Y150" s="4">
        <v>301</v>
      </c>
      <c r="Z150" s="4">
        <v>232</v>
      </c>
      <c r="AA150" s="4">
        <v>667</v>
      </c>
      <c r="AB150" s="4">
        <v>3</v>
      </c>
      <c r="AC150" s="4">
        <v>9</v>
      </c>
      <c r="AD150" s="4">
        <v>10</v>
      </c>
      <c r="AE150" s="4">
        <v>22</v>
      </c>
      <c r="AF150" s="4">
        <v>7</v>
      </c>
      <c r="AG150" s="4">
        <v>11</v>
      </c>
      <c r="AH150" s="4">
        <v>1</v>
      </c>
      <c r="AI150" s="4">
        <v>2</v>
      </c>
      <c r="AJ150" s="4">
        <v>1</v>
      </c>
      <c r="AK150" s="4">
        <v>4</v>
      </c>
      <c r="AL150" s="4">
        <v>2</v>
      </c>
      <c r="AM150" s="4">
        <v>7</v>
      </c>
      <c r="AN150" s="4">
        <v>0</v>
      </c>
      <c r="AO150" s="4">
        <v>0</v>
      </c>
      <c r="AP150" s="3" t="s">
        <v>59</v>
      </c>
      <c r="AQ150" s="3" t="s">
        <v>59</v>
      </c>
      <c r="AS150" s="6" t="str">
        <f>HYPERLINK("https://creighton-primo.hosted.exlibrisgroup.com/primo-explore/search?tab=default_tab&amp;search_scope=EVERYTHING&amp;vid=01CRU&amp;lang=en_US&amp;offset=0&amp;query=any,contains,991000825309702656","Catalog Record")</f>
        <v>Catalog Record</v>
      </c>
      <c r="AT150" s="6" t="str">
        <f>HYPERLINK("http://www.worldcat.org/oclc/13420027","WorldCat Record")</f>
        <v>WorldCat Record</v>
      </c>
      <c r="AU150" s="3" t="s">
        <v>2005</v>
      </c>
      <c r="AV150" s="3" t="s">
        <v>2006</v>
      </c>
      <c r="AW150" s="3" t="s">
        <v>2007</v>
      </c>
      <c r="AX150" s="3" t="s">
        <v>2007</v>
      </c>
      <c r="AY150" s="3" t="s">
        <v>2008</v>
      </c>
      <c r="AZ150" s="3" t="s">
        <v>75</v>
      </c>
      <c r="BB150" s="3" t="s">
        <v>2009</v>
      </c>
      <c r="BC150" s="3" t="s">
        <v>2010</v>
      </c>
      <c r="BD150" s="3" t="s">
        <v>2011</v>
      </c>
    </row>
    <row r="151" spans="1:56" ht="48" customHeight="1" x14ac:dyDescent="0.25">
      <c r="A151" s="7" t="s">
        <v>59</v>
      </c>
      <c r="B151" s="2" t="s">
        <v>2012</v>
      </c>
      <c r="C151" s="2" t="s">
        <v>2013</v>
      </c>
      <c r="D151" s="2" t="s">
        <v>2014</v>
      </c>
      <c r="F151" s="3" t="s">
        <v>59</v>
      </c>
      <c r="G151" s="3" t="s">
        <v>60</v>
      </c>
      <c r="H151" s="3" t="s">
        <v>59</v>
      </c>
      <c r="I151" s="3" t="s">
        <v>59</v>
      </c>
      <c r="J151" s="3" t="s">
        <v>61</v>
      </c>
      <c r="L151" s="2" t="s">
        <v>2015</v>
      </c>
      <c r="M151" s="3" t="s">
        <v>1611</v>
      </c>
      <c r="O151" s="3" t="s">
        <v>64</v>
      </c>
      <c r="P151" s="3" t="s">
        <v>191</v>
      </c>
      <c r="Q151" s="2" t="s">
        <v>828</v>
      </c>
      <c r="R151" s="3" t="s">
        <v>67</v>
      </c>
      <c r="S151" s="4">
        <v>10</v>
      </c>
      <c r="T151" s="4">
        <v>10</v>
      </c>
      <c r="U151" s="5" t="s">
        <v>2016</v>
      </c>
      <c r="V151" s="5" t="s">
        <v>2016</v>
      </c>
      <c r="W151" s="5" t="s">
        <v>2017</v>
      </c>
      <c r="X151" s="5" t="s">
        <v>2017</v>
      </c>
      <c r="Y151" s="4">
        <v>313</v>
      </c>
      <c r="Z151" s="4">
        <v>247</v>
      </c>
      <c r="AA151" s="4">
        <v>252</v>
      </c>
      <c r="AB151" s="4">
        <v>2</v>
      </c>
      <c r="AC151" s="4">
        <v>2</v>
      </c>
      <c r="AD151" s="4">
        <v>10</v>
      </c>
      <c r="AE151" s="4">
        <v>10</v>
      </c>
      <c r="AF151" s="4">
        <v>4</v>
      </c>
      <c r="AG151" s="4">
        <v>4</v>
      </c>
      <c r="AH151" s="4">
        <v>3</v>
      </c>
      <c r="AI151" s="4">
        <v>3</v>
      </c>
      <c r="AJ151" s="4">
        <v>3</v>
      </c>
      <c r="AK151" s="4">
        <v>3</v>
      </c>
      <c r="AL151" s="4">
        <v>1</v>
      </c>
      <c r="AM151" s="4">
        <v>1</v>
      </c>
      <c r="AN151" s="4">
        <v>0</v>
      </c>
      <c r="AO151" s="4">
        <v>0</v>
      </c>
      <c r="AP151" s="3" t="s">
        <v>59</v>
      </c>
      <c r="AQ151" s="3" t="s">
        <v>59</v>
      </c>
      <c r="AS151" s="6" t="str">
        <f>HYPERLINK("https://creighton-primo.hosted.exlibrisgroup.com/primo-explore/search?tab=default_tab&amp;search_scope=EVERYTHING&amp;vid=01CRU&amp;lang=en_US&amp;offset=0&amp;query=any,contains,991002566739702656","Catalog Record")</f>
        <v>Catalog Record</v>
      </c>
      <c r="AT151" s="6" t="str">
        <f>HYPERLINK("http://www.worldcat.org/oclc/33359480","WorldCat Record")</f>
        <v>WorldCat Record</v>
      </c>
      <c r="AU151" s="3" t="s">
        <v>2018</v>
      </c>
      <c r="AV151" s="3" t="s">
        <v>2019</v>
      </c>
      <c r="AW151" s="3" t="s">
        <v>2020</v>
      </c>
      <c r="AX151" s="3" t="s">
        <v>2020</v>
      </c>
      <c r="AY151" s="3" t="s">
        <v>2021</v>
      </c>
      <c r="AZ151" s="3" t="s">
        <v>75</v>
      </c>
      <c r="BB151" s="3" t="s">
        <v>2022</v>
      </c>
      <c r="BC151" s="3" t="s">
        <v>2023</v>
      </c>
      <c r="BD151" s="3" t="s">
        <v>2024</v>
      </c>
    </row>
    <row r="152" spans="1:56" ht="48" customHeight="1" x14ac:dyDescent="0.25">
      <c r="A152" s="7" t="s">
        <v>59</v>
      </c>
      <c r="B152" s="2" t="s">
        <v>2025</v>
      </c>
      <c r="C152" s="2" t="s">
        <v>2026</v>
      </c>
      <c r="D152" s="2" t="s">
        <v>2027</v>
      </c>
      <c r="F152" s="3" t="s">
        <v>59</v>
      </c>
      <c r="G152" s="3" t="s">
        <v>60</v>
      </c>
      <c r="H152" s="3" t="s">
        <v>59</v>
      </c>
      <c r="I152" s="3" t="s">
        <v>59</v>
      </c>
      <c r="J152" s="3" t="s">
        <v>61</v>
      </c>
      <c r="L152" s="2" t="s">
        <v>2028</v>
      </c>
      <c r="M152" s="3" t="s">
        <v>333</v>
      </c>
      <c r="O152" s="3" t="s">
        <v>64</v>
      </c>
      <c r="P152" s="3" t="s">
        <v>1201</v>
      </c>
      <c r="R152" s="3" t="s">
        <v>67</v>
      </c>
      <c r="S152" s="4">
        <v>2</v>
      </c>
      <c r="T152" s="4">
        <v>2</v>
      </c>
      <c r="U152" s="5" t="s">
        <v>2029</v>
      </c>
      <c r="V152" s="5" t="s">
        <v>2029</v>
      </c>
      <c r="W152" s="5" t="s">
        <v>148</v>
      </c>
      <c r="X152" s="5" t="s">
        <v>148</v>
      </c>
      <c r="Y152" s="4">
        <v>151</v>
      </c>
      <c r="Z152" s="4">
        <v>109</v>
      </c>
      <c r="AA152" s="4">
        <v>122</v>
      </c>
      <c r="AB152" s="4">
        <v>2</v>
      </c>
      <c r="AC152" s="4">
        <v>2</v>
      </c>
      <c r="AD152" s="4">
        <v>1</v>
      </c>
      <c r="AE152" s="4">
        <v>1</v>
      </c>
      <c r="AF152" s="4">
        <v>0</v>
      </c>
      <c r="AG152" s="4">
        <v>0</v>
      </c>
      <c r="AH152" s="4">
        <v>0</v>
      </c>
      <c r="AI152" s="4">
        <v>0</v>
      </c>
      <c r="AJ152" s="4">
        <v>0</v>
      </c>
      <c r="AK152" s="4">
        <v>0</v>
      </c>
      <c r="AL152" s="4">
        <v>1</v>
      </c>
      <c r="AM152" s="4">
        <v>1</v>
      </c>
      <c r="AN152" s="4">
        <v>0</v>
      </c>
      <c r="AO152" s="4">
        <v>0</v>
      </c>
      <c r="AP152" s="3" t="s">
        <v>59</v>
      </c>
      <c r="AQ152" s="3" t="s">
        <v>70</v>
      </c>
      <c r="AR152" s="6" t="str">
        <f>HYPERLINK("http://catalog.hathitrust.org/Record/000573959","HathiTrust Record")</f>
        <v>HathiTrust Record</v>
      </c>
      <c r="AS152" s="6" t="str">
        <f>HYPERLINK("https://creighton-primo.hosted.exlibrisgroup.com/primo-explore/search?tab=default_tab&amp;search_scope=EVERYTHING&amp;vid=01CRU&amp;lang=en_US&amp;offset=0&amp;query=any,contains,991000543719702656","Catalog Record")</f>
        <v>Catalog Record</v>
      </c>
      <c r="AT152" s="6" t="str">
        <f>HYPERLINK("http://www.worldcat.org/oclc/11497957","WorldCat Record")</f>
        <v>WorldCat Record</v>
      </c>
      <c r="AU152" s="3" t="s">
        <v>2030</v>
      </c>
      <c r="AV152" s="3" t="s">
        <v>2031</v>
      </c>
      <c r="AW152" s="3" t="s">
        <v>2032</v>
      </c>
      <c r="AX152" s="3" t="s">
        <v>2032</v>
      </c>
      <c r="AY152" s="3" t="s">
        <v>2033</v>
      </c>
      <c r="AZ152" s="3" t="s">
        <v>75</v>
      </c>
      <c r="BB152" s="3" t="s">
        <v>2034</v>
      </c>
      <c r="BC152" s="3" t="s">
        <v>2035</v>
      </c>
      <c r="BD152" s="3" t="s">
        <v>2036</v>
      </c>
    </row>
    <row r="153" spans="1:56" ht="48" customHeight="1" x14ac:dyDescent="0.25">
      <c r="A153" s="7" t="s">
        <v>59</v>
      </c>
      <c r="B153" s="2" t="s">
        <v>2037</v>
      </c>
      <c r="C153" s="2" t="s">
        <v>2038</v>
      </c>
      <c r="D153" s="2" t="s">
        <v>2039</v>
      </c>
      <c r="F153" s="3" t="s">
        <v>59</v>
      </c>
      <c r="G153" s="3" t="s">
        <v>60</v>
      </c>
      <c r="H153" s="3" t="s">
        <v>59</v>
      </c>
      <c r="I153" s="3" t="s">
        <v>59</v>
      </c>
      <c r="J153" s="3" t="s">
        <v>61</v>
      </c>
      <c r="K153" s="2" t="s">
        <v>2040</v>
      </c>
      <c r="L153" s="2" t="s">
        <v>2041</v>
      </c>
      <c r="M153" s="3" t="s">
        <v>1171</v>
      </c>
      <c r="O153" s="3" t="s">
        <v>64</v>
      </c>
      <c r="P153" s="3" t="s">
        <v>674</v>
      </c>
      <c r="R153" s="3" t="s">
        <v>67</v>
      </c>
      <c r="S153" s="4">
        <v>2</v>
      </c>
      <c r="T153" s="4">
        <v>2</v>
      </c>
      <c r="U153" s="5" t="s">
        <v>2042</v>
      </c>
      <c r="V153" s="5" t="s">
        <v>2042</v>
      </c>
      <c r="W153" s="5" t="s">
        <v>2042</v>
      </c>
      <c r="X153" s="5" t="s">
        <v>2042</v>
      </c>
      <c r="Y153" s="4">
        <v>646</v>
      </c>
      <c r="Z153" s="4">
        <v>487</v>
      </c>
      <c r="AA153" s="4">
        <v>488</v>
      </c>
      <c r="AB153" s="4">
        <v>4</v>
      </c>
      <c r="AC153" s="4">
        <v>4</v>
      </c>
      <c r="AD153" s="4">
        <v>22</v>
      </c>
      <c r="AE153" s="4">
        <v>22</v>
      </c>
      <c r="AF153" s="4">
        <v>14</v>
      </c>
      <c r="AG153" s="4">
        <v>14</v>
      </c>
      <c r="AH153" s="4">
        <v>3</v>
      </c>
      <c r="AI153" s="4">
        <v>3</v>
      </c>
      <c r="AJ153" s="4">
        <v>7</v>
      </c>
      <c r="AK153" s="4">
        <v>7</v>
      </c>
      <c r="AL153" s="4">
        <v>3</v>
      </c>
      <c r="AM153" s="4">
        <v>3</v>
      </c>
      <c r="AN153" s="4">
        <v>0</v>
      </c>
      <c r="AO153" s="4">
        <v>0</v>
      </c>
      <c r="AP153" s="3" t="s">
        <v>59</v>
      </c>
      <c r="AQ153" s="3" t="s">
        <v>59</v>
      </c>
      <c r="AS153" s="6" t="str">
        <f>HYPERLINK("https://creighton-primo.hosted.exlibrisgroup.com/primo-explore/search?tab=default_tab&amp;search_scope=EVERYTHING&amp;vid=01CRU&amp;lang=en_US&amp;offset=0&amp;query=any,contains,991005132799702656","Catalog Record")</f>
        <v>Catalog Record</v>
      </c>
      <c r="AT153" s="6" t="str">
        <f>HYPERLINK("http://www.worldcat.org/oclc/61513011","WorldCat Record")</f>
        <v>WorldCat Record</v>
      </c>
      <c r="AU153" s="3" t="s">
        <v>2043</v>
      </c>
      <c r="AV153" s="3" t="s">
        <v>2044</v>
      </c>
      <c r="AW153" s="3" t="s">
        <v>2045</v>
      </c>
      <c r="AX153" s="3" t="s">
        <v>2045</v>
      </c>
      <c r="AY153" s="3" t="s">
        <v>2046</v>
      </c>
      <c r="AZ153" s="3" t="s">
        <v>75</v>
      </c>
      <c r="BB153" s="3" t="s">
        <v>2047</v>
      </c>
      <c r="BC153" s="3" t="s">
        <v>2048</v>
      </c>
      <c r="BD153" s="3" t="s">
        <v>2049</v>
      </c>
    </row>
    <row r="154" spans="1:56" ht="48" customHeight="1" x14ac:dyDescent="0.25">
      <c r="A154" s="7" t="s">
        <v>59</v>
      </c>
      <c r="B154" s="2" t="s">
        <v>2050</v>
      </c>
      <c r="C154" s="2" t="s">
        <v>2051</v>
      </c>
      <c r="D154" s="2" t="s">
        <v>2052</v>
      </c>
      <c r="F154" s="3" t="s">
        <v>70</v>
      </c>
      <c r="G154" s="3" t="s">
        <v>60</v>
      </c>
      <c r="H154" s="3" t="s">
        <v>70</v>
      </c>
      <c r="I154" s="3" t="s">
        <v>59</v>
      </c>
      <c r="J154" s="3" t="s">
        <v>61</v>
      </c>
      <c r="K154" s="2" t="s">
        <v>2053</v>
      </c>
      <c r="L154" s="2" t="s">
        <v>2054</v>
      </c>
      <c r="M154" s="3" t="s">
        <v>248</v>
      </c>
      <c r="O154" s="3" t="s">
        <v>64</v>
      </c>
      <c r="P154" s="3" t="s">
        <v>65</v>
      </c>
      <c r="Q154" s="2" t="s">
        <v>2055</v>
      </c>
      <c r="R154" s="3" t="s">
        <v>67</v>
      </c>
      <c r="S154" s="4">
        <v>0</v>
      </c>
      <c r="T154" s="4">
        <v>3</v>
      </c>
      <c r="V154" s="5" t="s">
        <v>2056</v>
      </c>
      <c r="W154" s="5" t="s">
        <v>148</v>
      </c>
      <c r="X154" s="5" t="s">
        <v>148</v>
      </c>
      <c r="Y154" s="4">
        <v>228</v>
      </c>
      <c r="Z154" s="4">
        <v>196</v>
      </c>
      <c r="AA154" s="4">
        <v>203</v>
      </c>
      <c r="AB154" s="4">
        <v>3</v>
      </c>
      <c r="AC154" s="4">
        <v>3</v>
      </c>
      <c r="AD154" s="4">
        <v>4</v>
      </c>
      <c r="AE154" s="4">
        <v>4</v>
      </c>
      <c r="AF154" s="4">
        <v>2</v>
      </c>
      <c r="AG154" s="4">
        <v>2</v>
      </c>
      <c r="AH154" s="4">
        <v>0</v>
      </c>
      <c r="AI154" s="4">
        <v>0</v>
      </c>
      <c r="AJ154" s="4">
        <v>1</v>
      </c>
      <c r="AK154" s="4">
        <v>1</v>
      </c>
      <c r="AL154" s="4">
        <v>2</v>
      </c>
      <c r="AM154" s="4">
        <v>2</v>
      </c>
      <c r="AN154" s="4">
        <v>0</v>
      </c>
      <c r="AO154" s="4">
        <v>0</v>
      </c>
      <c r="AP154" s="3" t="s">
        <v>59</v>
      </c>
      <c r="AQ154" s="3" t="s">
        <v>70</v>
      </c>
      <c r="AR154" s="6" t="str">
        <f>HYPERLINK("http://catalog.hathitrust.org/Record/000261407","HathiTrust Record")</f>
        <v>HathiTrust Record</v>
      </c>
      <c r="AS154" s="6" t="str">
        <f>HYPERLINK("https://creighton-primo.hosted.exlibrisgroup.com/primo-explore/search?tab=default_tab&amp;search_scope=EVERYTHING&amp;vid=01CRU&amp;lang=en_US&amp;offset=0&amp;query=any,contains,991005069849702656","Catalog Record")</f>
        <v>Catalog Record</v>
      </c>
      <c r="AT154" s="6" t="str">
        <f>HYPERLINK("http://www.worldcat.org/oclc/7006644","WorldCat Record")</f>
        <v>WorldCat Record</v>
      </c>
      <c r="AU154" s="3" t="s">
        <v>2057</v>
      </c>
      <c r="AV154" s="3" t="s">
        <v>2058</v>
      </c>
      <c r="AW154" s="3" t="s">
        <v>2059</v>
      </c>
      <c r="AX154" s="3" t="s">
        <v>2059</v>
      </c>
      <c r="AY154" s="3" t="s">
        <v>2060</v>
      </c>
      <c r="AZ154" s="3" t="s">
        <v>75</v>
      </c>
      <c r="BB154" s="3" t="s">
        <v>2061</v>
      </c>
      <c r="BC154" s="3" t="s">
        <v>2062</v>
      </c>
      <c r="BD154" s="3" t="s">
        <v>2063</v>
      </c>
    </row>
    <row r="155" spans="1:56" ht="48" customHeight="1" x14ac:dyDescent="0.25">
      <c r="A155" s="7" t="s">
        <v>59</v>
      </c>
      <c r="B155" s="2" t="s">
        <v>2064</v>
      </c>
      <c r="C155" s="2" t="s">
        <v>2065</v>
      </c>
      <c r="D155" s="2" t="s">
        <v>2052</v>
      </c>
      <c r="E155" s="3" t="s">
        <v>2066</v>
      </c>
      <c r="F155" s="3" t="s">
        <v>70</v>
      </c>
      <c r="G155" s="3" t="s">
        <v>60</v>
      </c>
      <c r="H155" s="3" t="s">
        <v>59</v>
      </c>
      <c r="I155" s="3" t="s">
        <v>59</v>
      </c>
      <c r="J155" s="3" t="s">
        <v>61</v>
      </c>
      <c r="K155" s="2" t="s">
        <v>2053</v>
      </c>
      <c r="L155" s="2" t="s">
        <v>2054</v>
      </c>
      <c r="M155" s="3" t="s">
        <v>248</v>
      </c>
      <c r="O155" s="3" t="s">
        <v>64</v>
      </c>
      <c r="P155" s="3" t="s">
        <v>65</v>
      </c>
      <c r="Q155" s="2" t="s">
        <v>2055</v>
      </c>
      <c r="R155" s="3" t="s">
        <v>67</v>
      </c>
      <c r="S155" s="4">
        <v>3</v>
      </c>
      <c r="T155" s="4">
        <v>3</v>
      </c>
      <c r="U155" s="5" t="s">
        <v>2056</v>
      </c>
      <c r="V155" s="5" t="s">
        <v>2056</v>
      </c>
      <c r="W155" s="5" t="s">
        <v>148</v>
      </c>
      <c r="X155" s="5" t="s">
        <v>148</v>
      </c>
      <c r="Y155" s="4">
        <v>228</v>
      </c>
      <c r="Z155" s="4">
        <v>196</v>
      </c>
      <c r="AA155" s="4">
        <v>203</v>
      </c>
      <c r="AB155" s="4">
        <v>3</v>
      </c>
      <c r="AC155" s="4">
        <v>3</v>
      </c>
      <c r="AD155" s="4">
        <v>4</v>
      </c>
      <c r="AE155" s="4">
        <v>4</v>
      </c>
      <c r="AF155" s="4">
        <v>2</v>
      </c>
      <c r="AG155" s="4">
        <v>2</v>
      </c>
      <c r="AH155" s="4">
        <v>0</v>
      </c>
      <c r="AI155" s="4">
        <v>0</v>
      </c>
      <c r="AJ155" s="4">
        <v>1</v>
      </c>
      <c r="AK155" s="4">
        <v>1</v>
      </c>
      <c r="AL155" s="4">
        <v>2</v>
      </c>
      <c r="AM155" s="4">
        <v>2</v>
      </c>
      <c r="AN155" s="4">
        <v>0</v>
      </c>
      <c r="AO155" s="4">
        <v>0</v>
      </c>
      <c r="AP155" s="3" t="s">
        <v>59</v>
      </c>
      <c r="AQ155" s="3" t="s">
        <v>70</v>
      </c>
      <c r="AR155" s="6" t="str">
        <f>HYPERLINK("http://catalog.hathitrust.org/Record/000261407","HathiTrust Record")</f>
        <v>HathiTrust Record</v>
      </c>
      <c r="AS155" s="6" t="str">
        <f>HYPERLINK("https://creighton-primo.hosted.exlibrisgroup.com/primo-explore/search?tab=default_tab&amp;search_scope=EVERYTHING&amp;vid=01CRU&amp;lang=en_US&amp;offset=0&amp;query=any,contains,991005069849702656","Catalog Record")</f>
        <v>Catalog Record</v>
      </c>
      <c r="AT155" s="6" t="str">
        <f>HYPERLINK("http://www.worldcat.org/oclc/7006644","WorldCat Record")</f>
        <v>WorldCat Record</v>
      </c>
      <c r="AU155" s="3" t="s">
        <v>2057</v>
      </c>
      <c r="AV155" s="3" t="s">
        <v>2058</v>
      </c>
      <c r="AW155" s="3" t="s">
        <v>2059</v>
      </c>
      <c r="AX155" s="3" t="s">
        <v>2059</v>
      </c>
      <c r="AY155" s="3" t="s">
        <v>2060</v>
      </c>
      <c r="AZ155" s="3" t="s">
        <v>75</v>
      </c>
      <c r="BB155" s="3" t="s">
        <v>2061</v>
      </c>
      <c r="BC155" s="3" t="s">
        <v>2067</v>
      </c>
      <c r="BD155" s="3" t="s">
        <v>2068</v>
      </c>
    </row>
    <row r="156" spans="1:56" ht="48" customHeight="1" x14ac:dyDescent="0.25">
      <c r="A156" s="7" t="s">
        <v>59</v>
      </c>
      <c r="B156" s="2" t="s">
        <v>2069</v>
      </c>
      <c r="C156" s="2" t="s">
        <v>2070</v>
      </c>
      <c r="D156" s="2" t="s">
        <v>2071</v>
      </c>
      <c r="F156" s="3" t="s">
        <v>59</v>
      </c>
      <c r="G156" s="3" t="s">
        <v>60</v>
      </c>
      <c r="H156" s="3" t="s">
        <v>59</v>
      </c>
      <c r="I156" s="3" t="s">
        <v>59</v>
      </c>
      <c r="J156" s="3" t="s">
        <v>61</v>
      </c>
      <c r="K156" s="2" t="s">
        <v>2072</v>
      </c>
      <c r="L156" s="2" t="s">
        <v>2073</v>
      </c>
      <c r="M156" s="3" t="s">
        <v>219</v>
      </c>
      <c r="O156" s="3" t="s">
        <v>64</v>
      </c>
      <c r="P156" s="3" t="s">
        <v>674</v>
      </c>
      <c r="Q156" s="2" t="s">
        <v>2074</v>
      </c>
      <c r="R156" s="3" t="s">
        <v>67</v>
      </c>
      <c r="S156" s="4">
        <v>7</v>
      </c>
      <c r="T156" s="4">
        <v>7</v>
      </c>
      <c r="U156" s="5" t="s">
        <v>2075</v>
      </c>
      <c r="V156" s="5" t="s">
        <v>2075</v>
      </c>
      <c r="W156" s="5" t="s">
        <v>2076</v>
      </c>
      <c r="X156" s="5" t="s">
        <v>2076</v>
      </c>
      <c r="Y156" s="4">
        <v>244</v>
      </c>
      <c r="Z156" s="4">
        <v>160</v>
      </c>
      <c r="AA156" s="4">
        <v>167</v>
      </c>
      <c r="AB156" s="4">
        <v>2</v>
      </c>
      <c r="AC156" s="4">
        <v>2</v>
      </c>
      <c r="AD156" s="4">
        <v>5</v>
      </c>
      <c r="AE156" s="4">
        <v>5</v>
      </c>
      <c r="AF156" s="4">
        <v>3</v>
      </c>
      <c r="AG156" s="4">
        <v>3</v>
      </c>
      <c r="AH156" s="4">
        <v>1</v>
      </c>
      <c r="AI156" s="4">
        <v>1</v>
      </c>
      <c r="AJ156" s="4">
        <v>1</v>
      </c>
      <c r="AK156" s="4">
        <v>1</v>
      </c>
      <c r="AL156" s="4">
        <v>1</v>
      </c>
      <c r="AM156" s="4">
        <v>1</v>
      </c>
      <c r="AN156" s="4">
        <v>0</v>
      </c>
      <c r="AO156" s="4">
        <v>0</v>
      </c>
      <c r="AP156" s="3" t="s">
        <v>59</v>
      </c>
      <c r="AQ156" s="3" t="s">
        <v>59</v>
      </c>
      <c r="AS156" s="6" t="str">
        <f>HYPERLINK("https://creighton-primo.hosted.exlibrisgroup.com/primo-explore/search?tab=default_tab&amp;search_scope=EVERYTHING&amp;vid=01CRU&amp;lang=en_US&amp;offset=0&amp;query=any,contains,991001585809702656","Catalog Record")</f>
        <v>Catalog Record</v>
      </c>
      <c r="AT156" s="6" t="str">
        <f>HYPERLINK("http://www.worldcat.org/oclc/20529121","WorldCat Record")</f>
        <v>WorldCat Record</v>
      </c>
      <c r="AU156" s="3" t="s">
        <v>2077</v>
      </c>
      <c r="AV156" s="3" t="s">
        <v>2078</v>
      </c>
      <c r="AW156" s="3" t="s">
        <v>2079</v>
      </c>
      <c r="AX156" s="3" t="s">
        <v>2079</v>
      </c>
      <c r="AY156" s="3" t="s">
        <v>2080</v>
      </c>
      <c r="AZ156" s="3" t="s">
        <v>75</v>
      </c>
      <c r="BB156" s="3" t="s">
        <v>2081</v>
      </c>
      <c r="BC156" s="3" t="s">
        <v>2082</v>
      </c>
      <c r="BD156" s="3" t="s">
        <v>2083</v>
      </c>
    </row>
    <row r="157" spans="1:56" ht="48" customHeight="1" x14ac:dyDescent="0.25">
      <c r="A157" s="7" t="s">
        <v>59</v>
      </c>
      <c r="B157" s="2" t="s">
        <v>2084</v>
      </c>
      <c r="C157" s="2" t="s">
        <v>2085</v>
      </c>
      <c r="D157" s="2" t="s">
        <v>2086</v>
      </c>
      <c r="F157" s="3" t="s">
        <v>59</v>
      </c>
      <c r="G157" s="3" t="s">
        <v>60</v>
      </c>
      <c r="H157" s="3" t="s">
        <v>59</v>
      </c>
      <c r="I157" s="3" t="s">
        <v>59</v>
      </c>
      <c r="J157" s="3" t="s">
        <v>61</v>
      </c>
      <c r="K157" s="2" t="s">
        <v>2087</v>
      </c>
      <c r="L157" s="2" t="s">
        <v>2088</v>
      </c>
      <c r="M157" s="3" t="s">
        <v>897</v>
      </c>
      <c r="O157" s="3" t="s">
        <v>64</v>
      </c>
      <c r="P157" s="3" t="s">
        <v>130</v>
      </c>
      <c r="R157" s="3" t="s">
        <v>67</v>
      </c>
      <c r="S157" s="4">
        <v>1</v>
      </c>
      <c r="T157" s="4">
        <v>1</v>
      </c>
      <c r="U157" s="5" t="s">
        <v>1381</v>
      </c>
      <c r="V157" s="5" t="s">
        <v>1381</v>
      </c>
      <c r="W157" s="5" t="s">
        <v>2089</v>
      </c>
      <c r="X157" s="5" t="s">
        <v>2089</v>
      </c>
      <c r="Y157" s="4">
        <v>333</v>
      </c>
      <c r="Z157" s="4">
        <v>240</v>
      </c>
      <c r="AA157" s="4">
        <v>321</v>
      </c>
      <c r="AB157" s="4">
        <v>3</v>
      </c>
      <c r="AC157" s="4">
        <v>3</v>
      </c>
      <c r="AD157" s="4">
        <v>13</v>
      </c>
      <c r="AE157" s="4">
        <v>16</v>
      </c>
      <c r="AF157" s="4">
        <v>5</v>
      </c>
      <c r="AG157" s="4">
        <v>8</v>
      </c>
      <c r="AH157" s="4">
        <v>3</v>
      </c>
      <c r="AI157" s="4">
        <v>3</v>
      </c>
      <c r="AJ157" s="4">
        <v>7</v>
      </c>
      <c r="AK157" s="4">
        <v>9</v>
      </c>
      <c r="AL157" s="4">
        <v>2</v>
      </c>
      <c r="AM157" s="4">
        <v>2</v>
      </c>
      <c r="AN157" s="4">
        <v>0</v>
      </c>
      <c r="AO157" s="4">
        <v>0</v>
      </c>
      <c r="AP157" s="3" t="s">
        <v>59</v>
      </c>
      <c r="AQ157" s="3" t="s">
        <v>70</v>
      </c>
      <c r="AR157" s="6" t="str">
        <f>HYPERLINK("http://catalog.hathitrust.org/Record/002235399","HathiTrust Record")</f>
        <v>HathiTrust Record</v>
      </c>
      <c r="AS157" s="6" t="str">
        <f>HYPERLINK("https://creighton-primo.hosted.exlibrisgroup.com/primo-explore/search?tab=default_tab&amp;search_scope=EVERYTHING&amp;vid=01CRU&amp;lang=en_US&amp;offset=0&amp;query=any,contains,991001746239702656","Catalog Record")</f>
        <v>Catalog Record</v>
      </c>
      <c r="AT157" s="6" t="str">
        <f>HYPERLINK("http://www.worldcat.org/oclc/22113789","WorldCat Record")</f>
        <v>WorldCat Record</v>
      </c>
      <c r="AU157" s="3" t="s">
        <v>2090</v>
      </c>
      <c r="AV157" s="3" t="s">
        <v>2091</v>
      </c>
      <c r="AW157" s="3" t="s">
        <v>2092</v>
      </c>
      <c r="AX157" s="3" t="s">
        <v>2092</v>
      </c>
      <c r="AY157" s="3" t="s">
        <v>2093</v>
      </c>
      <c r="AZ157" s="3" t="s">
        <v>75</v>
      </c>
      <c r="BB157" s="3" t="s">
        <v>2094</v>
      </c>
      <c r="BC157" s="3" t="s">
        <v>2095</v>
      </c>
      <c r="BD157" s="3" t="s">
        <v>2096</v>
      </c>
    </row>
    <row r="158" spans="1:56" ht="48" customHeight="1" x14ac:dyDescent="0.25">
      <c r="A158" s="7" t="s">
        <v>59</v>
      </c>
      <c r="B158" s="2" t="s">
        <v>2097</v>
      </c>
      <c r="C158" s="2" t="s">
        <v>2098</v>
      </c>
      <c r="D158" s="2" t="s">
        <v>2099</v>
      </c>
      <c r="F158" s="3" t="s">
        <v>59</v>
      </c>
      <c r="G158" s="3" t="s">
        <v>60</v>
      </c>
      <c r="H158" s="3" t="s">
        <v>59</v>
      </c>
      <c r="I158" s="3" t="s">
        <v>59</v>
      </c>
      <c r="J158" s="3" t="s">
        <v>61</v>
      </c>
      <c r="K158" s="2" t="s">
        <v>2100</v>
      </c>
      <c r="L158" s="2" t="s">
        <v>2101</v>
      </c>
      <c r="M158" s="3" t="s">
        <v>145</v>
      </c>
      <c r="O158" s="3" t="s">
        <v>64</v>
      </c>
      <c r="P158" s="3" t="s">
        <v>130</v>
      </c>
      <c r="R158" s="3" t="s">
        <v>67</v>
      </c>
      <c r="S158" s="4">
        <v>2</v>
      </c>
      <c r="T158" s="4">
        <v>2</v>
      </c>
      <c r="U158" s="5" t="s">
        <v>206</v>
      </c>
      <c r="V158" s="5" t="s">
        <v>206</v>
      </c>
      <c r="W158" s="5" t="s">
        <v>148</v>
      </c>
      <c r="X158" s="5" t="s">
        <v>148</v>
      </c>
      <c r="Y158" s="4">
        <v>297</v>
      </c>
      <c r="Z158" s="4">
        <v>212</v>
      </c>
      <c r="AA158" s="4">
        <v>378</v>
      </c>
      <c r="AB158" s="4">
        <v>3</v>
      </c>
      <c r="AC158" s="4">
        <v>4</v>
      </c>
      <c r="AD158" s="4">
        <v>5</v>
      </c>
      <c r="AE158" s="4">
        <v>14</v>
      </c>
      <c r="AF158" s="4">
        <v>0</v>
      </c>
      <c r="AG158" s="4">
        <v>6</v>
      </c>
      <c r="AH158" s="4">
        <v>1</v>
      </c>
      <c r="AI158" s="4">
        <v>2</v>
      </c>
      <c r="AJ158" s="4">
        <v>3</v>
      </c>
      <c r="AK158" s="4">
        <v>5</v>
      </c>
      <c r="AL158" s="4">
        <v>1</v>
      </c>
      <c r="AM158" s="4">
        <v>2</v>
      </c>
      <c r="AN158" s="4">
        <v>0</v>
      </c>
      <c r="AO158" s="4">
        <v>0</v>
      </c>
      <c r="AP158" s="3" t="s">
        <v>59</v>
      </c>
      <c r="AQ158" s="3" t="s">
        <v>59</v>
      </c>
      <c r="AS158" s="6" t="str">
        <f>HYPERLINK("https://creighton-primo.hosted.exlibrisgroup.com/primo-explore/search?tab=default_tab&amp;search_scope=EVERYTHING&amp;vid=01CRU&amp;lang=en_US&amp;offset=0&amp;query=any,contains,991004282169702656","Catalog Record")</f>
        <v>Catalog Record</v>
      </c>
      <c r="AT158" s="6" t="str">
        <f>HYPERLINK("http://www.worldcat.org/oclc/2912360","WorldCat Record")</f>
        <v>WorldCat Record</v>
      </c>
      <c r="AU158" s="3" t="s">
        <v>2102</v>
      </c>
      <c r="AV158" s="3" t="s">
        <v>2103</v>
      </c>
      <c r="AW158" s="3" t="s">
        <v>2104</v>
      </c>
      <c r="AX158" s="3" t="s">
        <v>2104</v>
      </c>
      <c r="AY158" s="3" t="s">
        <v>2105</v>
      </c>
      <c r="AZ158" s="3" t="s">
        <v>75</v>
      </c>
      <c r="BB158" s="3" t="s">
        <v>2106</v>
      </c>
      <c r="BC158" s="3" t="s">
        <v>2107</v>
      </c>
      <c r="BD158" s="3" t="s">
        <v>2108</v>
      </c>
    </row>
    <row r="159" spans="1:56" ht="48" customHeight="1" x14ac:dyDescent="0.25">
      <c r="A159" s="7" t="s">
        <v>59</v>
      </c>
      <c r="B159" s="2" t="s">
        <v>2109</v>
      </c>
      <c r="C159" s="2" t="s">
        <v>2110</v>
      </c>
      <c r="D159" s="2" t="s">
        <v>2111</v>
      </c>
      <c r="F159" s="3" t="s">
        <v>59</v>
      </c>
      <c r="G159" s="3" t="s">
        <v>60</v>
      </c>
      <c r="H159" s="3" t="s">
        <v>59</v>
      </c>
      <c r="I159" s="3" t="s">
        <v>59</v>
      </c>
      <c r="J159" s="3" t="s">
        <v>61</v>
      </c>
      <c r="K159" s="2" t="s">
        <v>2112</v>
      </c>
      <c r="L159" s="2" t="s">
        <v>745</v>
      </c>
      <c r="M159" s="3" t="s">
        <v>175</v>
      </c>
      <c r="O159" s="3" t="s">
        <v>64</v>
      </c>
      <c r="P159" s="3" t="s">
        <v>191</v>
      </c>
      <c r="Q159" s="2" t="s">
        <v>2113</v>
      </c>
      <c r="R159" s="3" t="s">
        <v>67</v>
      </c>
      <c r="S159" s="4">
        <v>8</v>
      </c>
      <c r="T159" s="4">
        <v>8</v>
      </c>
      <c r="U159" s="5" t="s">
        <v>2114</v>
      </c>
      <c r="V159" s="5" t="s">
        <v>2114</v>
      </c>
      <c r="W159" s="5" t="s">
        <v>2115</v>
      </c>
      <c r="X159" s="5" t="s">
        <v>2115</v>
      </c>
      <c r="Y159" s="4">
        <v>418</v>
      </c>
      <c r="Z159" s="4">
        <v>348</v>
      </c>
      <c r="AA159" s="4">
        <v>369</v>
      </c>
      <c r="AB159" s="4">
        <v>2</v>
      </c>
      <c r="AC159" s="4">
        <v>2</v>
      </c>
      <c r="AD159" s="4">
        <v>13</v>
      </c>
      <c r="AE159" s="4">
        <v>13</v>
      </c>
      <c r="AF159" s="4">
        <v>8</v>
      </c>
      <c r="AG159" s="4">
        <v>8</v>
      </c>
      <c r="AH159" s="4">
        <v>2</v>
      </c>
      <c r="AI159" s="4">
        <v>2</v>
      </c>
      <c r="AJ159" s="4">
        <v>6</v>
      </c>
      <c r="AK159" s="4">
        <v>6</v>
      </c>
      <c r="AL159" s="4">
        <v>1</v>
      </c>
      <c r="AM159" s="4">
        <v>1</v>
      </c>
      <c r="AN159" s="4">
        <v>0</v>
      </c>
      <c r="AO159" s="4">
        <v>0</v>
      </c>
      <c r="AP159" s="3" t="s">
        <v>59</v>
      </c>
      <c r="AQ159" s="3" t="s">
        <v>59</v>
      </c>
      <c r="AS159" s="6" t="str">
        <f>HYPERLINK("https://creighton-primo.hosted.exlibrisgroup.com/primo-explore/search?tab=default_tab&amp;search_scope=EVERYTHING&amp;vid=01CRU&amp;lang=en_US&amp;offset=0&amp;query=any,contains,991002970259702656","Catalog Record")</f>
        <v>Catalog Record</v>
      </c>
      <c r="AT159" s="6" t="str">
        <f>HYPERLINK("http://www.worldcat.org/oclc/39763744","WorldCat Record")</f>
        <v>WorldCat Record</v>
      </c>
      <c r="AU159" s="3" t="s">
        <v>2116</v>
      </c>
      <c r="AV159" s="3" t="s">
        <v>2117</v>
      </c>
      <c r="AW159" s="3" t="s">
        <v>2118</v>
      </c>
      <c r="AX159" s="3" t="s">
        <v>2118</v>
      </c>
      <c r="AY159" s="3" t="s">
        <v>2119</v>
      </c>
      <c r="AZ159" s="3" t="s">
        <v>75</v>
      </c>
      <c r="BB159" s="3" t="s">
        <v>2120</v>
      </c>
      <c r="BC159" s="3" t="s">
        <v>2121</v>
      </c>
      <c r="BD159" s="3" t="s">
        <v>2122</v>
      </c>
    </row>
    <row r="160" spans="1:56" ht="48" customHeight="1" x14ac:dyDescent="0.25">
      <c r="A160" s="7" t="s">
        <v>59</v>
      </c>
      <c r="B160" s="2" t="s">
        <v>2123</v>
      </c>
      <c r="C160" s="2" t="s">
        <v>2124</v>
      </c>
      <c r="D160" s="2" t="s">
        <v>2125</v>
      </c>
      <c r="F160" s="3" t="s">
        <v>59</v>
      </c>
      <c r="G160" s="3" t="s">
        <v>60</v>
      </c>
      <c r="H160" s="3" t="s">
        <v>59</v>
      </c>
      <c r="I160" s="3" t="s">
        <v>59</v>
      </c>
      <c r="J160" s="3" t="s">
        <v>61</v>
      </c>
      <c r="K160" s="2" t="s">
        <v>2126</v>
      </c>
      <c r="L160" s="2" t="s">
        <v>2127</v>
      </c>
      <c r="M160" s="3" t="s">
        <v>485</v>
      </c>
      <c r="O160" s="3" t="s">
        <v>64</v>
      </c>
      <c r="P160" s="3" t="s">
        <v>130</v>
      </c>
      <c r="R160" s="3" t="s">
        <v>67</v>
      </c>
      <c r="S160" s="4">
        <v>1</v>
      </c>
      <c r="T160" s="4">
        <v>1</v>
      </c>
      <c r="U160" s="5" t="s">
        <v>2128</v>
      </c>
      <c r="V160" s="5" t="s">
        <v>2128</v>
      </c>
      <c r="W160" s="5" t="s">
        <v>148</v>
      </c>
      <c r="X160" s="5" t="s">
        <v>148</v>
      </c>
      <c r="Y160" s="4">
        <v>159</v>
      </c>
      <c r="Z160" s="4">
        <v>118</v>
      </c>
      <c r="AA160" s="4">
        <v>129</v>
      </c>
      <c r="AB160" s="4">
        <v>3</v>
      </c>
      <c r="AC160" s="4">
        <v>3</v>
      </c>
      <c r="AD160" s="4">
        <v>3</v>
      </c>
      <c r="AE160" s="4">
        <v>4</v>
      </c>
      <c r="AF160" s="4">
        <v>1</v>
      </c>
      <c r="AG160" s="4">
        <v>2</v>
      </c>
      <c r="AH160" s="4">
        <v>0</v>
      </c>
      <c r="AI160" s="4">
        <v>0</v>
      </c>
      <c r="AJ160" s="4">
        <v>0</v>
      </c>
      <c r="AK160" s="4">
        <v>0</v>
      </c>
      <c r="AL160" s="4">
        <v>2</v>
      </c>
      <c r="AM160" s="4">
        <v>2</v>
      </c>
      <c r="AN160" s="4">
        <v>0</v>
      </c>
      <c r="AO160" s="4">
        <v>0</v>
      </c>
      <c r="AP160" s="3" t="s">
        <v>59</v>
      </c>
      <c r="AQ160" s="3" t="s">
        <v>59</v>
      </c>
      <c r="AS160" s="6" t="str">
        <f>HYPERLINK("https://creighton-primo.hosted.exlibrisgroup.com/primo-explore/search?tab=default_tab&amp;search_scope=EVERYTHING&amp;vid=01CRU&amp;lang=en_US&amp;offset=0&amp;query=any,contains,991005071279702656","Catalog Record")</f>
        <v>Catalog Record</v>
      </c>
      <c r="AT160" s="6" t="str">
        <f>HYPERLINK("http://www.worldcat.org/oclc/7026637","WorldCat Record")</f>
        <v>WorldCat Record</v>
      </c>
      <c r="AU160" s="3" t="s">
        <v>2129</v>
      </c>
      <c r="AV160" s="3" t="s">
        <v>2130</v>
      </c>
      <c r="AW160" s="3" t="s">
        <v>2131</v>
      </c>
      <c r="AX160" s="3" t="s">
        <v>2131</v>
      </c>
      <c r="AY160" s="3" t="s">
        <v>2132</v>
      </c>
      <c r="AZ160" s="3" t="s">
        <v>75</v>
      </c>
      <c r="BC160" s="3" t="s">
        <v>2133</v>
      </c>
      <c r="BD160" s="3" t="s">
        <v>2134</v>
      </c>
    </row>
    <row r="161" spans="1:56" ht="48" customHeight="1" x14ac:dyDescent="0.25">
      <c r="A161" s="7" t="s">
        <v>59</v>
      </c>
      <c r="B161" s="2" t="s">
        <v>2135</v>
      </c>
      <c r="C161" s="2" t="s">
        <v>2136</v>
      </c>
      <c r="D161" s="2" t="s">
        <v>2137</v>
      </c>
      <c r="F161" s="3" t="s">
        <v>59</v>
      </c>
      <c r="G161" s="3" t="s">
        <v>60</v>
      </c>
      <c r="H161" s="3" t="s">
        <v>59</v>
      </c>
      <c r="I161" s="3" t="s">
        <v>70</v>
      </c>
      <c r="J161" s="3" t="s">
        <v>61</v>
      </c>
      <c r="K161" s="2" t="s">
        <v>2138</v>
      </c>
      <c r="L161" s="2" t="s">
        <v>2139</v>
      </c>
      <c r="M161" s="3" t="s">
        <v>549</v>
      </c>
      <c r="N161" s="2" t="s">
        <v>536</v>
      </c>
      <c r="O161" s="3" t="s">
        <v>64</v>
      </c>
      <c r="P161" s="3" t="s">
        <v>2140</v>
      </c>
      <c r="R161" s="3" t="s">
        <v>67</v>
      </c>
      <c r="S161" s="4">
        <v>4</v>
      </c>
      <c r="T161" s="4">
        <v>4</v>
      </c>
      <c r="U161" s="5" t="s">
        <v>1959</v>
      </c>
      <c r="V161" s="5" t="s">
        <v>1959</v>
      </c>
      <c r="W161" s="5" t="s">
        <v>148</v>
      </c>
      <c r="X161" s="5" t="s">
        <v>148</v>
      </c>
      <c r="Y161" s="4">
        <v>430</v>
      </c>
      <c r="Z161" s="4">
        <v>336</v>
      </c>
      <c r="AA161" s="4">
        <v>712</v>
      </c>
      <c r="AB161" s="4">
        <v>5</v>
      </c>
      <c r="AC161" s="4">
        <v>10</v>
      </c>
      <c r="AD161" s="4">
        <v>11</v>
      </c>
      <c r="AE161" s="4">
        <v>27</v>
      </c>
      <c r="AF161" s="4">
        <v>2</v>
      </c>
      <c r="AG161" s="4">
        <v>8</v>
      </c>
      <c r="AH161" s="4">
        <v>1</v>
      </c>
      <c r="AI161" s="4">
        <v>3</v>
      </c>
      <c r="AJ161" s="4">
        <v>5</v>
      </c>
      <c r="AK161" s="4">
        <v>12</v>
      </c>
      <c r="AL161" s="4">
        <v>4</v>
      </c>
      <c r="AM161" s="4">
        <v>8</v>
      </c>
      <c r="AN161" s="4">
        <v>0</v>
      </c>
      <c r="AO161" s="4">
        <v>0</v>
      </c>
      <c r="AP161" s="3" t="s">
        <v>59</v>
      </c>
      <c r="AQ161" s="3" t="s">
        <v>70</v>
      </c>
      <c r="AR161" s="6" t="str">
        <f>HYPERLINK("http://catalog.hathitrust.org/Record/000018881","HathiTrust Record")</f>
        <v>HathiTrust Record</v>
      </c>
      <c r="AS161" s="6" t="str">
        <f>HYPERLINK("https://creighton-primo.hosted.exlibrisgroup.com/primo-explore/search?tab=default_tab&amp;search_scope=EVERYTHING&amp;vid=01CRU&amp;lang=en_US&amp;offset=0&amp;query=any,contains,991003806319702656","Catalog Record")</f>
        <v>Catalog Record</v>
      </c>
      <c r="AT161" s="6" t="str">
        <f>HYPERLINK("http://www.worldcat.org/oclc/1530774","WorldCat Record")</f>
        <v>WorldCat Record</v>
      </c>
      <c r="AU161" s="3" t="s">
        <v>2141</v>
      </c>
      <c r="AV161" s="3" t="s">
        <v>2142</v>
      </c>
      <c r="AW161" s="3" t="s">
        <v>2143</v>
      </c>
      <c r="AX161" s="3" t="s">
        <v>2143</v>
      </c>
      <c r="AY161" s="3" t="s">
        <v>2144</v>
      </c>
      <c r="AZ161" s="3" t="s">
        <v>75</v>
      </c>
      <c r="BB161" s="3" t="s">
        <v>2145</v>
      </c>
      <c r="BC161" s="3" t="s">
        <v>2146</v>
      </c>
      <c r="BD161" s="3" t="s">
        <v>2147</v>
      </c>
    </row>
    <row r="162" spans="1:56" ht="48" customHeight="1" x14ac:dyDescent="0.25">
      <c r="A162" s="7" t="s">
        <v>59</v>
      </c>
      <c r="B162" s="2" t="s">
        <v>2148</v>
      </c>
      <c r="C162" s="2" t="s">
        <v>2149</v>
      </c>
      <c r="D162" s="2" t="s">
        <v>2150</v>
      </c>
      <c r="E162" s="3" t="s">
        <v>1470</v>
      </c>
      <c r="F162" s="3" t="s">
        <v>70</v>
      </c>
      <c r="G162" s="3" t="s">
        <v>60</v>
      </c>
      <c r="H162" s="3" t="s">
        <v>59</v>
      </c>
      <c r="I162" s="3" t="s">
        <v>59</v>
      </c>
      <c r="J162" s="3" t="s">
        <v>61</v>
      </c>
      <c r="K162" s="2" t="s">
        <v>2151</v>
      </c>
      <c r="L162" s="2" t="s">
        <v>2152</v>
      </c>
      <c r="M162" s="3" t="s">
        <v>485</v>
      </c>
      <c r="O162" s="3" t="s">
        <v>64</v>
      </c>
      <c r="P162" s="3" t="s">
        <v>130</v>
      </c>
      <c r="R162" s="3" t="s">
        <v>67</v>
      </c>
      <c r="S162" s="4">
        <v>1</v>
      </c>
      <c r="T162" s="4">
        <v>4</v>
      </c>
      <c r="U162" s="5" t="s">
        <v>2153</v>
      </c>
      <c r="V162" s="5" t="s">
        <v>2153</v>
      </c>
      <c r="W162" s="5" t="s">
        <v>148</v>
      </c>
      <c r="X162" s="5" t="s">
        <v>148</v>
      </c>
      <c r="Y162" s="4">
        <v>700</v>
      </c>
      <c r="Z162" s="4">
        <v>598</v>
      </c>
      <c r="AA162" s="4">
        <v>617</v>
      </c>
      <c r="AB162" s="4">
        <v>8</v>
      </c>
      <c r="AC162" s="4">
        <v>8</v>
      </c>
      <c r="AD162" s="4">
        <v>20</v>
      </c>
      <c r="AE162" s="4">
        <v>22</v>
      </c>
      <c r="AF162" s="4">
        <v>6</v>
      </c>
      <c r="AG162" s="4">
        <v>7</v>
      </c>
      <c r="AH162" s="4">
        <v>4</v>
      </c>
      <c r="AI162" s="4">
        <v>5</v>
      </c>
      <c r="AJ162" s="4">
        <v>10</v>
      </c>
      <c r="AK162" s="4">
        <v>10</v>
      </c>
      <c r="AL162" s="4">
        <v>6</v>
      </c>
      <c r="AM162" s="4">
        <v>6</v>
      </c>
      <c r="AN162" s="4">
        <v>0</v>
      </c>
      <c r="AO162" s="4">
        <v>0</v>
      </c>
      <c r="AP162" s="3" t="s">
        <v>59</v>
      </c>
      <c r="AQ162" s="3" t="s">
        <v>70</v>
      </c>
      <c r="AR162" s="6" t="str">
        <f>HYPERLINK("http://catalog.hathitrust.org/Record/000695307","HathiTrust Record")</f>
        <v>HathiTrust Record</v>
      </c>
      <c r="AS162" s="6" t="str">
        <f>HYPERLINK("https://creighton-primo.hosted.exlibrisgroup.com/primo-explore/search?tab=default_tab&amp;search_scope=EVERYTHING&amp;vid=01CRU&amp;lang=en_US&amp;offset=0&amp;query=any,contains,991004835229702656","Catalog Record")</f>
        <v>Catalog Record</v>
      </c>
      <c r="AT162" s="6" t="str">
        <f>HYPERLINK("http://www.worldcat.org/oclc/5447180","WorldCat Record")</f>
        <v>WorldCat Record</v>
      </c>
      <c r="AU162" s="3" t="s">
        <v>2154</v>
      </c>
      <c r="AV162" s="3" t="s">
        <v>2155</v>
      </c>
      <c r="AW162" s="3" t="s">
        <v>2156</v>
      </c>
      <c r="AX162" s="3" t="s">
        <v>2156</v>
      </c>
      <c r="AY162" s="3" t="s">
        <v>2157</v>
      </c>
      <c r="AZ162" s="3" t="s">
        <v>75</v>
      </c>
      <c r="BB162" s="3" t="s">
        <v>2158</v>
      </c>
      <c r="BC162" s="3" t="s">
        <v>2159</v>
      </c>
      <c r="BD162" s="3" t="s">
        <v>2160</v>
      </c>
    </row>
    <row r="163" spans="1:56" ht="48" customHeight="1" x14ac:dyDescent="0.25">
      <c r="A163" s="7" t="s">
        <v>59</v>
      </c>
      <c r="B163" s="2" t="s">
        <v>2148</v>
      </c>
      <c r="C163" s="2" t="s">
        <v>2149</v>
      </c>
      <c r="D163" s="2" t="s">
        <v>2150</v>
      </c>
      <c r="E163" s="3" t="s">
        <v>713</v>
      </c>
      <c r="F163" s="3" t="s">
        <v>70</v>
      </c>
      <c r="G163" s="3" t="s">
        <v>60</v>
      </c>
      <c r="H163" s="3" t="s">
        <v>59</v>
      </c>
      <c r="I163" s="3" t="s">
        <v>59</v>
      </c>
      <c r="J163" s="3" t="s">
        <v>61</v>
      </c>
      <c r="K163" s="2" t="s">
        <v>2151</v>
      </c>
      <c r="L163" s="2" t="s">
        <v>2152</v>
      </c>
      <c r="M163" s="3" t="s">
        <v>485</v>
      </c>
      <c r="O163" s="3" t="s">
        <v>64</v>
      </c>
      <c r="P163" s="3" t="s">
        <v>130</v>
      </c>
      <c r="R163" s="3" t="s">
        <v>67</v>
      </c>
      <c r="S163" s="4">
        <v>2</v>
      </c>
      <c r="T163" s="4">
        <v>4</v>
      </c>
      <c r="U163" s="5" t="s">
        <v>2161</v>
      </c>
      <c r="V163" s="5" t="s">
        <v>2153</v>
      </c>
      <c r="W163" s="5" t="s">
        <v>148</v>
      </c>
      <c r="X163" s="5" t="s">
        <v>148</v>
      </c>
      <c r="Y163" s="4">
        <v>700</v>
      </c>
      <c r="Z163" s="4">
        <v>598</v>
      </c>
      <c r="AA163" s="4">
        <v>617</v>
      </c>
      <c r="AB163" s="4">
        <v>8</v>
      </c>
      <c r="AC163" s="4">
        <v>8</v>
      </c>
      <c r="AD163" s="4">
        <v>20</v>
      </c>
      <c r="AE163" s="4">
        <v>22</v>
      </c>
      <c r="AF163" s="4">
        <v>6</v>
      </c>
      <c r="AG163" s="4">
        <v>7</v>
      </c>
      <c r="AH163" s="4">
        <v>4</v>
      </c>
      <c r="AI163" s="4">
        <v>5</v>
      </c>
      <c r="AJ163" s="4">
        <v>10</v>
      </c>
      <c r="AK163" s="4">
        <v>10</v>
      </c>
      <c r="AL163" s="4">
        <v>6</v>
      </c>
      <c r="AM163" s="4">
        <v>6</v>
      </c>
      <c r="AN163" s="4">
        <v>0</v>
      </c>
      <c r="AO163" s="4">
        <v>0</v>
      </c>
      <c r="AP163" s="3" t="s">
        <v>59</v>
      </c>
      <c r="AQ163" s="3" t="s">
        <v>70</v>
      </c>
      <c r="AR163" s="6" t="str">
        <f>HYPERLINK("http://catalog.hathitrust.org/Record/000695307","HathiTrust Record")</f>
        <v>HathiTrust Record</v>
      </c>
      <c r="AS163" s="6" t="str">
        <f>HYPERLINK("https://creighton-primo.hosted.exlibrisgroup.com/primo-explore/search?tab=default_tab&amp;search_scope=EVERYTHING&amp;vid=01CRU&amp;lang=en_US&amp;offset=0&amp;query=any,contains,991004835229702656","Catalog Record")</f>
        <v>Catalog Record</v>
      </c>
      <c r="AT163" s="6" t="str">
        <f>HYPERLINK("http://www.worldcat.org/oclc/5447180","WorldCat Record")</f>
        <v>WorldCat Record</v>
      </c>
      <c r="AU163" s="3" t="s">
        <v>2154</v>
      </c>
      <c r="AV163" s="3" t="s">
        <v>2155</v>
      </c>
      <c r="AW163" s="3" t="s">
        <v>2156</v>
      </c>
      <c r="AX163" s="3" t="s">
        <v>2156</v>
      </c>
      <c r="AY163" s="3" t="s">
        <v>2157</v>
      </c>
      <c r="AZ163" s="3" t="s">
        <v>75</v>
      </c>
      <c r="BB163" s="3" t="s">
        <v>2158</v>
      </c>
      <c r="BC163" s="3" t="s">
        <v>2162</v>
      </c>
      <c r="BD163" s="3" t="s">
        <v>2163</v>
      </c>
    </row>
    <row r="164" spans="1:56" ht="48" customHeight="1" x14ac:dyDescent="0.25">
      <c r="A164" s="7" t="s">
        <v>59</v>
      </c>
      <c r="B164" s="2" t="s">
        <v>2148</v>
      </c>
      <c r="C164" s="2" t="s">
        <v>2149</v>
      </c>
      <c r="D164" s="2" t="s">
        <v>2150</v>
      </c>
      <c r="E164" s="3" t="s">
        <v>723</v>
      </c>
      <c r="F164" s="3" t="s">
        <v>70</v>
      </c>
      <c r="G164" s="3" t="s">
        <v>60</v>
      </c>
      <c r="H164" s="3" t="s">
        <v>59</v>
      </c>
      <c r="I164" s="3" t="s">
        <v>59</v>
      </c>
      <c r="J164" s="3" t="s">
        <v>61</v>
      </c>
      <c r="K164" s="2" t="s">
        <v>2151</v>
      </c>
      <c r="L164" s="2" t="s">
        <v>2152</v>
      </c>
      <c r="M164" s="3" t="s">
        <v>485</v>
      </c>
      <c r="O164" s="3" t="s">
        <v>64</v>
      </c>
      <c r="P164" s="3" t="s">
        <v>130</v>
      </c>
      <c r="R164" s="3" t="s">
        <v>67</v>
      </c>
      <c r="S164" s="4">
        <v>1</v>
      </c>
      <c r="T164" s="4">
        <v>4</v>
      </c>
      <c r="V164" s="5" t="s">
        <v>2153</v>
      </c>
      <c r="W164" s="5" t="s">
        <v>2164</v>
      </c>
      <c r="X164" s="5" t="s">
        <v>148</v>
      </c>
      <c r="Y164" s="4">
        <v>700</v>
      </c>
      <c r="Z164" s="4">
        <v>598</v>
      </c>
      <c r="AA164" s="4">
        <v>617</v>
      </c>
      <c r="AB164" s="4">
        <v>8</v>
      </c>
      <c r="AC164" s="4">
        <v>8</v>
      </c>
      <c r="AD164" s="4">
        <v>20</v>
      </c>
      <c r="AE164" s="4">
        <v>22</v>
      </c>
      <c r="AF164" s="4">
        <v>6</v>
      </c>
      <c r="AG164" s="4">
        <v>7</v>
      </c>
      <c r="AH164" s="4">
        <v>4</v>
      </c>
      <c r="AI164" s="4">
        <v>5</v>
      </c>
      <c r="AJ164" s="4">
        <v>10</v>
      </c>
      <c r="AK164" s="4">
        <v>10</v>
      </c>
      <c r="AL164" s="4">
        <v>6</v>
      </c>
      <c r="AM164" s="4">
        <v>6</v>
      </c>
      <c r="AN164" s="4">
        <v>0</v>
      </c>
      <c r="AO164" s="4">
        <v>0</v>
      </c>
      <c r="AP164" s="3" t="s">
        <v>59</v>
      </c>
      <c r="AQ164" s="3" t="s">
        <v>70</v>
      </c>
      <c r="AR164" s="6" t="str">
        <f>HYPERLINK("http://catalog.hathitrust.org/Record/000695307","HathiTrust Record")</f>
        <v>HathiTrust Record</v>
      </c>
      <c r="AS164" s="6" t="str">
        <f>HYPERLINK("https://creighton-primo.hosted.exlibrisgroup.com/primo-explore/search?tab=default_tab&amp;search_scope=EVERYTHING&amp;vid=01CRU&amp;lang=en_US&amp;offset=0&amp;query=any,contains,991004835229702656","Catalog Record")</f>
        <v>Catalog Record</v>
      </c>
      <c r="AT164" s="6" t="str">
        <f>HYPERLINK("http://www.worldcat.org/oclc/5447180","WorldCat Record")</f>
        <v>WorldCat Record</v>
      </c>
      <c r="AU164" s="3" t="s">
        <v>2154</v>
      </c>
      <c r="AV164" s="3" t="s">
        <v>2155</v>
      </c>
      <c r="AW164" s="3" t="s">
        <v>2156</v>
      </c>
      <c r="AX164" s="3" t="s">
        <v>2156</v>
      </c>
      <c r="AY164" s="3" t="s">
        <v>2157</v>
      </c>
      <c r="AZ164" s="3" t="s">
        <v>75</v>
      </c>
      <c r="BB164" s="3" t="s">
        <v>2158</v>
      </c>
      <c r="BC164" s="3" t="s">
        <v>2165</v>
      </c>
      <c r="BD164" s="3" t="s">
        <v>2166</v>
      </c>
    </row>
    <row r="165" spans="1:56" ht="48" customHeight="1" x14ac:dyDescent="0.25">
      <c r="A165" s="7" t="s">
        <v>59</v>
      </c>
      <c r="B165" s="2" t="s">
        <v>2167</v>
      </c>
      <c r="C165" s="2" t="s">
        <v>2168</v>
      </c>
      <c r="D165" s="2" t="s">
        <v>2169</v>
      </c>
      <c r="F165" s="3" t="s">
        <v>59</v>
      </c>
      <c r="G165" s="3" t="s">
        <v>60</v>
      </c>
      <c r="H165" s="3" t="s">
        <v>59</v>
      </c>
      <c r="I165" s="3" t="s">
        <v>59</v>
      </c>
      <c r="J165" s="3" t="s">
        <v>61</v>
      </c>
      <c r="K165" s="2" t="s">
        <v>2151</v>
      </c>
      <c r="L165" s="2" t="s">
        <v>2170</v>
      </c>
      <c r="M165" s="3" t="s">
        <v>2171</v>
      </c>
      <c r="O165" s="3" t="s">
        <v>64</v>
      </c>
      <c r="P165" s="3" t="s">
        <v>130</v>
      </c>
      <c r="R165" s="3" t="s">
        <v>67</v>
      </c>
      <c r="S165" s="4">
        <v>2</v>
      </c>
      <c r="T165" s="4">
        <v>2</v>
      </c>
      <c r="U165" s="5" t="s">
        <v>2172</v>
      </c>
      <c r="V165" s="5" t="s">
        <v>2172</v>
      </c>
      <c r="W165" s="5" t="s">
        <v>501</v>
      </c>
      <c r="X165" s="5" t="s">
        <v>501</v>
      </c>
      <c r="Y165" s="4">
        <v>1290</v>
      </c>
      <c r="Z165" s="4">
        <v>1053</v>
      </c>
      <c r="AA165" s="4">
        <v>1154</v>
      </c>
      <c r="AB165" s="4">
        <v>4</v>
      </c>
      <c r="AC165" s="4">
        <v>7</v>
      </c>
      <c r="AD165" s="4">
        <v>23</v>
      </c>
      <c r="AE165" s="4">
        <v>28</v>
      </c>
      <c r="AF165" s="4">
        <v>8</v>
      </c>
      <c r="AG165" s="4">
        <v>10</v>
      </c>
      <c r="AH165" s="4">
        <v>6</v>
      </c>
      <c r="AI165" s="4">
        <v>7</v>
      </c>
      <c r="AJ165" s="4">
        <v>12</v>
      </c>
      <c r="AK165" s="4">
        <v>13</v>
      </c>
      <c r="AL165" s="4">
        <v>3</v>
      </c>
      <c r="AM165" s="4">
        <v>5</v>
      </c>
      <c r="AN165" s="4">
        <v>0</v>
      </c>
      <c r="AO165" s="4">
        <v>0</v>
      </c>
      <c r="AP165" s="3" t="s">
        <v>59</v>
      </c>
      <c r="AQ165" s="3" t="s">
        <v>70</v>
      </c>
      <c r="AR165" s="6" t="str">
        <f>HYPERLINK("http://catalog.hathitrust.org/Record/000013088","HathiTrust Record")</f>
        <v>HathiTrust Record</v>
      </c>
      <c r="AS165" s="6" t="str">
        <f>HYPERLINK("https://creighton-primo.hosted.exlibrisgroup.com/primo-explore/search?tab=default_tab&amp;search_scope=EVERYTHING&amp;vid=01CRU&amp;lang=en_US&amp;offset=0&amp;query=any,contains,991005264589702656","Catalog Record")</f>
        <v>Catalog Record</v>
      </c>
      <c r="AT165" s="6" t="str">
        <f>HYPERLINK("http://www.worldcat.org/oclc/850428","WorldCat Record")</f>
        <v>WorldCat Record</v>
      </c>
      <c r="AU165" s="3" t="s">
        <v>2173</v>
      </c>
      <c r="AV165" s="3" t="s">
        <v>2174</v>
      </c>
      <c r="AW165" s="3" t="s">
        <v>2175</v>
      </c>
      <c r="AX165" s="3" t="s">
        <v>2175</v>
      </c>
      <c r="AY165" s="3" t="s">
        <v>2176</v>
      </c>
      <c r="AZ165" s="3" t="s">
        <v>75</v>
      </c>
      <c r="BC165" s="3" t="s">
        <v>2177</v>
      </c>
      <c r="BD165" s="3" t="s">
        <v>2178</v>
      </c>
    </row>
    <row r="166" spans="1:56" ht="48" customHeight="1" x14ac:dyDescent="0.25">
      <c r="A166" s="7" t="s">
        <v>59</v>
      </c>
      <c r="B166" s="2" t="s">
        <v>2179</v>
      </c>
      <c r="C166" s="2" t="s">
        <v>2180</v>
      </c>
      <c r="D166" s="2" t="s">
        <v>2181</v>
      </c>
      <c r="F166" s="3" t="s">
        <v>59</v>
      </c>
      <c r="G166" s="3" t="s">
        <v>60</v>
      </c>
      <c r="H166" s="3" t="s">
        <v>59</v>
      </c>
      <c r="I166" s="3" t="s">
        <v>59</v>
      </c>
      <c r="J166" s="3" t="s">
        <v>61</v>
      </c>
      <c r="K166" s="2" t="s">
        <v>2151</v>
      </c>
      <c r="L166" s="2" t="s">
        <v>2182</v>
      </c>
      <c r="M166" s="3" t="s">
        <v>2183</v>
      </c>
      <c r="O166" s="3" t="s">
        <v>64</v>
      </c>
      <c r="P166" s="3" t="s">
        <v>130</v>
      </c>
      <c r="R166" s="3" t="s">
        <v>67</v>
      </c>
      <c r="S166" s="4">
        <v>6</v>
      </c>
      <c r="T166" s="4">
        <v>6</v>
      </c>
      <c r="U166" s="5" t="s">
        <v>2128</v>
      </c>
      <c r="V166" s="5" t="s">
        <v>2128</v>
      </c>
      <c r="W166" s="5" t="s">
        <v>2184</v>
      </c>
      <c r="X166" s="5" t="s">
        <v>2184</v>
      </c>
      <c r="Y166" s="4">
        <v>1291</v>
      </c>
      <c r="Z166" s="4">
        <v>1037</v>
      </c>
      <c r="AA166" s="4">
        <v>1166</v>
      </c>
      <c r="AB166" s="4">
        <v>8</v>
      </c>
      <c r="AC166" s="4">
        <v>8</v>
      </c>
      <c r="AD166" s="4">
        <v>31</v>
      </c>
      <c r="AE166" s="4">
        <v>32</v>
      </c>
      <c r="AF166" s="4">
        <v>14</v>
      </c>
      <c r="AG166" s="4">
        <v>15</v>
      </c>
      <c r="AH166" s="4">
        <v>6</v>
      </c>
      <c r="AI166" s="4">
        <v>7</v>
      </c>
      <c r="AJ166" s="4">
        <v>14</v>
      </c>
      <c r="AK166" s="4">
        <v>14</v>
      </c>
      <c r="AL166" s="4">
        <v>5</v>
      </c>
      <c r="AM166" s="4">
        <v>5</v>
      </c>
      <c r="AN166" s="4">
        <v>0</v>
      </c>
      <c r="AO166" s="4">
        <v>0</v>
      </c>
      <c r="AP166" s="3" t="s">
        <v>59</v>
      </c>
      <c r="AQ166" s="3" t="s">
        <v>70</v>
      </c>
      <c r="AR166" s="6" t="str">
        <f>HYPERLINK("http://catalog.hathitrust.org/Record/000003526","HathiTrust Record")</f>
        <v>HathiTrust Record</v>
      </c>
      <c r="AS166" s="6" t="str">
        <f>HYPERLINK("https://creighton-primo.hosted.exlibrisgroup.com/primo-explore/search?tab=default_tab&amp;search_scope=EVERYTHING&amp;vid=01CRU&amp;lang=en_US&amp;offset=0&amp;query=any,contains,991001913719702656","Catalog Record")</f>
        <v>Catalog Record</v>
      </c>
      <c r="AT166" s="6" t="str">
        <f>HYPERLINK("http://www.worldcat.org/oclc/242951","WorldCat Record")</f>
        <v>WorldCat Record</v>
      </c>
      <c r="AU166" s="3" t="s">
        <v>2185</v>
      </c>
      <c r="AV166" s="3" t="s">
        <v>2186</v>
      </c>
      <c r="AW166" s="3" t="s">
        <v>2187</v>
      </c>
      <c r="AX166" s="3" t="s">
        <v>2187</v>
      </c>
      <c r="AY166" s="3" t="s">
        <v>2188</v>
      </c>
      <c r="AZ166" s="3" t="s">
        <v>75</v>
      </c>
      <c r="BC166" s="3" t="s">
        <v>2189</v>
      </c>
      <c r="BD166" s="3" t="s">
        <v>2190</v>
      </c>
    </row>
    <row r="167" spans="1:56" ht="48" customHeight="1" x14ac:dyDescent="0.25">
      <c r="A167" s="7" t="s">
        <v>59</v>
      </c>
      <c r="B167" s="2" t="s">
        <v>2191</v>
      </c>
      <c r="C167" s="2" t="s">
        <v>2192</v>
      </c>
      <c r="D167" s="2" t="s">
        <v>2193</v>
      </c>
      <c r="F167" s="3" t="s">
        <v>59</v>
      </c>
      <c r="G167" s="3" t="s">
        <v>60</v>
      </c>
      <c r="H167" s="3" t="s">
        <v>59</v>
      </c>
      <c r="I167" s="3" t="s">
        <v>59</v>
      </c>
      <c r="J167" s="3" t="s">
        <v>61</v>
      </c>
      <c r="K167" s="2" t="s">
        <v>2194</v>
      </c>
      <c r="L167" s="2" t="s">
        <v>2195</v>
      </c>
      <c r="M167" s="3" t="s">
        <v>190</v>
      </c>
      <c r="O167" s="3" t="s">
        <v>64</v>
      </c>
      <c r="P167" s="3" t="s">
        <v>176</v>
      </c>
      <c r="R167" s="3" t="s">
        <v>67</v>
      </c>
      <c r="S167" s="4">
        <v>6</v>
      </c>
      <c r="T167" s="4">
        <v>6</v>
      </c>
      <c r="U167" s="5" t="s">
        <v>2196</v>
      </c>
      <c r="V167" s="5" t="s">
        <v>2196</v>
      </c>
      <c r="W167" s="5" t="s">
        <v>552</v>
      </c>
      <c r="X167" s="5" t="s">
        <v>552</v>
      </c>
      <c r="Y167" s="4">
        <v>230</v>
      </c>
      <c r="Z167" s="4">
        <v>209</v>
      </c>
      <c r="AA167" s="4">
        <v>226</v>
      </c>
      <c r="AB167" s="4">
        <v>3</v>
      </c>
      <c r="AC167" s="4">
        <v>3</v>
      </c>
      <c r="AD167" s="4">
        <v>4</v>
      </c>
      <c r="AE167" s="4">
        <v>6</v>
      </c>
      <c r="AF167" s="4">
        <v>1</v>
      </c>
      <c r="AG167" s="4">
        <v>2</v>
      </c>
      <c r="AH167" s="4">
        <v>1</v>
      </c>
      <c r="AI167" s="4">
        <v>2</v>
      </c>
      <c r="AJ167" s="4">
        <v>0</v>
      </c>
      <c r="AK167" s="4">
        <v>0</v>
      </c>
      <c r="AL167" s="4">
        <v>2</v>
      </c>
      <c r="AM167" s="4">
        <v>2</v>
      </c>
      <c r="AN167" s="4">
        <v>0</v>
      </c>
      <c r="AO167" s="4">
        <v>0</v>
      </c>
      <c r="AP167" s="3" t="s">
        <v>59</v>
      </c>
      <c r="AQ167" s="3" t="s">
        <v>70</v>
      </c>
      <c r="AR167" s="6" t="str">
        <f>HYPERLINK("http://catalog.hathitrust.org/Record/000821142","HathiTrust Record")</f>
        <v>HathiTrust Record</v>
      </c>
      <c r="AS167" s="6" t="str">
        <f>HYPERLINK("https://creighton-primo.hosted.exlibrisgroup.com/primo-explore/search?tab=default_tab&amp;search_scope=EVERYTHING&amp;vid=01CRU&amp;lang=en_US&amp;offset=0&amp;query=any,contains,991000849749702656","Catalog Record")</f>
        <v>Catalog Record</v>
      </c>
      <c r="AT167" s="6" t="str">
        <f>HYPERLINK("http://www.worldcat.org/oclc/13581629","WorldCat Record")</f>
        <v>WorldCat Record</v>
      </c>
      <c r="AU167" s="3" t="s">
        <v>2197</v>
      </c>
      <c r="AV167" s="3" t="s">
        <v>2198</v>
      </c>
      <c r="AW167" s="3" t="s">
        <v>2199</v>
      </c>
      <c r="AX167" s="3" t="s">
        <v>2199</v>
      </c>
      <c r="AY167" s="3" t="s">
        <v>2200</v>
      </c>
      <c r="AZ167" s="3" t="s">
        <v>75</v>
      </c>
      <c r="BB167" s="3" t="s">
        <v>2201</v>
      </c>
      <c r="BC167" s="3" t="s">
        <v>2202</v>
      </c>
      <c r="BD167" s="3" t="s">
        <v>2203</v>
      </c>
    </row>
    <row r="168" spans="1:56" ht="48" customHeight="1" x14ac:dyDescent="0.25">
      <c r="A168" s="7" t="s">
        <v>59</v>
      </c>
      <c r="B168" s="2" t="s">
        <v>2204</v>
      </c>
      <c r="C168" s="2" t="s">
        <v>2205</v>
      </c>
      <c r="D168" s="2" t="s">
        <v>2206</v>
      </c>
      <c r="F168" s="3" t="s">
        <v>59</v>
      </c>
      <c r="G168" s="3" t="s">
        <v>60</v>
      </c>
      <c r="H168" s="3" t="s">
        <v>59</v>
      </c>
      <c r="I168" s="3" t="s">
        <v>59</v>
      </c>
      <c r="J168" s="3" t="s">
        <v>61</v>
      </c>
      <c r="K168" s="2" t="s">
        <v>2207</v>
      </c>
      <c r="L168" s="2" t="s">
        <v>2208</v>
      </c>
      <c r="M168" s="3" t="s">
        <v>234</v>
      </c>
      <c r="O168" s="3" t="s">
        <v>64</v>
      </c>
      <c r="P168" s="3" t="s">
        <v>674</v>
      </c>
      <c r="Q168" s="2" t="s">
        <v>2209</v>
      </c>
      <c r="R168" s="3" t="s">
        <v>67</v>
      </c>
      <c r="S168" s="4">
        <v>21</v>
      </c>
      <c r="T168" s="4">
        <v>21</v>
      </c>
      <c r="U168" s="5" t="s">
        <v>1959</v>
      </c>
      <c r="V168" s="5" t="s">
        <v>1959</v>
      </c>
      <c r="W168" s="5" t="s">
        <v>2210</v>
      </c>
      <c r="X168" s="5" t="s">
        <v>2210</v>
      </c>
      <c r="Y168" s="4">
        <v>428</v>
      </c>
      <c r="Z168" s="4">
        <v>354</v>
      </c>
      <c r="AA168" s="4">
        <v>360</v>
      </c>
      <c r="AB168" s="4">
        <v>4</v>
      </c>
      <c r="AC168" s="4">
        <v>4</v>
      </c>
      <c r="AD168" s="4">
        <v>11</v>
      </c>
      <c r="AE168" s="4">
        <v>11</v>
      </c>
      <c r="AF168" s="4">
        <v>4</v>
      </c>
      <c r="AG168" s="4">
        <v>4</v>
      </c>
      <c r="AH168" s="4">
        <v>2</v>
      </c>
      <c r="AI168" s="4">
        <v>2</v>
      </c>
      <c r="AJ168" s="4">
        <v>5</v>
      </c>
      <c r="AK168" s="4">
        <v>5</v>
      </c>
      <c r="AL168" s="4">
        <v>3</v>
      </c>
      <c r="AM168" s="4">
        <v>3</v>
      </c>
      <c r="AN168" s="4">
        <v>0</v>
      </c>
      <c r="AO168" s="4">
        <v>0</v>
      </c>
      <c r="AP168" s="3" t="s">
        <v>59</v>
      </c>
      <c r="AQ168" s="3" t="s">
        <v>70</v>
      </c>
      <c r="AR168" s="6" t="str">
        <f>HYPERLINK("http://catalog.hathitrust.org/Record/101891614","HathiTrust Record")</f>
        <v>HathiTrust Record</v>
      </c>
      <c r="AS168" s="6" t="str">
        <f>HYPERLINK("https://creighton-primo.hosted.exlibrisgroup.com/primo-explore/search?tab=default_tab&amp;search_scope=EVERYTHING&amp;vid=01CRU&amp;lang=en_US&amp;offset=0&amp;query=any,contains,991001439949702656","Catalog Record")</f>
        <v>Catalog Record</v>
      </c>
      <c r="AT168" s="6" t="str">
        <f>HYPERLINK("http://www.worldcat.org/oclc/19222780","WorldCat Record")</f>
        <v>WorldCat Record</v>
      </c>
      <c r="AU168" s="3" t="s">
        <v>2211</v>
      </c>
      <c r="AV168" s="3" t="s">
        <v>2212</v>
      </c>
      <c r="AW168" s="3" t="s">
        <v>2213</v>
      </c>
      <c r="AX168" s="3" t="s">
        <v>2213</v>
      </c>
      <c r="AY168" s="3" t="s">
        <v>2214</v>
      </c>
      <c r="AZ168" s="3" t="s">
        <v>75</v>
      </c>
      <c r="BB168" s="3" t="s">
        <v>2215</v>
      </c>
      <c r="BC168" s="3" t="s">
        <v>2216</v>
      </c>
      <c r="BD168" s="3" t="s">
        <v>2217</v>
      </c>
    </row>
    <row r="169" spans="1:56" ht="48" customHeight="1" x14ac:dyDescent="0.25">
      <c r="A169" s="7" t="s">
        <v>59</v>
      </c>
      <c r="B169" s="2" t="s">
        <v>2218</v>
      </c>
      <c r="C169" s="2" t="s">
        <v>2219</v>
      </c>
      <c r="D169" s="2" t="s">
        <v>2220</v>
      </c>
      <c r="E169" s="3" t="s">
        <v>512</v>
      </c>
      <c r="F169" s="3" t="s">
        <v>59</v>
      </c>
      <c r="G169" s="3" t="s">
        <v>60</v>
      </c>
      <c r="H169" s="3" t="s">
        <v>59</v>
      </c>
      <c r="I169" s="3" t="s">
        <v>59</v>
      </c>
      <c r="J169" s="3" t="s">
        <v>61</v>
      </c>
      <c r="L169" s="2" t="s">
        <v>2221</v>
      </c>
      <c r="M169" s="3" t="s">
        <v>234</v>
      </c>
      <c r="O169" s="3" t="s">
        <v>64</v>
      </c>
      <c r="P169" s="3" t="s">
        <v>2222</v>
      </c>
      <c r="Q169" s="2" t="s">
        <v>2223</v>
      </c>
      <c r="R169" s="3" t="s">
        <v>67</v>
      </c>
      <c r="S169" s="4">
        <v>2</v>
      </c>
      <c r="T169" s="4">
        <v>2</v>
      </c>
      <c r="U169" s="5" t="s">
        <v>2224</v>
      </c>
      <c r="V169" s="5" t="s">
        <v>2224</v>
      </c>
      <c r="W169" s="5" t="s">
        <v>2225</v>
      </c>
      <c r="X169" s="5" t="s">
        <v>2225</v>
      </c>
      <c r="Y169" s="4">
        <v>77</v>
      </c>
      <c r="Z169" s="4">
        <v>54</v>
      </c>
      <c r="AA169" s="4">
        <v>93</v>
      </c>
      <c r="AB169" s="4">
        <v>1</v>
      </c>
      <c r="AC169" s="4">
        <v>1</v>
      </c>
      <c r="AD169" s="4">
        <v>1</v>
      </c>
      <c r="AE169" s="4">
        <v>3</v>
      </c>
      <c r="AF169" s="4">
        <v>1</v>
      </c>
      <c r="AG169" s="4">
        <v>2</v>
      </c>
      <c r="AH169" s="4">
        <v>0</v>
      </c>
      <c r="AI169" s="4">
        <v>1</v>
      </c>
      <c r="AJ169" s="4">
        <v>0</v>
      </c>
      <c r="AK169" s="4">
        <v>0</v>
      </c>
      <c r="AL169" s="4">
        <v>0</v>
      </c>
      <c r="AM169" s="4">
        <v>0</v>
      </c>
      <c r="AN169" s="4">
        <v>0</v>
      </c>
      <c r="AO169" s="4">
        <v>0</v>
      </c>
      <c r="AP169" s="3" t="s">
        <v>59</v>
      </c>
      <c r="AQ169" s="3" t="s">
        <v>70</v>
      </c>
      <c r="AR169" s="6" t="str">
        <f>HYPERLINK("http://catalog.hathitrust.org/Record/004533816","HathiTrust Record")</f>
        <v>HathiTrust Record</v>
      </c>
      <c r="AS169" s="6" t="str">
        <f>HYPERLINK("https://creighton-primo.hosted.exlibrisgroup.com/primo-explore/search?tab=default_tab&amp;search_scope=EVERYTHING&amp;vid=01CRU&amp;lang=en_US&amp;offset=0&amp;query=any,contains,991003187019702656","Catalog Record")</f>
        <v>Catalog Record</v>
      </c>
      <c r="AT169" s="6" t="str">
        <f>HYPERLINK("http://www.worldcat.org/oclc/27764910","WorldCat Record")</f>
        <v>WorldCat Record</v>
      </c>
      <c r="AU169" s="3" t="s">
        <v>2226</v>
      </c>
      <c r="AV169" s="3" t="s">
        <v>2227</v>
      </c>
      <c r="AW169" s="3" t="s">
        <v>2228</v>
      </c>
      <c r="AX169" s="3" t="s">
        <v>2228</v>
      </c>
      <c r="AY169" s="3" t="s">
        <v>2229</v>
      </c>
      <c r="AZ169" s="3" t="s">
        <v>75</v>
      </c>
      <c r="BB169" s="3" t="s">
        <v>2230</v>
      </c>
      <c r="BC169" s="3" t="s">
        <v>2231</v>
      </c>
      <c r="BD169" s="3" t="s">
        <v>2232</v>
      </c>
    </row>
    <row r="170" spans="1:56" ht="48" customHeight="1" x14ac:dyDescent="0.25">
      <c r="A170" s="7" t="s">
        <v>59</v>
      </c>
      <c r="B170" s="2" t="s">
        <v>2233</v>
      </c>
      <c r="C170" s="2" t="s">
        <v>2234</v>
      </c>
      <c r="D170" s="2" t="s">
        <v>2235</v>
      </c>
      <c r="E170" s="3" t="s">
        <v>2236</v>
      </c>
      <c r="F170" s="3" t="s">
        <v>59</v>
      </c>
      <c r="G170" s="3" t="s">
        <v>60</v>
      </c>
      <c r="H170" s="3" t="s">
        <v>59</v>
      </c>
      <c r="I170" s="3" t="s">
        <v>59</v>
      </c>
      <c r="J170" s="3" t="s">
        <v>61</v>
      </c>
      <c r="L170" s="2" t="s">
        <v>2237</v>
      </c>
      <c r="M170" s="3" t="s">
        <v>519</v>
      </c>
      <c r="O170" s="3" t="s">
        <v>64</v>
      </c>
      <c r="P170" s="3" t="s">
        <v>2222</v>
      </c>
      <c r="Q170" s="2" t="s">
        <v>2238</v>
      </c>
      <c r="R170" s="3" t="s">
        <v>67</v>
      </c>
      <c r="S170" s="4">
        <v>18</v>
      </c>
      <c r="T170" s="4">
        <v>18</v>
      </c>
      <c r="U170" s="5" t="s">
        <v>2239</v>
      </c>
      <c r="V170" s="5" t="s">
        <v>2239</v>
      </c>
      <c r="W170" s="5" t="s">
        <v>2240</v>
      </c>
      <c r="X170" s="5" t="s">
        <v>2240</v>
      </c>
      <c r="Y170" s="4">
        <v>81</v>
      </c>
      <c r="Z170" s="4">
        <v>63</v>
      </c>
      <c r="AA170" s="4">
        <v>86</v>
      </c>
      <c r="AB170" s="4">
        <v>0</v>
      </c>
      <c r="AC170" s="4">
        <v>0</v>
      </c>
      <c r="AD170" s="4">
        <v>3</v>
      </c>
      <c r="AE170" s="4">
        <v>4</v>
      </c>
      <c r="AF170" s="4">
        <v>3</v>
      </c>
      <c r="AG170" s="4">
        <v>3</v>
      </c>
      <c r="AH170" s="4">
        <v>0</v>
      </c>
      <c r="AI170" s="4">
        <v>1</v>
      </c>
      <c r="AJ170" s="4">
        <v>0</v>
      </c>
      <c r="AK170" s="4">
        <v>0</v>
      </c>
      <c r="AL170" s="4">
        <v>0</v>
      </c>
      <c r="AM170" s="4">
        <v>0</v>
      </c>
      <c r="AN170" s="4">
        <v>0</v>
      </c>
      <c r="AO170" s="4">
        <v>0</v>
      </c>
      <c r="AP170" s="3" t="s">
        <v>59</v>
      </c>
      <c r="AQ170" s="3" t="s">
        <v>70</v>
      </c>
      <c r="AR170" s="6" t="str">
        <f>HYPERLINK("http://catalog.hathitrust.org/Record/004533817","HathiTrust Record")</f>
        <v>HathiTrust Record</v>
      </c>
      <c r="AS170" s="6" t="str">
        <f>HYPERLINK("https://creighton-primo.hosted.exlibrisgroup.com/primo-explore/search?tab=default_tab&amp;search_scope=EVERYTHING&amp;vid=01CRU&amp;lang=en_US&amp;offset=0&amp;query=any,contains,991002372909702656","Catalog Record")</f>
        <v>Catalog Record</v>
      </c>
      <c r="AT170" s="6" t="str">
        <f>HYPERLINK("http://www.worldcat.org/oclc/38299607","WorldCat Record")</f>
        <v>WorldCat Record</v>
      </c>
      <c r="AU170" s="3" t="s">
        <v>2241</v>
      </c>
      <c r="AV170" s="3" t="s">
        <v>2242</v>
      </c>
      <c r="AW170" s="3" t="s">
        <v>2243</v>
      </c>
      <c r="AX170" s="3" t="s">
        <v>2243</v>
      </c>
      <c r="AY170" s="3" t="s">
        <v>2244</v>
      </c>
      <c r="AZ170" s="3" t="s">
        <v>75</v>
      </c>
      <c r="BB170" s="3" t="s">
        <v>2245</v>
      </c>
      <c r="BC170" s="3" t="s">
        <v>2246</v>
      </c>
      <c r="BD170" s="3" t="s">
        <v>2247</v>
      </c>
    </row>
    <row r="171" spans="1:56" ht="48" customHeight="1" x14ac:dyDescent="0.25">
      <c r="A171" s="7" t="s">
        <v>59</v>
      </c>
      <c r="B171" s="2" t="s">
        <v>2248</v>
      </c>
      <c r="C171" s="2" t="s">
        <v>2249</v>
      </c>
      <c r="D171" s="2" t="s">
        <v>2250</v>
      </c>
      <c r="E171" s="3" t="s">
        <v>159</v>
      </c>
      <c r="F171" s="3" t="s">
        <v>59</v>
      </c>
      <c r="G171" s="3" t="s">
        <v>60</v>
      </c>
      <c r="H171" s="3" t="s">
        <v>59</v>
      </c>
      <c r="I171" s="3" t="s">
        <v>59</v>
      </c>
      <c r="J171" s="3" t="s">
        <v>61</v>
      </c>
      <c r="L171" s="2" t="s">
        <v>2251</v>
      </c>
      <c r="M171" s="3" t="s">
        <v>590</v>
      </c>
      <c r="O171" s="3" t="s">
        <v>64</v>
      </c>
      <c r="P171" s="3" t="s">
        <v>2252</v>
      </c>
      <c r="Q171" s="2" t="s">
        <v>2253</v>
      </c>
      <c r="R171" s="3" t="s">
        <v>67</v>
      </c>
      <c r="S171" s="4">
        <v>3</v>
      </c>
      <c r="T171" s="4">
        <v>3</v>
      </c>
      <c r="U171" s="5" t="s">
        <v>2254</v>
      </c>
      <c r="V171" s="5" t="s">
        <v>2254</v>
      </c>
      <c r="W171" s="5" t="s">
        <v>2255</v>
      </c>
      <c r="X171" s="5" t="s">
        <v>2255</v>
      </c>
      <c r="Y171" s="4">
        <v>88</v>
      </c>
      <c r="Z171" s="4">
        <v>64</v>
      </c>
      <c r="AA171" s="4">
        <v>90</v>
      </c>
      <c r="AB171" s="4">
        <v>1</v>
      </c>
      <c r="AC171" s="4">
        <v>1</v>
      </c>
      <c r="AD171" s="4">
        <v>2</v>
      </c>
      <c r="AE171" s="4">
        <v>4</v>
      </c>
      <c r="AF171" s="4">
        <v>1</v>
      </c>
      <c r="AG171" s="4">
        <v>2</v>
      </c>
      <c r="AH171" s="4">
        <v>0</v>
      </c>
      <c r="AI171" s="4">
        <v>1</v>
      </c>
      <c r="AJ171" s="4">
        <v>0</v>
      </c>
      <c r="AK171" s="4">
        <v>0</v>
      </c>
      <c r="AL171" s="4">
        <v>1</v>
      </c>
      <c r="AM171" s="4">
        <v>1</v>
      </c>
      <c r="AN171" s="4">
        <v>0</v>
      </c>
      <c r="AO171" s="4">
        <v>0</v>
      </c>
      <c r="AP171" s="3" t="s">
        <v>59</v>
      </c>
      <c r="AQ171" s="3" t="s">
        <v>70</v>
      </c>
      <c r="AR171" s="6" t="str">
        <f>HYPERLINK("http://catalog.hathitrust.org/Record/004533820","HathiTrust Record")</f>
        <v>HathiTrust Record</v>
      </c>
      <c r="AS171" s="6" t="str">
        <f>HYPERLINK("https://creighton-primo.hosted.exlibrisgroup.com/primo-explore/search?tab=default_tab&amp;search_scope=EVERYTHING&amp;vid=01CRU&amp;lang=en_US&amp;offset=0&amp;query=any,contains,991001548429702656","Catalog Record")</f>
        <v>Catalog Record</v>
      </c>
      <c r="AT171" s="6" t="str">
        <f>HYPERLINK("http://www.worldcat.org/oclc/27764925","WorldCat Record")</f>
        <v>WorldCat Record</v>
      </c>
      <c r="AU171" s="3" t="s">
        <v>2256</v>
      </c>
      <c r="AV171" s="3" t="s">
        <v>2257</v>
      </c>
      <c r="AW171" s="3" t="s">
        <v>2258</v>
      </c>
      <c r="AX171" s="3" t="s">
        <v>2258</v>
      </c>
      <c r="AY171" s="3" t="s">
        <v>2259</v>
      </c>
      <c r="AZ171" s="3" t="s">
        <v>75</v>
      </c>
      <c r="BB171" s="3" t="s">
        <v>2260</v>
      </c>
      <c r="BC171" s="3" t="s">
        <v>2261</v>
      </c>
      <c r="BD171" s="3" t="s">
        <v>2262</v>
      </c>
    </row>
    <row r="172" spans="1:56" ht="48" customHeight="1" x14ac:dyDescent="0.25">
      <c r="A172" s="7" t="s">
        <v>59</v>
      </c>
      <c r="B172" s="2" t="s">
        <v>2263</v>
      </c>
      <c r="C172" s="2" t="s">
        <v>2264</v>
      </c>
      <c r="D172" s="2" t="s">
        <v>2265</v>
      </c>
      <c r="E172" s="3" t="s">
        <v>509</v>
      </c>
      <c r="F172" s="3" t="s">
        <v>59</v>
      </c>
      <c r="G172" s="3" t="s">
        <v>60</v>
      </c>
      <c r="H172" s="3" t="s">
        <v>59</v>
      </c>
      <c r="I172" s="3" t="s">
        <v>59</v>
      </c>
      <c r="J172" s="3" t="s">
        <v>61</v>
      </c>
      <c r="L172" s="2" t="s">
        <v>2266</v>
      </c>
      <c r="M172" s="3" t="s">
        <v>219</v>
      </c>
      <c r="O172" s="3" t="s">
        <v>64</v>
      </c>
      <c r="P172" s="3" t="s">
        <v>2222</v>
      </c>
      <c r="Q172" s="2" t="s">
        <v>2267</v>
      </c>
      <c r="R172" s="3" t="s">
        <v>67</v>
      </c>
      <c r="S172" s="4">
        <v>6</v>
      </c>
      <c r="T172" s="4">
        <v>6</v>
      </c>
      <c r="U172" s="5" t="s">
        <v>2268</v>
      </c>
      <c r="V172" s="5" t="s">
        <v>2268</v>
      </c>
      <c r="W172" s="5" t="s">
        <v>2269</v>
      </c>
      <c r="X172" s="5" t="s">
        <v>2269</v>
      </c>
      <c r="Y172" s="4">
        <v>34</v>
      </c>
      <c r="Z172" s="4">
        <v>30</v>
      </c>
      <c r="AA172" s="4">
        <v>74</v>
      </c>
      <c r="AB172" s="4">
        <v>1</v>
      </c>
      <c r="AC172" s="4">
        <v>1</v>
      </c>
      <c r="AD172" s="4">
        <v>2</v>
      </c>
      <c r="AE172" s="4">
        <v>4</v>
      </c>
      <c r="AF172" s="4">
        <v>2</v>
      </c>
      <c r="AG172" s="4">
        <v>3</v>
      </c>
      <c r="AH172" s="4">
        <v>0</v>
      </c>
      <c r="AI172" s="4">
        <v>1</v>
      </c>
      <c r="AJ172" s="4">
        <v>0</v>
      </c>
      <c r="AK172" s="4">
        <v>0</v>
      </c>
      <c r="AL172" s="4">
        <v>0</v>
      </c>
      <c r="AM172" s="4">
        <v>0</v>
      </c>
      <c r="AN172" s="4">
        <v>0</v>
      </c>
      <c r="AO172" s="4">
        <v>0</v>
      </c>
      <c r="AP172" s="3" t="s">
        <v>59</v>
      </c>
      <c r="AQ172" s="3" t="s">
        <v>59</v>
      </c>
      <c r="AS172" s="6" t="str">
        <f>HYPERLINK("https://creighton-primo.hosted.exlibrisgroup.com/primo-explore/search?tab=default_tab&amp;search_scope=EVERYTHING&amp;vid=01CRU&amp;lang=en_US&amp;offset=0&amp;query=any,contains,991002388209702656","Catalog Record")</f>
        <v>Catalog Record</v>
      </c>
      <c r="AT172" s="6" t="str">
        <f>HYPERLINK("http://www.worldcat.org/oclc/31023573","WorldCat Record")</f>
        <v>WorldCat Record</v>
      </c>
      <c r="AU172" s="3" t="s">
        <v>2270</v>
      </c>
      <c r="AV172" s="3" t="s">
        <v>2271</v>
      </c>
      <c r="AW172" s="3" t="s">
        <v>2272</v>
      </c>
      <c r="AX172" s="3" t="s">
        <v>2272</v>
      </c>
      <c r="AY172" s="3" t="s">
        <v>2273</v>
      </c>
      <c r="AZ172" s="3" t="s">
        <v>75</v>
      </c>
      <c r="BB172" s="3" t="s">
        <v>2274</v>
      </c>
      <c r="BC172" s="3" t="s">
        <v>2275</v>
      </c>
      <c r="BD172" s="3" t="s">
        <v>2276</v>
      </c>
    </row>
    <row r="173" spans="1:56" ht="48" customHeight="1" x14ac:dyDescent="0.25">
      <c r="A173" s="7" t="s">
        <v>59</v>
      </c>
      <c r="B173" s="2" t="s">
        <v>2277</v>
      </c>
      <c r="C173" s="2" t="s">
        <v>2278</v>
      </c>
      <c r="D173" s="2" t="s">
        <v>2279</v>
      </c>
      <c r="E173" s="3" t="s">
        <v>2280</v>
      </c>
      <c r="F173" s="3" t="s">
        <v>59</v>
      </c>
      <c r="G173" s="3" t="s">
        <v>60</v>
      </c>
      <c r="H173" s="3" t="s">
        <v>59</v>
      </c>
      <c r="I173" s="3" t="s">
        <v>59</v>
      </c>
      <c r="J173" s="3" t="s">
        <v>61</v>
      </c>
      <c r="L173" s="2" t="s">
        <v>2281</v>
      </c>
      <c r="M173" s="3" t="s">
        <v>897</v>
      </c>
      <c r="O173" s="3" t="s">
        <v>64</v>
      </c>
      <c r="P173" s="3" t="s">
        <v>661</v>
      </c>
      <c r="Q173" s="2" t="s">
        <v>2282</v>
      </c>
      <c r="R173" s="3" t="s">
        <v>67</v>
      </c>
      <c r="S173" s="4">
        <v>20</v>
      </c>
      <c r="T173" s="4">
        <v>20</v>
      </c>
      <c r="U173" s="5" t="s">
        <v>2283</v>
      </c>
      <c r="V173" s="5" t="s">
        <v>2283</v>
      </c>
      <c r="W173" s="5" t="s">
        <v>2255</v>
      </c>
      <c r="X173" s="5" t="s">
        <v>2255</v>
      </c>
      <c r="Y173" s="4">
        <v>76</v>
      </c>
      <c r="Z173" s="4">
        <v>56</v>
      </c>
      <c r="AA173" s="4">
        <v>108</v>
      </c>
      <c r="AB173" s="4">
        <v>2</v>
      </c>
      <c r="AC173" s="4">
        <v>2</v>
      </c>
      <c r="AD173" s="4">
        <v>1</v>
      </c>
      <c r="AE173" s="4">
        <v>5</v>
      </c>
      <c r="AF173" s="4">
        <v>0</v>
      </c>
      <c r="AG173" s="4">
        <v>3</v>
      </c>
      <c r="AH173" s="4">
        <v>0</v>
      </c>
      <c r="AI173" s="4">
        <v>1</v>
      </c>
      <c r="AJ173" s="4">
        <v>0</v>
      </c>
      <c r="AK173" s="4">
        <v>0</v>
      </c>
      <c r="AL173" s="4">
        <v>1</v>
      </c>
      <c r="AM173" s="4">
        <v>1</v>
      </c>
      <c r="AN173" s="4">
        <v>0</v>
      </c>
      <c r="AO173" s="4">
        <v>0</v>
      </c>
      <c r="AP173" s="3" t="s">
        <v>59</v>
      </c>
      <c r="AQ173" s="3" t="s">
        <v>70</v>
      </c>
      <c r="AR173" s="6" t="str">
        <f>HYPERLINK("http://catalog.hathitrust.org/Record/004533819","HathiTrust Record")</f>
        <v>HathiTrust Record</v>
      </c>
      <c r="AS173" s="6" t="str">
        <f>HYPERLINK("https://creighton-primo.hosted.exlibrisgroup.com/primo-explore/search?tab=default_tab&amp;search_scope=EVERYTHING&amp;vid=01CRU&amp;lang=en_US&amp;offset=0&amp;query=any,contains,991001902409702656","Catalog Record")</f>
        <v>Catalog Record</v>
      </c>
      <c r="AT173" s="6" t="str">
        <f>HYPERLINK("http://www.worldcat.org/oclc/25967173","WorldCat Record")</f>
        <v>WorldCat Record</v>
      </c>
      <c r="AU173" s="3" t="s">
        <v>2284</v>
      </c>
      <c r="AV173" s="3" t="s">
        <v>2285</v>
      </c>
      <c r="AW173" s="3" t="s">
        <v>2286</v>
      </c>
      <c r="AX173" s="3" t="s">
        <v>2286</v>
      </c>
      <c r="AY173" s="3" t="s">
        <v>2287</v>
      </c>
      <c r="AZ173" s="3" t="s">
        <v>75</v>
      </c>
      <c r="BB173" s="3" t="s">
        <v>2288</v>
      </c>
      <c r="BC173" s="3" t="s">
        <v>2289</v>
      </c>
      <c r="BD173" s="3" t="s">
        <v>2290</v>
      </c>
    </row>
    <row r="174" spans="1:56" ht="48" customHeight="1" x14ac:dyDescent="0.25">
      <c r="A174" s="7" t="s">
        <v>59</v>
      </c>
      <c r="B174" s="2" t="s">
        <v>2291</v>
      </c>
      <c r="C174" s="2" t="s">
        <v>2292</v>
      </c>
      <c r="D174" s="2" t="s">
        <v>2293</v>
      </c>
      <c r="E174" s="3" t="s">
        <v>1097</v>
      </c>
      <c r="F174" s="3" t="s">
        <v>59</v>
      </c>
      <c r="G174" s="3" t="s">
        <v>60</v>
      </c>
      <c r="H174" s="3" t="s">
        <v>59</v>
      </c>
      <c r="I174" s="3" t="s">
        <v>59</v>
      </c>
      <c r="J174" s="3" t="s">
        <v>61</v>
      </c>
      <c r="L174" s="2" t="s">
        <v>2294</v>
      </c>
      <c r="M174" s="3" t="s">
        <v>129</v>
      </c>
      <c r="O174" s="3" t="s">
        <v>64</v>
      </c>
      <c r="P174" s="3" t="s">
        <v>661</v>
      </c>
      <c r="Q174" s="2" t="s">
        <v>2295</v>
      </c>
      <c r="R174" s="3" t="s">
        <v>67</v>
      </c>
      <c r="S174" s="4">
        <v>10</v>
      </c>
      <c r="T174" s="4">
        <v>10</v>
      </c>
      <c r="U174" s="5" t="s">
        <v>2296</v>
      </c>
      <c r="V174" s="5" t="s">
        <v>2296</v>
      </c>
      <c r="W174" s="5" t="s">
        <v>2297</v>
      </c>
      <c r="X174" s="5" t="s">
        <v>2297</v>
      </c>
      <c r="Y174" s="4">
        <v>97</v>
      </c>
      <c r="Z174" s="4">
        <v>78</v>
      </c>
      <c r="AA174" s="4">
        <v>111</v>
      </c>
      <c r="AB174" s="4">
        <v>2</v>
      </c>
      <c r="AC174" s="4">
        <v>2</v>
      </c>
      <c r="AD174" s="4">
        <v>3</v>
      </c>
      <c r="AE174" s="4">
        <v>5</v>
      </c>
      <c r="AF174" s="4">
        <v>1</v>
      </c>
      <c r="AG174" s="4">
        <v>2</v>
      </c>
      <c r="AH174" s="4">
        <v>0</v>
      </c>
      <c r="AI174" s="4">
        <v>1</v>
      </c>
      <c r="AJ174" s="4">
        <v>1</v>
      </c>
      <c r="AK174" s="4">
        <v>1</v>
      </c>
      <c r="AL174" s="4">
        <v>1</v>
      </c>
      <c r="AM174" s="4">
        <v>1</v>
      </c>
      <c r="AN174" s="4">
        <v>0</v>
      </c>
      <c r="AO174" s="4">
        <v>0</v>
      </c>
      <c r="AP174" s="3" t="s">
        <v>59</v>
      </c>
      <c r="AQ174" s="3" t="s">
        <v>70</v>
      </c>
      <c r="AR174" s="6" t="str">
        <f>HYPERLINK("http://catalog.hathitrust.org/Record/002619891","HathiTrust Record")</f>
        <v>HathiTrust Record</v>
      </c>
      <c r="AS174" s="6" t="str">
        <f>HYPERLINK("https://creighton-primo.hosted.exlibrisgroup.com/primo-explore/search?tab=default_tab&amp;search_scope=EVERYTHING&amp;vid=01CRU&amp;lang=en_US&amp;offset=0&amp;query=any,contains,991002053679702656","Catalog Record")</f>
        <v>Catalog Record</v>
      </c>
      <c r="AT174" s="6" t="str">
        <f>HYPERLINK("http://www.worldcat.org/oclc/28427509","WorldCat Record")</f>
        <v>WorldCat Record</v>
      </c>
      <c r="AU174" s="3" t="s">
        <v>2298</v>
      </c>
      <c r="AV174" s="3" t="s">
        <v>2299</v>
      </c>
      <c r="AW174" s="3" t="s">
        <v>2300</v>
      </c>
      <c r="AX174" s="3" t="s">
        <v>2300</v>
      </c>
      <c r="AY174" s="3" t="s">
        <v>2301</v>
      </c>
      <c r="AZ174" s="3" t="s">
        <v>75</v>
      </c>
      <c r="BB174" s="3" t="s">
        <v>2302</v>
      </c>
      <c r="BC174" s="3" t="s">
        <v>2303</v>
      </c>
      <c r="BD174" s="3" t="s">
        <v>2304</v>
      </c>
    </row>
    <row r="175" spans="1:56" ht="48" customHeight="1" x14ac:dyDescent="0.25">
      <c r="A175" s="7" t="s">
        <v>59</v>
      </c>
      <c r="B175" s="2" t="s">
        <v>2305</v>
      </c>
      <c r="C175" s="2" t="s">
        <v>2306</v>
      </c>
      <c r="D175" s="2" t="s">
        <v>2307</v>
      </c>
      <c r="E175" s="3" t="s">
        <v>2308</v>
      </c>
      <c r="F175" s="3" t="s">
        <v>59</v>
      </c>
      <c r="G175" s="3" t="s">
        <v>60</v>
      </c>
      <c r="H175" s="3" t="s">
        <v>59</v>
      </c>
      <c r="I175" s="3" t="s">
        <v>59</v>
      </c>
      <c r="J175" s="3" t="s">
        <v>61</v>
      </c>
      <c r="L175" s="2" t="s">
        <v>2309</v>
      </c>
      <c r="M175" s="3" t="s">
        <v>348</v>
      </c>
      <c r="O175" s="3" t="s">
        <v>64</v>
      </c>
      <c r="P175" s="3" t="s">
        <v>2252</v>
      </c>
      <c r="Q175" s="2" t="s">
        <v>2310</v>
      </c>
      <c r="R175" s="3" t="s">
        <v>67</v>
      </c>
      <c r="S175" s="4">
        <v>3</v>
      </c>
      <c r="T175" s="4">
        <v>3</v>
      </c>
      <c r="U175" s="5" t="s">
        <v>2268</v>
      </c>
      <c r="V175" s="5" t="s">
        <v>2268</v>
      </c>
      <c r="W175" s="5" t="s">
        <v>2311</v>
      </c>
      <c r="X175" s="5" t="s">
        <v>2311</v>
      </c>
      <c r="Y175" s="4">
        <v>74</v>
      </c>
      <c r="Z175" s="4">
        <v>58</v>
      </c>
      <c r="AA175" s="4">
        <v>85</v>
      </c>
      <c r="AB175" s="4">
        <v>1</v>
      </c>
      <c r="AC175" s="4">
        <v>1</v>
      </c>
      <c r="AD175" s="4">
        <v>1</v>
      </c>
      <c r="AE175" s="4">
        <v>3</v>
      </c>
      <c r="AF175" s="4">
        <v>0</v>
      </c>
      <c r="AG175" s="4">
        <v>1</v>
      </c>
      <c r="AH175" s="4">
        <v>0</v>
      </c>
      <c r="AI175" s="4">
        <v>1</v>
      </c>
      <c r="AJ175" s="4">
        <v>1</v>
      </c>
      <c r="AK175" s="4">
        <v>1</v>
      </c>
      <c r="AL175" s="4">
        <v>0</v>
      </c>
      <c r="AM175" s="4">
        <v>0</v>
      </c>
      <c r="AN175" s="4">
        <v>0</v>
      </c>
      <c r="AO175" s="4">
        <v>0</v>
      </c>
      <c r="AP175" s="3" t="s">
        <v>59</v>
      </c>
      <c r="AQ175" s="3" t="s">
        <v>70</v>
      </c>
      <c r="AR175" s="6" t="str">
        <f>HYPERLINK("http://catalog.hathitrust.org/Record/004533815","HathiTrust Record")</f>
        <v>HathiTrust Record</v>
      </c>
      <c r="AS175" s="6" t="str">
        <f>HYPERLINK("https://creighton-primo.hosted.exlibrisgroup.com/primo-explore/search?tab=default_tab&amp;search_scope=EVERYTHING&amp;vid=01CRU&amp;lang=en_US&amp;offset=0&amp;query=any,contains,991002252939702656","Catalog Record")</f>
        <v>Catalog Record</v>
      </c>
      <c r="AT175" s="6" t="str">
        <f>HYPERLINK("http://www.worldcat.org/oclc/29184547","WorldCat Record")</f>
        <v>WorldCat Record</v>
      </c>
      <c r="AU175" s="3" t="s">
        <v>2312</v>
      </c>
      <c r="AV175" s="3" t="s">
        <v>2313</v>
      </c>
      <c r="AW175" s="3" t="s">
        <v>2314</v>
      </c>
      <c r="AX175" s="3" t="s">
        <v>2314</v>
      </c>
      <c r="AY175" s="3" t="s">
        <v>2315</v>
      </c>
      <c r="AZ175" s="3" t="s">
        <v>75</v>
      </c>
      <c r="BB175" s="3" t="s">
        <v>2316</v>
      </c>
      <c r="BC175" s="3" t="s">
        <v>2317</v>
      </c>
      <c r="BD175" s="3" t="s">
        <v>2318</v>
      </c>
    </row>
    <row r="176" spans="1:56" ht="48" customHeight="1" x14ac:dyDescent="0.25">
      <c r="A176" s="7" t="s">
        <v>59</v>
      </c>
      <c r="B176" s="2" t="s">
        <v>2319</v>
      </c>
      <c r="C176" s="2" t="s">
        <v>2320</v>
      </c>
      <c r="D176" s="2" t="s">
        <v>2321</v>
      </c>
      <c r="E176" s="3" t="s">
        <v>2322</v>
      </c>
      <c r="F176" s="3" t="s">
        <v>59</v>
      </c>
      <c r="G176" s="3" t="s">
        <v>60</v>
      </c>
      <c r="H176" s="3" t="s">
        <v>59</v>
      </c>
      <c r="I176" s="3" t="s">
        <v>59</v>
      </c>
      <c r="J176" s="3" t="s">
        <v>61</v>
      </c>
      <c r="L176" s="2" t="s">
        <v>2323</v>
      </c>
      <c r="M176" s="3" t="s">
        <v>604</v>
      </c>
      <c r="O176" s="3" t="s">
        <v>64</v>
      </c>
      <c r="P176" s="3" t="s">
        <v>2222</v>
      </c>
      <c r="Q176" s="2" t="s">
        <v>2324</v>
      </c>
      <c r="R176" s="3" t="s">
        <v>67</v>
      </c>
      <c r="S176" s="4">
        <v>5</v>
      </c>
      <c r="T176" s="4">
        <v>5</v>
      </c>
      <c r="U176" s="5" t="s">
        <v>2325</v>
      </c>
      <c r="V176" s="5" t="s">
        <v>2325</v>
      </c>
      <c r="W176" s="5" t="s">
        <v>1523</v>
      </c>
      <c r="X176" s="5" t="s">
        <v>1523</v>
      </c>
      <c r="Y176" s="4">
        <v>119</v>
      </c>
      <c r="Z176" s="4">
        <v>93</v>
      </c>
      <c r="AA176" s="4">
        <v>108</v>
      </c>
      <c r="AB176" s="4">
        <v>0</v>
      </c>
      <c r="AC176" s="4">
        <v>0</v>
      </c>
      <c r="AD176" s="4">
        <v>2</v>
      </c>
      <c r="AE176" s="4">
        <v>3</v>
      </c>
      <c r="AF176" s="4">
        <v>2</v>
      </c>
      <c r="AG176" s="4">
        <v>2</v>
      </c>
      <c r="AH176" s="4">
        <v>0</v>
      </c>
      <c r="AI176" s="4">
        <v>1</v>
      </c>
      <c r="AJ176" s="4">
        <v>0</v>
      </c>
      <c r="AK176" s="4">
        <v>0</v>
      </c>
      <c r="AL176" s="4">
        <v>0</v>
      </c>
      <c r="AM176" s="4">
        <v>0</v>
      </c>
      <c r="AN176" s="4">
        <v>0</v>
      </c>
      <c r="AO176" s="4">
        <v>0</v>
      </c>
      <c r="AP176" s="3" t="s">
        <v>59</v>
      </c>
      <c r="AQ176" s="3" t="s">
        <v>70</v>
      </c>
      <c r="AR176" s="6" t="str">
        <f>HYPERLINK("http://catalog.hathitrust.org/Record/004539277","HathiTrust Record")</f>
        <v>HathiTrust Record</v>
      </c>
      <c r="AS176" s="6" t="str">
        <f>HYPERLINK("https://creighton-primo.hosted.exlibrisgroup.com/primo-explore/search?tab=default_tab&amp;search_scope=EVERYTHING&amp;vid=01CRU&amp;lang=en_US&amp;offset=0&amp;query=any,contains,991002521999702656","Catalog Record")</f>
        <v>Catalog Record</v>
      </c>
      <c r="AT176" s="6" t="str">
        <f>HYPERLINK("http://www.worldcat.org/oclc/35515542","WorldCat Record")</f>
        <v>WorldCat Record</v>
      </c>
      <c r="AU176" s="3" t="s">
        <v>2326</v>
      </c>
      <c r="AV176" s="3" t="s">
        <v>2327</v>
      </c>
      <c r="AW176" s="3" t="s">
        <v>2328</v>
      </c>
      <c r="AX176" s="3" t="s">
        <v>2328</v>
      </c>
      <c r="AY176" s="3" t="s">
        <v>2329</v>
      </c>
      <c r="AZ176" s="3" t="s">
        <v>75</v>
      </c>
      <c r="BB176" s="3" t="s">
        <v>2330</v>
      </c>
      <c r="BC176" s="3" t="s">
        <v>2331</v>
      </c>
      <c r="BD176" s="3" t="s">
        <v>2332</v>
      </c>
    </row>
    <row r="177" spans="1:56" ht="48" customHeight="1" x14ac:dyDescent="0.25">
      <c r="A177" s="7" t="s">
        <v>59</v>
      </c>
      <c r="B177" s="2" t="s">
        <v>2333</v>
      </c>
      <c r="C177" s="2" t="s">
        <v>2334</v>
      </c>
      <c r="D177" s="2" t="s">
        <v>2335</v>
      </c>
      <c r="F177" s="3" t="s">
        <v>59</v>
      </c>
      <c r="G177" s="3" t="s">
        <v>60</v>
      </c>
      <c r="H177" s="3" t="s">
        <v>59</v>
      </c>
      <c r="I177" s="3" t="s">
        <v>59</v>
      </c>
      <c r="J177" s="3" t="s">
        <v>61</v>
      </c>
      <c r="L177" s="2" t="s">
        <v>2336</v>
      </c>
      <c r="M177" s="3" t="s">
        <v>604</v>
      </c>
      <c r="O177" s="3" t="s">
        <v>64</v>
      </c>
      <c r="P177" s="3" t="s">
        <v>674</v>
      </c>
      <c r="R177" s="3" t="s">
        <v>67</v>
      </c>
      <c r="S177" s="4">
        <v>7</v>
      </c>
      <c r="T177" s="4">
        <v>7</v>
      </c>
      <c r="U177" s="5" t="s">
        <v>2016</v>
      </c>
      <c r="V177" s="5" t="s">
        <v>2016</v>
      </c>
      <c r="W177" s="5" t="s">
        <v>2337</v>
      </c>
      <c r="X177" s="5" t="s">
        <v>2337</v>
      </c>
      <c r="Y177" s="4">
        <v>586</v>
      </c>
      <c r="Z177" s="4">
        <v>435</v>
      </c>
      <c r="AA177" s="4">
        <v>603</v>
      </c>
      <c r="AB177" s="4">
        <v>4</v>
      </c>
      <c r="AC177" s="4">
        <v>6</v>
      </c>
      <c r="AD177" s="4">
        <v>19</v>
      </c>
      <c r="AE177" s="4">
        <v>25</v>
      </c>
      <c r="AF177" s="4">
        <v>8</v>
      </c>
      <c r="AG177" s="4">
        <v>12</v>
      </c>
      <c r="AH177" s="4">
        <v>2</v>
      </c>
      <c r="AI177" s="4">
        <v>2</v>
      </c>
      <c r="AJ177" s="4">
        <v>9</v>
      </c>
      <c r="AK177" s="4">
        <v>11</v>
      </c>
      <c r="AL177" s="4">
        <v>3</v>
      </c>
      <c r="AM177" s="4">
        <v>5</v>
      </c>
      <c r="AN177" s="4">
        <v>0</v>
      </c>
      <c r="AO177" s="4">
        <v>0</v>
      </c>
      <c r="AP177" s="3" t="s">
        <v>59</v>
      </c>
      <c r="AQ177" s="3" t="s">
        <v>70</v>
      </c>
      <c r="AR177" s="6" t="str">
        <f>HYPERLINK("http://catalog.hathitrust.org/Record/003107923","HathiTrust Record")</f>
        <v>HathiTrust Record</v>
      </c>
      <c r="AS177" s="6" t="str">
        <f>HYPERLINK("https://creighton-primo.hosted.exlibrisgroup.com/primo-explore/search?tab=default_tab&amp;search_scope=EVERYTHING&amp;vid=01CRU&amp;lang=en_US&amp;offset=0&amp;query=any,contains,991002410499702656","Catalog Record")</f>
        <v>Catalog Record</v>
      </c>
      <c r="AT177" s="6" t="str">
        <f>HYPERLINK("http://www.worldcat.org/oclc/31375570","WorldCat Record")</f>
        <v>WorldCat Record</v>
      </c>
      <c r="AU177" s="3" t="s">
        <v>2338</v>
      </c>
      <c r="AV177" s="3" t="s">
        <v>2339</v>
      </c>
      <c r="AW177" s="3" t="s">
        <v>2340</v>
      </c>
      <c r="AX177" s="3" t="s">
        <v>2340</v>
      </c>
      <c r="AY177" s="3" t="s">
        <v>2341</v>
      </c>
      <c r="AZ177" s="3" t="s">
        <v>75</v>
      </c>
      <c r="BB177" s="3" t="s">
        <v>2342</v>
      </c>
      <c r="BC177" s="3" t="s">
        <v>2343</v>
      </c>
      <c r="BD177" s="3" t="s">
        <v>2344</v>
      </c>
    </row>
    <row r="178" spans="1:56" ht="48" customHeight="1" x14ac:dyDescent="0.25">
      <c r="A178" s="7" t="s">
        <v>59</v>
      </c>
      <c r="B178" s="2" t="s">
        <v>2345</v>
      </c>
      <c r="C178" s="2" t="s">
        <v>2346</v>
      </c>
      <c r="D178" s="2" t="s">
        <v>2347</v>
      </c>
      <c r="F178" s="3" t="s">
        <v>59</v>
      </c>
      <c r="G178" s="3" t="s">
        <v>60</v>
      </c>
      <c r="H178" s="3" t="s">
        <v>59</v>
      </c>
      <c r="I178" s="3" t="s">
        <v>59</v>
      </c>
      <c r="J178" s="3" t="s">
        <v>61</v>
      </c>
      <c r="K178" s="2" t="s">
        <v>2348</v>
      </c>
      <c r="L178" s="2" t="s">
        <v>2349</v>
      </c>
      <c r="M178" s="3" t="s">
        <v>83</v>
      </c>
      <c r="O178" s="3" t="s">
        <v>64</v>
      </c>
      <c r="P178" s="3" t="s">
        <v>2140</v>
      </c>
      <c r="R178" s="3" t="s">
        <v>67</v>
      </c>
      <c r="S178" s="4">
        <v>18</v>
      </c>
      <c r="T178" s="4">
        <v>18</v>
      </c>
      <c r="U178" s="5" t="s">
        <v>2350</v>
      </c>
      <c r="V178" s="5" t="s">
        <v>2350</v>
      </c>
      <c r="W178" s="5" t="s">
        <v>2351</v>
      </c>
      <c r="X178" s="5" t="s">
        <v>2351</v>
      </c>
      <c r="Y178" s="4">
        <v>303</v>
      </c>
      <c r="Z178" s="4">
        <v>211</v>
      </c>
      <c r="AA178" s="4">
        <v>212</v>
      </c>
      <c r="AB178" s="4">
        <v>2</v>
      </c>
      <c r="AC178" s="4">
        <v>2</v>
      </c>
      <c r="AD178" s="4">
        <v>4</v>
      </c>
      <c r="AE178" s="4">
        <v>4</v>
      </c>
      <c r="AF178" s="4">
        <v>1</v>
      </c>
      <c r="AG178" s="4">
        <v>1</v>
      </c>
      <c r="AH178" s="4">
        <v>1</v>
      </c>
      <c r="AI178" s="4">
        <v>1</v>
      </c>
      <c r="AJ178" s="4">
        <v>2</v>
      </c>
      <c r="AK178" s="4">
        <v>2</v>
      </c>
      <c r="AL178" s="4">
        <v>1</v>
      </c>
      <c r="AM178" s="4">
        <v>1</v>
      </c>
      <c r="AN178" s="4">
        <v>0</v>
      </c>
      <c r="AO178" s="4">
        <v>0</v>
      </c>
      <c r="AP178" s="3" t="s">
        <v>59</v>
      </c>
      <c r="AQ178" s="3" t="s">
        <v>59</v>
      </c>
      <c r="AS178" s="6" t="str">
        <f>HYPERLINK("https://creighton-primo.hosted.exlibrisgroup.com/primo-explore/search?tab=default_tab&amp;search_scope=EVERYTHING&amp;vid=01CRU&amp;lang=en_US&amp;offset=0&amp;query=any,contains,991002636979702656","Catalog Record")</f>
        <v>Catalog Record</v>
      </c>
      <c r="AT178" s="6" t="str">
        <f>HYPERLINK("http://www.worldcat.org/oclc/34546079","WorldCat Record")</f>
        <v>WorldCat Record</v>
      </c>
      <c r="AU178" s="3" t="s">
        <v>2352</v>
      </c>
      <c r="AV178" s="3" t="s">
        <v>2353</v>
      </c>
      <c r="AW178" s="3" t="s">
        <v>2354</v>
      </c>
      <c r="AX178" s="3" t="s">
        <v>2354</v>
      </c>
      <c r="AY178" s="3" t="s">
        <v>2355</v>
      </c>
      <c r="AZ178" s="3" t="s">
        <v>75</v>
      </c>
      <c r="BB178" s="3" t="s">
        <v>2356</v>
      </c>
      <c r="BC178" s="3" t="s">
        <v>2357</v>
      </c>
      <c r="BD178" s="3" t="s">
        <v>2358</v>
      </c>
    </row>
    <row r="179" spans="1:56" ht="48" customHeight="1" x14ac:dyDescent="0.25">
      <c r="A179" s="7" t="s">
        <v>59</v>
      </c>
      <c r="B179" s="2" t="s">
        <v>2359</v>
      </c>
      <c r="C179" s="2" t="s">
        <v>2360</v>
      </c>
      <c r="D179" s="2" t="s">
        <v>2361</v>
      </c>
      <c r="F179" s="3" t="s">
        <v>59</v>
      </c>
      <c r="G179" s="3" t="s">
        <v>60</v>
      </c>
      <c r="H179" s="3" t="s">
        <v>59</v>
      </c>
      <c r="I179" s="3" t="s">
        <v>59</v>
      </c>
      <c r="J179" s="3" t="s">
        <v>61</v>
      </c>
      <c r="K179" s="2" t="s">
        <v>2362</v>
      </c>
      <c r="L179" s="2" t="s">
        <v>2363</v>
      </c>
      <c r="M179" s="3" t="s">
        <v>248</v>
      </c>
      <c r="O179" s="3" t="s">
        <v>64</v>
      </c>
      <c r="P179" s="3" t="s">
        <v>1186</v>
      </c>
      <c r="R179" s="3" t="s">
        <v>67</v>
      </c>
      <c r="S179" s="4">
        <v>8</v>
      </c>
      <c r="T179" s="4">
        <v>8</v>
      </c>
      <c r="U179" s="5" t="s">
        <v>2364</v>
      </c>
      <c r="V179" s="5" t="s">
        <v>2364</v>
      </c>
      <c r="W179" s="5" t="s">
        <v>1272</v>
      </c>
      <c r="X179" s="5" t="s">
        <v>1272</v>
      </c>
      <c r="Y179" s="4">
        <v>232</v>
      </c>
      <c r="Z179" s="4">
        <v>185</v>
      </c>
      <c r="AA179" s="4">
        <v>187</v>
      </c>
      <c r="AB179" s="4">
        <v>4</v>
      </c>
      <c r="AC179" s="4">
        <v>4</v>
      </c>
      <c r="AD179" s="4">
        <v>7</v>
      </c>
      <c r="AE179" s="4">
        <v>7</v>
      </c>
      <c r="AF179" s="4">
        <v>3</v>
      </c>
      <c r="AG179" s="4">
        <v>3</v>
      </c>
      <c r="AH179" s="4">
        <v>0</v>
      </c>
      <c r="AI179" s="4">
        <v>0</v>
      </c>
      <c r="AJ179" s="4">
        <v>2</v>
      </c>
      <c r="AK179" s="4">
        <v>2</v>
      </c>
      <c r="AL179" s="4">
        <v>3</v>
      </c>
      <c r="AM179" s="4">
        <v>3</v>
      </c>
      <c r="AN179" s="4">
        <v>0</v>
      </c>
      <c r="AO179" s="4">
        <v>0</v>
      </c>
      <c r="AP179" s="3" t="s">
        <v>59</v>
      </c>
      <c r="AQ179" s="3" t="s">
        <v>59</v>
      </c>
      <c r="AS179" s="6" t="str">
        <f>HYPERLINK("https://creighton-primo.hosted.exlibrisgroup.com/primo-explore/search?tab=default_tab&amp;search_scope=EVERYTHING&amp;vid=01CRU&amp;lang=en_US&amp;offset=0&amp;query=any,contains,991005084799702656","Catalog Record")</f>
        <v>Catalog Record</v>
      </c>
      <c r="AT179" s="6" t="str">
        <f>HYPERLINK("http://www.worldcat.org/oclc/7182719","WorldCat Record")</f>
        <v>WorldCat Record</v>
      </c>
      <c r="AU179" s="3" t="s">
        <v>2365</v>
      </c>
      <c r="AV179" s="3" t="s">
        <v>2366</v>
      </c>
      <c r="AW179" s="3" t="s">
        <v>2367</v>
      </c>
      <c r="AX179" s="3" t="s">
        <v>2367</v>
      </c>
      <c r="AY179" s="3" t="s">
        <v>2368</v>
      </c>
      <c r="AZ179" s="3" t="s">
        <v>75</v>
      </c>
      <c r="BB179" s="3" t="s">
        <v>2369</v>
      </c>
      <c r="BC179" s="3" t="s">
        <v>2370</v>
      </c>
      <c r="BD179" s="3" t="s">
        <v>2371</v>
      </c>
    </row>
    <row r="180" spans="1:56" ht="48" customHeight="1" x14ac:dyDescent="0.25">
      <c r="A180" s="7" t="s">
        <v>59</v>
      </c>
      <c r="B180" s="2" t="s">
        <v>2372</v>
      </c>
      <c r="C180" s="2" t="s">
        <v>2373</v>
      </c>
      <c r="D180" s="2" t="s">
        <v>2374</v>
      </c>
      <c r="F180" s="3" t="s">
        <v>59</v>
      </c>
      <c r="G180" s="3" t="s">
        <v>60</v>
      </c>
      <c r="H180" s="3" t="s">
        <v>59</v>
      </c>
      <c r="I180" s="3" t="s">
        <v>59</v>
      </c>
      <c r="J180" s="3" t="s">
        <v>61</v>
      </c>
      <c r="K180" s="2" t="s">
        <v>2375</v>
      </c>
      <c r="L180" s="2" t="s">
        <v>2376</v>
      </c>
      <c r="M180" s="3" t="s">
        <v>519</v>
      </c>
      <c r="O180" s="3" t="s">
        <v>64</v>
      </c>
      <c r="P180" s="3" t="s">
        <v>674</v>
      </c>
      <c r="R180" s="3" t="s">
        <v>67</v>
      </c>
      <c r="S180" s="4">
        <v>45</v>
      </c>
      <c r="T180" s="4">
        <v>45</v>
      </c>
      <c r="U180" s="5" t="s">
        <v>2377</v>
      </c>
      <c r="V180" s="5" t="s">
        <v>2377</v>
      </c>
      <c r="W180" s="5" t="s">
        <v>1946</v>
      </c>
      <c r="X180" s="5" t="s">
        <v>1946</v>
      </c>
      <c r="Y180" s="4">
        <v>637</v>
      </c>
      <c r="Z180" s="4">
        <v>487</v>
      </c>
      <c r="AA180" s="4">
        <v>494</v>
      </c>
      <c r="AB180" s="4">
        <v>6</v>
      </c>
      <c r="AC180" s="4">
        <v>6</v>
      </c>
      <c r="AD180" s="4">
        <v>18</v>
      </c>
      <c r="AE180" s="4">
        <v>18</v>
      </c>
      <c r="AF180" s="4">
        <v>9</v>
      </c>
      <c r="AG180" s="4">
        <v>9</v>
      </c>
      <c r="AH180" s="4">
        <v>2</v>
      </c>
      <c r="AI180" s="4">
        <v>2</v>
      </c>
      <c r="AJ180" s="4">
        <v>5</v>
      </c>
      <c r="AK180" s="4">
        <v>5</v>
      </c>
      <c r="AL180" s="4">
        <v>5</v>
      </c>
      <c r="AM180" s="4">
        <v>5</v>
      </c>
      <c r="AN180" s="4">
        <v>0</v>
      </c>
      <c r="AO180" s="4">
        <v>0</v>
      </c>
      <c r="AP180" s="3" t="s">
        <v>59</v>
      </c>
      <c r="AQ180" s="3" t="s">
        <v>70</v>
      </c>
      <c r="AR180" s="6" t="str">
        <f>HYPERLINK("http://catalog.hathitrust.org/Record/002868683","HathiTrust Record")</f>
        <v>HathiTrust Record</v>
      </c>
      <c r="AS180" s="6" t="str">
        <f>HYPERLINK("https://creighton-primo.hosted.exlibrisgroup.com/primo-explore/search?tab=default_tab&amp;search_scope=EVERYTHING&amp;vid=01CRU&amp;lang=en_US&amp;offset=0&amp;query=any,contains,991002146999702656","Catalog Record")</f>
        <v>Catalog Record</v>
      </c>
      <c r="AT180" s="6" t="str">
        <f>HYPERLINK("http://www.worldcat.org/oclc/27677399","WorldCat Record")</f>
        <v>WorldCat Record</v>
      </c>
      <c r="AU180" s="3" t="s">
        <v>2378</v>
      </c>
      <c r="AV180" s="3" t="s">
        <v>2379</v>
      </c>
      <c r="AW180" s="3" t="s">
        <v>2380</v>
      </c>
      <c r="AX180" s="3" t="s">
        <v>2380</v>
      </c>
      <c r="AY180" s="3" t="s">
        <v>2381</v>
      </c>
      <c r="AZ180" s="3" t="s">
        <v>75</v>
      </c>
      <c r="BB180" s="3" t="s">
        <v>2382</v>
      </c>
      <c r="BC180" s="3" t="s">
        <v>2383</v>
      </c>
      <c r="BD180" s="3" t="s">
        <v>2384</v>
      </c>
    </row>
    <row r="181" spans="1:56" ht="48" customHeight="1" x14ac:dyDescent="0.25">
      <c r="A181" s="7" t="s">
        <v>59</v>
      </c>
      <c r="B181" s="2" t="s">
        <v>2385</v>
      </c>
      <c r="C181" s="2" t="s">
        <v>2386</v>
      </c>
      <c r="D181" s="2" t="s">
        <v>2387</v>
      </c>
      <c r="F181" s="3" t="s">
        <v>59</v>
      </c>
      <c r="G181" s="3" t="s">
        <v>60</v>
      </c>
      <c r="H181" s="3" t="s">
        <v>59</v>
      </c>
      <c r="I181" s="3" t="s">
        <v>59</v>
      </c>
      <c r="J181" s="3" t="s">
        <v>61</v>
      </c>
      <c r="K181" s="2" t="s">
        <v>2375</v>
      </c>
      <c r="L181" s="2" t="s">
        <v>2388</v>
      </c>
      <c r="M181" s="3" t="s">
        <v>2389</v>
      </c>
      <c r="O181" s="3" t="s">
        <v>64</v>
      </c>
      <c r="P181" s="3" t="s">
        <v>1495</v>
      </c>
      <c r="R181" s="3" t="s">
        <v>67</v>
      </c>
      <c r="S181" s="4">
        <v>4</v>
      </c>
      <c r="T181" s="4">
        <v>4</v>
      </c>
      <c r="U181" s="5" t="s">
        <v>2390</v>
      </c>
      <c r="V181" s="5" t="s">
        <v>2390</v>
      </c>
      <c r="W181" s="5" t="s">
        <v>2391</v>
      </c>
      <c r="X181" s="5" t="s">
        <v>2391</v>
      </c>
      <c r="Y181" s="4">
        <v>293</v>
      </c>
      <c r="Z181" s="4">
        <v>239</v>
      </c>
      <c r="AA181" s="4">
        <v>496</v>
      </c>
      <c r="AB181" s="4">
        <v>5</v>
      </c>
      <c r="AC181" s="4">
        <v>6</v>
      </c>
      <c r="AD181" s="4">
        <v>11</v>
      </c>
      <c r="AE181" s="4">
        <v>22</v>
      </c>
      <c r="AF181" s="4">
        <v>4</v>
      </c>
      <c r="AG181" s="4">
        <v>9</v>
      </c>
      <c r="AH181" s="4">
        <v>3</v>
      </c>
      <c r="AI181" s="4">
        <v>7</v>
      </c>
      <c r="AJ181" s="4">
        <v>2</v>
      </c>
      <c r="AK181" s="4">
        <v>7</v>
      </c>
      <c r="AL181" s="4">
        <v>4</v>
      </c>
      <c r="AM181" s="4">
        <v>5</v>
      </c>
      <c r="AN181" s="4">
        <v>0</v>
      </c>
      <c r="AO181" s="4">
        <v>0</v>
      </c>
      <c r="AP181" s="3" t="s">
        <v>59</v>
      </c>
      <c r="AQ181" s="3" t="s">
        <v>70</v>
      </c>
      <c r="AR181" s="6" t="str">
        <f>HYPERLINK("http://catalog.hathitrust.org/Record/001554348","HathiTrust Record")</f>
        <v>HathiTrust Record</v>
      </c>
      <c r="AS181" s="6" t="str">
        <f>HYPERLINK("https://creighton-primo.hosted.exlibrisgroup.com/primo-explore/search?tab=default_tab&amp;search_scope=EVERYTHING&amp;vid=01CRU&amp;lang=en_US&amp;offset=0&amp;query=any,contains,991000062979702656","Catalog Record")</f>
        <v>Catalog Record</v>
      </c>
      <c r="AT181" s="6" t="str">
        <f>HYPERLINK("http://www.worldcat.org/oclc/25406","WorldCat Record")</f>
        <v>WorldCat Record</v>
      </c>
      <c r="AU181" s="3" t="s">
        <v>2392</v>
      </c>
      <c r="AV181" s="3" t="s">
        <v>2393</v>
      </c>
      <c r="AW181" s="3" t="s">
        <v>2394</v>
      </c>
      <c r="AX181" s="3" t="s">
        <v>2394</v>
      </c>
      <c r="AY181" s="3" t="s">
        <v>2395</v>
      </c>
      <c r="AZ181" s="3" t="s">
        <v>75</v>
      </c>
      <c r="BB181" s="3" t="s">
        <v>2396</v>
      </c>
      <c r="BC181" s="3" t="s">
        <v>2397</v>
      </c>
      <c r="BD181" s="3" t="s">
        <v>2398</v>
      </c>
    </row>
    <row r="182" spans="1:56" ht="48" customHeight="1" x14ac:dyDescent="0.25">
      <c r="A182" s="7" t="s">
        <v>59</v>
      </c>
      <c r="B182" s="2" t="s">
        <v>2399</v>
      </c>
      <c r="C182" s="2" t="s">
        <v>2400</v>
      </c>
      <c r="D182" s="2" t="s">
        <v>2401</v>
      </c>
      <c r="F182" s="3" t="s">
        <v>59</v>
      </c>
      <c r="G182" s="3" t="s">
        <v>60</v>
      </c>
      <c r="H182" s="3" t="s">
        <v>70</v>
      </c>
      <c r="I182" s="3" t="s">
        <v>59</v>
      </c>
      <c r="J182" s="3" t="s">
        <v>61</v>
      </c>
      <c r="K182" s="2" t="s">
        <v>2375</v>
      </c>
      <c r="L182" s="2" t="s">
        <v>2402</v>
      </c>
      <c r="M182" s="3" t="s">
        <v>113</v>
      </c>
      <c r="O182" s="3" t="s">
        <v>64</v>
      </c>
      <c r="P182" s="3" t="s">
        <v>1495</v>
      </c>
      <c r="R182" s="3" t="s">
        <v>67</v>
      </c>
      <c r="S182" s="4">
        <v>10</v>
      </c>
      <c r="T182" s="4">
        <v>28</v>
      </c>
      <c r="U182" s="5" t="s">
        <v>2403</v>
      </c>
      <c r="V182" s="5" t="s">
        <v>2404</v>
      </c>
      <c r="W182" s="5" t="s">
        <v>148</v>
      </c>
      <c r="X182" s="5" t="s">
        <v>148</v>
      </c>
      <c r="Y182" s="4">
        <v>252</v>
      </c>
      <c r="Z182" s="4">
        <v>187</v>
      </c>
      <c r="AA182" s="4">
        <v>190</v>
      </c>
      <c r="AB182" s="4">
        <v>3</v>
      </c>
      <c r="AC182" s="4">
        <v>3</v>
      </c>
      <c r="AD182" s="4">
        <v>8</v>
      </c>
      <c r="AE182" s="4">
        <v>8</v>
      </c>
      <c r="AF182" s="4">
        <v>5</v>
      </c>
      <c r="AG182" s="4">
        <v>5</v>
      </c>
      <c r="AH182" s="4">
        <v>1</v>
      </c>
      <c r="AI182" s="4">
        <v>1</v>
      </c>
      <c r="AJ182" s="4">
        <v>3</v>
      </c>
      <c r="AK182" s="4">
        <v>3</v>
      </c>
      <c r="AL182" s="4">
        <v>1</v>
      </c>
      <c r="AM182" s="4">
        <v>1</v>
      </c>
      <c r="AN182" s="4">
        <v>0</v>
      </c>
      <c r="AO182" s="4">
        <v>0</v>
      </c>
      <c r="AP182" s="3" t="s">
        <v>59</v>
      </c>
      <c r="AQ182" s="3" t="s">
        <v>70</v>
      </c>
      <c r="AR182" s="6" t="str">
        <f>HYPERLINK("http://catalog.hathitrust.org/Record/001828288","HathiTrust Record")</f>
        <v>HathiTrust Record</v>
      </c>
      <c r="AS182" s="6" t="str">
        <f>HYPERLINK("https://creighton-primo.hosted.exlibrisgroup.com/primo-explore/search?tab=default_tab&amp;search_scope=EVERYTHING&amp;vid=01CRU&amp;lang=en_US&amp;offset=0&amp;query=any,contains,991001789879702656","Catalog Record")</f>
        <v>Catalog Record</v>
      </c>
      <c r="AT182" s="6" t="str">
        <f>HYPERLINK("http://www.worldcat.org/oclc/17153236","WorldCat Record")</f>
        <v>WorldCat Record</v>
      </c>
      <c r="AU182" s="3" t="s">
        <v>2405</v>
      </c>
      <c r="AV182" s="3" t="s">
        <v>2406</v>
      </c>
      <c r="AW182" s="3" t="s">
        <v>2407</v>
      </c>
      <c r="AX182" s="3" t="s">
        <v>2407</v>
      </c>
      <c r="AY182" s="3" t="s">
        <v>2408</v>
      </c>
      <c r="AZ182" s="3" t="s">
        <v>75</v>
      </c>
      <c r="BB182" s="3" t="s">
        <v>2409</v>
      </c>
      <c r="BC182" s="3" t="s">
        <v>2410</v>
      </c>
      <c r="BD182" s="3" t="s">
        <v>2411</v>
      </c>
    </row>
    <row r="183" spans="1:56" ht="48" customHeight="1" x14ac:dyDescent="0.25">
      <c r="A183" s="7" t="s">
        <v>59</v>
      </c>
      <c r="B183" s="2" t="s">
        <v>2412</v>
      </c>
      <c r="C183" s="2" t="s">
        <v>2413</v>
      </c>
      <c r="D183" s="2" t="s">
        <v>2414</v>
      </c>
      <c r="F183" s="3" t="s">
        <v>59</v>
      </c>
      <c r="G183" s="3" t="s">
        <v>60</v>
      </c>
      <c r="H183" s="3" t="s">
        <v>59</v>
      </c>
      <c r="I183" s="3" t="s">
        <v>59</v>
      </c>
      <c r="J183" s="3" t="s">
        <v>61</v>
      </c>
      <c r="K183" s="2" t="s">
        <v>2375</v>
      </c>
      <c r="L183" s="2" t="s">
        <v>2415</v>
      </c>
      <c r="M183" s="3" t="s">
        <v>363</v>
      </c>
      <c r="O183" s="3" t="s">
        <v>64</v>
      </c>
      <c r="P183" s="3" t="s">
        <v>130</v>
      </c>
      <c r="R183" s="3" t="s">
        <v>67</v>
      </c>
      <c r="S183" s="4">
        <v>3</v>
      </c>
      <c r="T183" s="4">
        <v>3</v>
      </c>
      <c r="U183" s="5" t="s">
        <v>472</v>
      </c>
      <c r="V183" s="5" t="s">
        <v>472</v>
      </c>
      <c r="W183" s="5" t="s">
        <v>148</v>
      </c>
      <c r="X183" s="5" t="s">
        <v>148</v>
      </c>
      <c r="Y183" s="4">
        <v>505</v>
      </c>
      <c r="Z183" s="4">
        <v>416</v>
      </c>
      <c r="AA183" s="4">
        <v>427</v>
      </c>
      <c r="AB183" s="4">
        <v>4</v>
      </c>
      <c r="AC183" s="4">
        <v>4</v>
      </c>
      <c r="AD183" s="4">
        <v>15</v>
      </c>
      <c r="AE183" s="4">
        <v>15</v>
      </c>
      <c r="AF183" s="4">
        <v>5</v>
      </c>
      <c r="AG183" s="4">
        <v>5</v>
      </c>
      <c r="AH183" s="4">
        <v>5</v>
      </c>
      <c r="AI183" s="4">
        <v>5</v>
      </c>
      <c r="AJ183" s="4">
        <v>7</v>
      </c>
      <c r="AK183" s="4">
        <v>7</v>
      </c>
      <c r="AL183" s="4">
        <v>3</v>
      </c>
      <c r="AM183" s="4">
        <v>3</v>
      </c>
      <c r="AN183" s="4">
        <v>0</v>
      </c>
      <c r="AO183" s="4">
        <v>0</v>
      </c>
      <c r="AP183" s="3" t="s">
        <v>59</v>
      </c>
      <c r="AQ183" s="3" t="s">
        <v>70</v>
      </c>
      <c r="AR183" s="6" t="str">
        <f>HYPERLINK("http://catalog.hathitrust.org/Record/000766192","HathiTrust Record")</f>
        <v>HathiTrust Record</v>
      </c>
      <c r="AS183" s="6" t="str">
        <f>HYPERLINK("https://creighton-primo.hosted.exlibrisgroup.com/primo-explore/search?tab=default_tab&amp;search_scope=EVERYTHING&amp;vid=01CRU&amp;lang=en_US&amp;offset=0&amp;query=any,contains,991005096819702656","Catalog Record")</f>
        <v>Catalog Record</v>
      </c>
      <c r="AT183" s="6" t="str">
        <f>HYPERLINK("http://www.worldcat.org/oclc/7274805","WorldCat Record")</f>
        <v>WorldCat Record</v>
      </c>
      <c r="AU183" s="3" t="s">
        <v>2416</v>
      </c>
      <c r="AV183" s="3" t="s">
        <v>2417</v>
      </c>
      <c r="AW183" s="3" t="s">
        <v>2418</v>
      </c>
      <c r="AX183" s="3" t="s">
        <v>2418</v>
      </c>
      <c r="AY183" s="3" t="s">
        <v>2419</v>
      </c>
      <c r="AZ183" s="3" t="s">
        <v>75</v>
      </c>
      <c r="BB183" s="3" t="s">
        <v>2420</v>
      </c>
      <c r="BC183" s="3" t="s">
        <v>2421</v>
      </c>
      <c r="BD183" s="3" t="s">
        <v>2422</v>
      </c>
    </row>
    <row r="184" spans="1:56" ht="48" customHeight="1" x14ac:dyDescent="0.25">
      <c r="A184" s="7" t="s">
        <v>59</v>
      </c>
      <c r="B184" s="2" t="s">
        <v>2423</v>
      </c>
      <c r="C184" s="2" t="s">
        <v>2424</v>
      </c>
      <c r="D184" s="2" t="s">
        <v>2425</v>
      </c>
      <c r="F184" s="3" t="s">
        <v>59</v>
      </c>
      <c r="G184" s="3" t="s">
        <v>60</v>
      </c>
      <c r="H184" s="3" t="s">
        <v>70</v>
      </c>
      <c r="I184" s="3" t="s">
        <v>59</v>
      </c>
      <c r="J184" s="3" t="s">
        <v>61</v>
      </c>
      <c r="K184" s="2" t="s">
        <v>2426</v>
      </c>
      <c r="L184" s="2" t="s">
        <v>2427</v>
      </c>
      <c r="M184" s="3" t="s">
        <v>129</v>
      </c>
      <c r="O184" s="3" t="s">
        <v>64</v>
      </c>
      <c r="P184" s="3" t="s">
        <v>84</v>
      </c>
      <c r="Q184" s="2" t="s">
        <v>2428</v>
      </c>
      <c r="R184" s="3" t="s">
        <v>67</v>
      </c>
      <c r="S184" s="4">
        <v>21</v>
      </c>
      <c r="T184" s="4">
        <v>21</v>
      </c>
      <c r="U184" s="5" t="s">
        <v>2429</v>
      </c>
      <c r="V184" s="5" t="s">
        <v>2429</v>
      </c>
      <c r="W184" s="5" t="s">
        <v>2430</v>
      </c>
      <c r="X184" s="5" t="s">
        <v>2430</v>
      </c>
      <c r="Y184" s="4">
        <v>230</v>
      </c>
      <c r="Z184" s="4">
        <v>156</v>
      </c>
      <c r="AA184" s="4">
        <v>168</v>
      </c>
      <c r="AB184" s="4">
        <v>3</v>
      </c>
      <c r="AC184" s="4">
        <v>3</v>
      </c>
      <c r="AD184" s="4">
        <v>4</v>
      </c>
      <c r="AE184" s="4">
        <v>4</v>
      </c>
      <c r="AF184" s="4">
        <v>0</v>
      </c>
      <c r="AG184" s="4">
        <v>0</v>
      </c>
      <c r="AH184" s="4">
        <v>2</v>
      </c>
      <c r="AI184" s="4">
        <v>2</v>
      </c>
      <c r="AJ184" s="4">
        <v>1</v>
      </c>
      <c r="AK184" s="4">
        <v>1</v>
      </c>
      <c r="AL184" s="4">
        <v>1</v>
      </c>
      <c r="AM184" s="4">
        <v>1</v>
      </c>
      <c r="AN184" s="4">
        <v>0</v>
      </c>
      <c r="AO184" s="4">
        <v>0</v>
      </c>
      <c r="AP184" s="3" t="s">
        <v>59</v>
      </c>
      <c r="AQ184" s="3" t="s">
        <v>70</v>
      </c>
      <c r="AR184" s="6" t="str">
        <f>HYPERLINK("http://catalog.hathitrust.org/Record/002611943","HathiTrust Record")</f>
        <v>HathiTrust Record</v>
      </c>
      <c r="AS184" s="6" t="str">
        <f>HYPERLINK("https://creighton-primo.hosted.exlibrisgroup.com/primo-explore/search?tab=default_tab&amp;search_scope=EVERYTHING&amp;vid=01CRU&amp;lang=en_US&amp;offset=0&amp;query=any,contains,991002007609702656","Catalog Record")</f>
        <v>Catalog Record</v>
      </c>
      <c r="AT184" s="6" t="str">
        <f>HYPERLINK("http://www.worldcat.org/oclc/25510699","WorldCat Record")</f>
        <v>WorldCat Record</v>
      </c>
      <c r="AU184" s="3" t="s">
        <v>2431</v>
      </c>
      <c r="AV184" s="3" t="s">
        <v>2432</v>
      </c>
      <c r="AW184" s="3" t="s">
        <v>2433</v>
      </c>
      <c r="AX184" s="3" t="s">
        <v>2433</v>
      </c>
      <c r="AY184" s="3" t="s">
        <v>2434</v>
      </c>
      <c r="AZ184" s="3" t="s">
        <v>75</v>
      </c>
      <c r="BB184" s="3" t="s">
        <v>2435</v>
      </c>
      <c r="BC184" s="3" t="s">
        <v>2436</v>
      </c>
      <c r="BD184" s="3" t="s">
        <v>2437</v>
      </c>
    </row>
    <row r="185" spans="1:56" ht="48" customHeight="1" x14ac:dyDescent="0.25">
      <c r="A185" s="7" t="s">
        <v>59</v>
      </c>
      <c r="B185" s="2" t="s">
        <v>2438</v>
      </c>
      <c r="C185" s="2" t="s">
        <v>2439</v>
      </c>
      <c r="D185" s="2" t="s">
        <v>2440</v>
      </c>
      <c r="F185" s="3" t="s">
        <v>59</v>
      </c>
      <c r="G185" s="3" t="s">
        <v>60</v>
      </c>
      <c r="H185" s="3" t="s">
        <v>59</v>
      </c>
      <c r="I185" s="3" t="s">
        <v>59</v>
      </c>
      <c r="J185" s="3" t="s">
        <v>61</v>
      </c>
      <c r="K185" s="2" t="s">
        <v>2441</v>
      </c>
      <c r="L185" s="2" t="s">
        <v>2442</v>
      </c>
      <c r="M185" s="3" t="s">
        <v>1338</v>
      </c>
      <c r="O185" s="3" t="s">
        <v>64</v>
      </c>
      <c r="P185" s="3" t="s">
        <v>130</v>
      </c>
      <c r="R185" s="3" t="s">
        <v>67</v>
      </c>
      <c r="S185" s="4">
        <v>9</v>
      </c>
      <c r="T185" s="4">
        <v>9</v>
      </c>
      <c r="U185" s="5" t="s">
        <v>2443</v>
      </c>
      <c r="V185" s="5" t="s">
        <v>2443</v>
      </c>
      <c r="W185" s="5" t="s">
        <v>2444</v>
      </c>
      <c r="X185" s="5" t="s">
        <v>2444</v>
      </c>
      <c r="Y185" s="4">
        <v>427</v>
      </c>
      <c r="Z185" s="4">
        <v>398</v>
      </c>
      <c r="AA185" s="4">
        <v>477</v>
      </c>
      <c r="AB185" s="4">
        <v>5</v>
      </c>
      <c r="AC185" s="4">
        <v>6</v>
      </c>
      <c r="AD185" s="4">
        <v>17</v>
      </c>
      <c r="AE185" s="4">
        <v>19</v>
      </c>
      <c r="AF185" s="4">
        <v>5</v>
      </c>
      <c r="AG185" s="4">
        <v>6</v>
      </c>
      <c r="AH185" s="4">
        <v>4</v>
      </c>
      <c r="AI185" s="4">
        <v>4</v>
      </c>
      <c r="AJ185" s="4">
        <v>7</v>
      </c>
      <c r="AK185" s="4">
        <v>7</v>
      </c>
      <c r="AL185" s="4">
        <v>4</v>
      </c>
      <c r="AM185" s="4">
        <v>5</v>
      </c>
      <c r="AN185" s="4">
        <v>0</v>
      </c>
      <c r="AO185" s="4">
        <v>0</v>
      </c>
      <c r="AP185" s="3" t="s">
        <v>59</v>
      </c>
      <c r="AQ185" s="3" t="s">
        <v>70</v>
      </c>
      <c r="AR185" s="6" t="str">
        <f>HYPERLINK("http://catalog.hathitrust.org/Record/002076740","HathiTrust Record")</f>
        <v>HathiTrust Record</v>
      </c>
      <c r="AS185" s="6" t="str">
        <f>HYPERLINK("https://creighton-primo.hosted.exlibrisgroup.com/primo-explore/search?tab=default_tab&amp;search_scope=EVERYTHING&amp;vid=01CRU&amp;lang=en_US&amp;offset=0&amp;query=any,contains,991002568989702656","Catalog Record")</f>
        <v>Catalog Record</v>
      </c>
      <c r="AT185" s="6" t="str">
        <f>HYPERLINK("http://www.worldcat.org/oclc/373220","WorldCat Record")</f>
        <v>WorldCat Record</v>
      </c>
      <c r="AU185" s="3" t="s">
        <v>2445</v>
      </c>
      <c r="AV185" s="3" t="s">
        <v>2446</v>
      </c>
      <c r="AW185" s="3" t="s">
        <v>2447</v>
      </c>
      <c r="AX185" s="3" t="s">
        <v>2447</v>
      </c>
      <c r="AY185" s="3" t="s">
        <v>2448</v>
      </c>
      <c r="AZ185" s="3" t="s">
        <v>75</v>
      </c>
      <c r="BC185" s="3" t="s">
        <v>2449</v>
      </c>
      <c r="BD185" s="3" t="s">
        <v>2450</v>
      </c>
    </row>
    <row r="186" spans="1:56" ht="48" customHeight="1" x14ac:dyDescent="0.25">
      <c r="A186" s="7" t="s">
        <v>59</v>
      </c>
      <c r="B186" s="2" t="s">
        <v>2451</v>
      </c>
      <c r="C186" s="2" t="s">
        <v>2452</v>
      </c>
      <c r="D186" s="2" t="s">
        <v>2453</v>
      </c>
      <c r="F186" s="3" t="s">
        <v>59</v>
      </c>
      <c r="G186" s="3" t="s">
        <v>60</v>
      </c>
      <c r="H186" s="3" t="s">
        <v>59</v>
      </c>
      <c r="I186" s="3" t="s">
        <v>59</v>
      </c>
      <c r="J186" s="3" t="s">
        <v>61</v>
      </c>
      <c r="K186" s="2" t="s">
        <v>2454</v>
      </c>
      <c r="L186" s="2" t="s">
        <v>2455</v>
      </c>
      <c r="M186" s="3" t="s">
        <v>113</v>
      </c>
      <c r="N186" s="2" t="s">
        <v>926</v>
      </c>
      <c r="O186" s="3" t="s">
        <v>64</v>
      </c>
      <c r="P186" s="3" t="s">
        <v>264</v>
      </c>
      <c r="R186" s="3" t="s">
        <v>67</v>
      </c>
      <c r="S186" s="4">
        <v>11</v>
      </c>
      <c r="T186" s="4">
        <v>11</v>
      </c>
      <c r="U186" s="5" t="s">
        <v>2456</v>
      </c>
      <c r="V186" s="5" t="s">
        <v>2456</v>
      </c>
      <c r="W186" s="5" t="s">
        <v>2457</v>
      </c>
      <c r="X186" s="5" t="s">
        <v>2457</v>
      </c>
      <c r="Y186" s="4">
        <v>57</v>
      </c>
      <c r="Z186" s="4">
        <v>53</v>
      </c>
      <c r="AA186" s="4">
        <v>625</v>
      </c>
      <c r="AB186" s="4">
        <v>1</v>
      </c>
      <c r="AC186" s="4">
        <v>6</v>
      </c>
      <c r="AD186" s="4">
        <v>0</v>
      </c>
      <c r="AE186" s="4">
        <v>18</v>
      </c>
      <c r="AF186" s="4">
        <v>0</v>
      </c>
      <c r="AG186" s="4">
        <v>10</v>
      </c>
      <c r="AH186" s="4">
        <v>0</v>
      </c>
      <c r="AI186" s="4">
        <v>1</v>
      </c>
      <c r="AJ186" s="4">
        <v>0</v>
      </c>
      <c r="AK186" s="4">
        <v>4</v>
      </c>
      <c r="AL186" s="4">
        <v>0</v>
      </c>
      <c r="AM186" s="4">
        <v>5</v>
      </c>
      <c r="AN186" s="4">
        <v>0</v>
      </c>
      <c r="AO186" s="4">
        <v>0</v>
      </c>
      <c r="AP186" s="3" t="s">
        <v>59</v>
      </c>
      <c r="AQ186" s="3" t="s">
        <v>70</v>
      </c>
      <c r="AR186" s="6" t="str">
        <f>HYPERLINK("http://catalog.hathitrust.org/Record/101878972","HathiTrust Record")</f>
        <v>HathiTrust Record</v>
      </c>
      <c r="AS186" s="6" t="str">
        <f>HYPERLINK("https://creighton-primo.hosted.exlibrisgroup.com/primo-explore/search?tab=default_tab&amp;search_scope=EVERYTHING&amp;vid=01CRU&amp;lang=en_US&amp;offset=0&amp;query=any,contains,991001104899702656","Catalog Record")</f>
        <v>Catalog Record</v>
      </c>
      <c r="AT186" s="6" t="str">
        <f>HYPERLINK("http://www.worldcat.org/oclc/16404092","WorldCat Record")</f>
        <v>WorldCat Record</v>
      </c>
      <c r="AU186" s="3" t="s">
        <v>2458</v>
      </c>
      <c r="AV186" s="3" t="s">
        <v>2459</v>
      </c>
      <c r="AW186" s="3" t="s">
        <v>2460</v>
      </c>
      <c r="AX186" s="3" t="s">
        <v>2460</v>
      </c>
      <c r="AY186" s="3" t="s">
        <v>2461</v>
      </c>
      <c r="AZ186" s="3" t="s">
        <v>75</v>
      </c>
      <c r="BB186" s="3" t="s">
        <v>2462</v>
      </c>
      <c r="BC186" s="3" t="s">
        <v>2463</v>
      </c>
      <c r="BD186" s="3" t="s">
        <v>2464</v>
      </c>
    </row>
    <row r="187" spans="1:56" ht="48" customHeight="1" x14ac:dyDescent="0.25">
      <c r="A187" s="7" t="s">
        <v>59</v>
      </c>
      <c r="B187" s="2" t="s">
        <v>2465</v>
      </c>
      <c r="C187" s="2" t="s">
        <v>2466</v>
      </c>
      <c r="D187" s="2" t="s">
        <v>2467</v>
      </c>
      <c r="F187" s="3" t="s">
        <v>59</v>
      </c>
      <c r="G187" s="3" t="s">
        <v>60</v>
      </c>
      <c r="H187" s="3" t="s">
        <v>59</v>
      </c>
      <c r="I187" s="3" t="s">
        <v>59</v>
      </c>
      <c r="J187" s="3" t="s">
        <v>61</v>
      </c>
      <c r="K187" s="2" t="s">
        <v>2468</v>
      </c>
      <c r="L187" s="2" t="s">
        <v>2469</v>
      </c>
      <c r="M187" s="3" t="s">
        <v>234</v>
      </c>
      <c r="O187" s="3" t="s">
        <v>64</v>
      </c>
      <c r="P187" s="3" t="s">
        <v>2222</v>
      </c>
      <c r="R187" s="3" t="s">
        <v>67</v>
      </c>
      <c r="S187" s="4">
        <v>13</v>
      </c>
      <c r="T187" s="4">
        <v>13</v>
      </c>
      <c r="U187" s="5" t="s">
        <v>2470</v>
      </c>
      <c r="V187" s="5" t="s">
        <v>2470</v>
      </c>
      <c r="W187" s="5" t="s">
        <v>2471</v>
      </c>
      <c r="X187" s="5" t="s">
        <v>2471</v>
      </c>
      <c r="Y187" s="4">
        <v>311</v>
      </c>
      <c r="Z187" s="4">
        <v>255</v>
      </c>
      <c r="AA187" s="4">
        <v>348</v>
      </c>
      <c r="AB187" s="4">
        <v>2</v>
      </c>
      <c r="AC187" s="4">
        <v>3</v>
      </c>
      <c r="AD187" s="4">
        <v>8</v>
      </c>
      <c r="AE187" s="4">
        <v>12</v>
      </c>
      <c r="AF187" s="4">
        <v>5</v>
      </c>
      <c r="AG187" s="4">
        <v>7</v>
      </c>
      <c r="AH187" s="4">
        <v>0</v>
      </c>
      <c r="AI187" s="4">
        <v>1</v>
      </c>
      <c r="AJ187" s="4">
        <v>3</v>
      </c>
      <c r="AK187" s="4">
        <v>4</v>
      </c>
      <c r="AL187" s="4">
        <v>1</v>
      </c>
      <c r="AM187" s="4">
        <v>2</v>
      </c>
      <c r="AN187" s="4">
        <v>0</v>
      </c>
      <c r="AO187" s="4">
        <v>0</v>
      </c>
      <c r="AP187" s="3" t="s">
        <v>59</v>
      </c>
      <c r="AQ187" s="3" t="s">
        <v>59</v>
      </c>
      <c r="AS187" s="6" t="str">
        <f>HYPERLINK("https://creighton-primo.hosted.exlibrisgroup.com/primo-explore/search?tab=default_tab&amp;search_scope=EVERYTHING&amp;vid=01CRU&amp;lang=en_US&amp;offset=0&amp;query=any,contains,991000990189702656","Catalog Record")</f>
        <v>Catalog Record</v>
      </c>
      <c r="AT187" s="6" t="str">
        <f>HYPERLINK("http://www.worldcat.org/oclc/15106395","WorldCat Record")</f>
        <v>WorldCat Record</v>
      </c>
      <c r="AU187" s="3" t="s">
        <v>2472</v>
      </c>
      <c r="AV187" s="3" t="s">
        <v>2473</v>
      </c>
      <c r="AW187" s="3" t="s">
        <v>2474</v>
      </c>
      <c r="AX187" s="3" t="s">
        <v>2474</v>
      </c>
      <c r="AY187" s="3" t="s">
        <v>2475</v>
      </c>
      <c r="AZ187" s="3" t="s">
        <v>75</v>
      </c>
      <c r="BB187" s="3" t="s">
        <v>2476</v>
      </c>
      <c r="BC187" s="3" t="s">
        <v>2477</v>
      </c>
      <c r="BD187" s="3" t="s">
        <v>2478</v>
      </c>
    </row>
    <row r="188" spans="1:56" ht="48" customHeight="1" x14ac:dyDescent="0.25">
      <c r="A188" s="7" t="s">
        <v>59</v>
      </c>
      <c r="B188" s="2" t="s">
        <v>2479</v>
      </c>
      <c r="C188" s="2" t="s">
        <v>2480</v>
      </c>
      <c r="D188" s="2" t="s">
        <v>2481</v>
      </c>
      <c r="F188" s="3" t="s">
        <v>59</v>
      </c>
      <c r="G188" s="3" t="s">
        <v>60</v>
      </c>
      <c r="H188" s="3" t="s">
        <v>59</v>
      </c>
      <c r="I188" s="3" t="s">
        <v>59</v>
      </c>
      <c r="J188" s="3" t="s">
        <v>61</v>
      </c>
      <c r="K188" s="2" t="s">
        <v>2482</v>
      </c>
      <c r="L188" s="2" t="s">
        <v>2483</v>
      </c>
      <c r="M188" s="3" t="s">
        <v>129</v>
      </c>
      <c r="O188" s="3" t="s">
        <v>64</v>
      </c>
      <c r="P188" s="3" t="s">
        <v>130</v>
      </c>
      <c r="R188" s="3" t="s">
        <v>67</v>
      </c>
      <c r="S188" s="4">
        <v>8</v>
      </c>
      <c r="T188" s="4">
        <v>8</v>
      </c>
      <c r="U188" s="5" t="s">
        <v>2128</v>
      </c>
      <c r="V188" s="5" t="s">
        <v>2128</v>
      </c>
      <c r="W188" s="5" t="s">
        <v>2484</v>
      </c>
      <c r="X188" s="5" t="s">
        <v>2484</v>
      </c>
      <c r="Y188" s="4">
        <v>730</v>
      </c>
      <c r="Z188" s="4">
        <v>656</v>
      </c>
      <c r="AA188" s="4">
        <v>668</v>
      </c>
      <c r="AB188" s="4">
        <v>5</v>
      </c>
      <c r="AC188" s="4">
        <v>5</v>
      </c>
      <c r="AD188" s="4">
        <v>22</v>
      </c>
      <c r="AE188" s="4">
        <v>22</v>
      </c>
      <c r="AF188" s="4">
        <v>9</v>
      </c>
      <c r="AG188" s="4">
        <v>9</v>
      </c>
      <c r="AH188" s="4">
        <v>4</v>
      </c>
      <c r="AI188" s="4">
        <v>4</v>
      </c>
      <c r="AJ188" s="4">
        <v>9</v>
      </c>
      <c r="AK188" s="4">
        <v>9</v>
      </c>
      <c r="AL188" s="4">
        <v>4</v>
      </c>
      <c r="AM188" s="4">
        <v>4</v>
      </c>
      <c r="AN188" s="4">
        <v>0</v>
      </c>
      <c r="AO188" s="4">
        <v>0</v>
      </c>
      <c r="AP188" s="3" t="s">
        <v>59</v>
      </c>
      <c r="AQ188" s="3" t="s">
        <v>59</v>
      </c>
      <c r="AS188" s="6" t="str">
        <f>HYPERLINK("https://creighton-primo.hosted.exlibrisgroup.com/primo-explore/search?tab=default_tab&amp;search_scope=EVERYTHING&amp;vid=01CRU&amp;lang=en_US&amp;offset=0&amp;query=any,contains,991002012469702656","Catalog Record")</f>
        <v>Catalog Record</v>
      </c>
      <c r="AT188" s="6" t="str">
        <f>HYPERLINK("http://www.worldcat.org/oclc/25628537","WorldCat Record")</f>
        <v>WorldCat Record</v>
      </c>
      <c r="AU188" s="3" t="s">
        <v>2485</v>
      </c>
      <c r="AV188" s="3" t="s">
        <v>2486</v>
      </c>
      <c r="AW188" s="3" t="s">
        <v>2487</v>
      </c>
      <c r="AX188" s="3" t="s">
        <v>2487</v>
      </c>
      <c r="AY188" s="3" t="s">
        <v>2488</v>
      </c>
      <c r="AZ188" s="3" t="s">
        <v>75</v>
      </c>
      <c r="BB188" s="3" t="s">
        <v>2489</v>
      </c>
      <c r="BC188" s="3" t="s">
        <v>2490</v>
      </c>
      <c r="BD188" s="3" t="s">
        <v>2491</v>
      </c>
    </row>
    <row r="189" spans="1:56" ht="48" customHeight="1" x14ac:dyDescent="0.25">
      <c r="A189" s="7" t="s">
        <v>59</v>
      </c>
      <c r="B189" s="2" t="s">
        <v>2492</v>
      </c>
      <c r="C189" s="2" t="s">
        <v>2493</v>
      </c>
      <c r="D189" s="2" t="s">
        <v>2494</v>
      </c>
      <c r="F189" s="3" t="s">
        <v>59</v>
      </c>
      <c r="G189" s="3" t="s">
        <v>60</v>
      </c>
      <c r="H189" s="3" t="s">
        <v>59</v>
      </c>
      <c r="I189" s="3" t="s">
        <v>59</v>
      </c>
      <c r="J189" s="3" t="s">
        <v>61</v>
      </c>
      <c r="L189" s="2" t="s">
        <v>2495</v>
      </c>
      <c r="M189" s="3" t="s">
        <v>443</v>
      </c>
      <c r="O189" s="3" t="s">
        <v>64</v>
      </c>
      <c r="P189" s="3" t="s">
        <v>130</v>
      </c>
      <c r="Q189" s="2" t="s">
        <v>2496</v>
      </c>
      <c r="R189" s="3" t="s">
        <v>67</v>
      </c>
      <c r="S189" s="4">
        <v>3</v>
      </c>
      <c r="T189" s="4">
        <v>3</v>
      </c>
      <c r="U189" s="5" t="s">
        <v>2128</v>
      </c>
      <c r="V189" s="5" t="s">
        <v>2128</v>
      </c>
      <c r="W189" s="5" t="s">
        <v>501</v>
      </c>
      <c r="X189" s="5" t="s">
        <v>501</v>
      </c>
      <c r="Y189" s="4">
        <v>306</v>
      </c>
      <c r="Z189" s="4">
        <v>236</v>
      </c>
      <c r="AA189" s="4">
        <v>256</v>
      </c>
      <c r="AB189" s="4">
        <v>3</v>
      </c>
      <c r="AC189" s="4">
        <v>3</v>
      </c>
      <c r="AD189" s="4">
        <v>8</v>
      </c>
      <c r="AE189" s="4">
        <v>8</v>
      </c>
      <c r="AF189" s="4">
        <v>1</v>
      </c>
      <c r="AG189" s="4">
        <v>1</v>
      </c>
      <c r="AH189" s="4">
        <v>2</v>
      </c>
      <c r="AI189" s="4">
        <v>2</v>
      </c>
      <c r="AJ189" s="4">
        <v>3</v>
      </c>
      <c r="AK189" s="4">
        <v>3</v>
      </c>
      <c r="AL189" s="4">
        <v>2</v>
      </c>
      <c r="AM189" s="4">
        <v>2</v>
      </c>
      <c r="AN189" s="4">
        <v>0</v>
      </c>
      <c r="AO189" s="4">
        <v>0</v>
      </c>
      <c r="AP189" s="3" t="s">
        <v>59</v>
      </c>
      <c r="AQ189" s="3" t="s">
        <v>70</v>
      </c>
      <c r="AR189" s="6" t="str">
        <f>HYPERLINK("http://catalog.hathitrust.org/Record/001628959","HathiTrust Record")</f>
        <v>HathiTrust Record</v>
      </c>
      <c r="AS189" s="6" t="str">
        <f>HYPERLINK("https://creighton-primo.hosted.exlibrisgroup.com/primo-explore/search?tab=default_tab&amp;search_scope=EVERYTHING&amp;vid=01CRU&amp;lang=en_US&amp;offset=0&amp;query=any,contains,991003220709702656","Catalog Record")</f>
        <v>Catalog Record</v>
      </c>
      <c r="AT189" s="6" t="str">
        <f>HYPERLINK("http://www.worldcat.org/oclc/745984","WorldCat Record")</f>
        <v>WorldCat Record</v>
      </c>
      <c r="AU189" s="3" t="s">
        <v>2497</v>
      </c>
      <c r="AV189" s="3" t="s">
        <v>2498</v>
      </c>
      <c r="AW189" s="3" t="s">
        <v>2499</v>
      </c>
      <c r="AX189" s="3" t="s">
        <v>2499</v>
      </c>
      <c r="AY189" s="3" t="s">
        <v>2500</v>
      </c>
      <c r="AZ189" s="3" t="s">
        <v>75</v>
      </c>
      <c r="BB189" s="3" t="s">
        <v>2501</v>
      </c>
      <c r="BC189" s="3" t="s">
        <v>2502</v>
      </c>
      <c r="BD189" s="3" t="s">
        <v>2503</v>
      </c>
    </row>
    <row r="190" spans="1:56" ht="48" customHeight="1" x14ac:dyDescent="0.25">
      <c r="A190" s="7" t="s">
        <v>59</v>
      </c>
      <c r="B190" s="2" t="s">
        <v>2504</v>
      </c>
      <c r="C190" s="2" t="s">
        <v>2505</v>
      </c>
      <c r="D190" s="2" t="s">
        <v>2506</v>
      </c>
      <c r="F190" s="3" t="s">
        <v>59</v>
      </c>
      <c r="G190" s="3" t="s">
        <v>60</v>
      </c>
      <c r="H190" s="3" t="s">
        <v>59</v>
      </c>
      <c r="I190" s="3" t="s">
        <v>59</v>
      </c>
      <c r="J190" s="3" t="s">
        <v>61</v>
      </c>
      <c r="K190" s="2" t="s">
        <v>2507</v>
      </c>
      <c r="L190" s="2" t="s">
        <v>2508</v>
      </c>
      <c r="M190" s="3" t="s">
        <v>63</v>
      </c>
      <c r="O190" s="3" t="s">
        <v>64</v>
      </c>
      <c r="P190" s="3" t="s">
        <v>84</v>
      </c>
      <c r="Q190" s="2" t="s">
        <v>2509</v>
      </c>
      <c r="R190" s="3" t="s">
        <v>67</v>
      </c>
      <c r="S190" s="4">
        <v>9</v>
      </c>
      <c r="T190" s="4">
        <v>9</v>
      </c>
      <c r="U190" s="5" t="s">
        <v>2510</v>
      </c>
      <c r="V190" s="5" t="s">
        <v>2510</v>
      </c>
      <c r="W190" s="5" t="s">
        <v>148</v>
      </c>
      <c r="X190" s="5" t="s">
        <v>148</v>
      </c>
      <c r="Y190" s="4">
        <v>339</v>
      </c>
      <c r="Z190" s="4">
        <v>251</v>
      </c>
      <c r="AA190" s="4">
        <v>258</v>
      </c>
      <c r="AB190" s="4">
        <v>5</v>
      </c>
      <c r="AC190" s="4">
        <v>5</v>
      </c>
      <c r="AD190" s="4">
        <v>13</v>
      </c>
      <c r="AE190" s="4">
        <v>13</v>
      </c>
      <c r="AF190" s="4">
        <v>5</v>
      </c>
      <c r="AG190" s="4">
        <v>5</v>
      </c>
      <c r="AH190" s="4">
        <v>1</v>
      </c>
      <c r="AI190" s="4">
        <v>1</v>
      </c>
      <c r="AJ190" s="4">
        <v>5</v>
      </c>
      <c r="AK190" s="4">
        <v>5</v>
      </c>
      <c r="AL190" s="4">
        <v>4</v>
      </c>
      <c r="AM190" s="4">
        <v>4</v>
      </c>
      <c r="AN190" s="4">
        <v>0</v>
      </c>
      <c r="AO190" s="4">
        <v>0</v>
      </c>
      <c r="AP190" s="3" t="s">
        <v>59</v>
      </c>
      <c r="AQ190" s="3" t="s">
        <v>70</v>
      </c>
      <c r="AR190" s="6" t="str">
        <f>HYPERLINK("http://catalog.hathitrust.org/Record/000777969","HathiTrust Record")</f>
        <v>HathiTrust Record</v>
      </c>
      <c r="AS190" s="6" t="str">
        <f>HYPERLINK("https://creighton-primo.hosted.exlibrisgroup.com/primo-explore/search?tab=default_tab&amp;search_scope=EVERYTHING&amp;vid=01CRU&amp;lang=en_US&amp;offset=0&amp;query=any,contains,991004598529702656","Catalog Record")</f>
        <v>Catalog Record</v>
      </c>
      <c r="AT190" s="6" t="str">
        <f>HYPERLINK("http://www.worldcat.org/oclc/4159926","WorldCat Record")</f>
        <v>WorldCat Record</v>
      </c>
      <c r="AU190" s="3" t="s">
        <v>2511</v>
      </c>
      <c r="AV190" s="3" t="s">
        <v>2512</v>
      </c>
      <c r="AW190" s="3" t="s">
        <v>2513</v>
      </c>
      <c r="AX190" s="3" t="s">
        <v>2513</v>
      </c>
      <c r="AY190" s="3" t="s">
        <v>2514</v>
      </c>
      <c r="AZ190" s="3" t="s">
        <v>75</v>
      </c>
      <c r="BB190" s="3" t="s">
        <v>2515</v>
      </c>
      <c r="BC190" s="3" t="s">
        <v>2516</v>
      </c>
      <c r="BD190" s="3" t="s">
        <v>2517</v>
      </c>
    </row>
    <row r="191" spans="1:56" ht="48" customHeight="1" x14ac:dyDescent="0.25">
      <c r="A191" s="7" t="s">
        <v>59</v>
      </c>
      <c r="B191" s="2" t="s">
        <v>2518</v>
      </c>
      <c r="C191" s="2" t="s">
        <v>2519</v>
      </c>
      <c r="D191" s="2" t="s">
        <v>2520</v>
      </c>
      <c r="F191" s="3" t="s">
        <v>59</v>
      </c>
      <c r="G191" s="3" t="s">
        <v>60</v>
      </c>
      <c r="H191" s="3" t="s">
        <v>59</v>
      </c>
      <c r="I191" s="3" t="s">
        <v>59</v>
      </c>
      <c r="J191" s="3" t="s">
        <v>61</v>
      </c>
      <c r="K191" s="2" t="s">
        <v>2521</v>
      </c>
      <c r="L191" s="2" t="s">
        <v>2522</v>
      </c>
      <c r="M191" s="3" t="s">
        <v>590</v>
      </c>
      <c r="O191" s="3" t="s">
        <v>64</v>
      </c>
      <c r="P191" s="3" t="s">
        <v>674</v>
      </c>
      <c r="R191" s="3" t="s">
        <v>67</v>
      </c>
      <c r="S191" s="4">
        <v>1</v>
      </c>
      <c r="T191" s="4">
        <v>1</v>
      </c>
      <c r="U191" s="5" t="s">
        <v>2523</v>
      </c>
      <c r="V191" s="5" t="s">
        <v>2523</v>
      </c>
      <c r="W191" s="5" t="s">
        <v>148</v>
      </c>
      <c r="X191" s="5" t="s">
        <v>148</v>
      </c>
      <c r="Y191" s="4">
        <v>361</v>
      </c>
      <c r="Z191" s="4">
        <v>261</v>
      </c>
      <c r="AA191" s="4">
        <v>432</v>
      </c>
      <c r="AB191" s="4">
        <v>5</v>
      </c>
      <c r="AC191" s="4">
        <v>6</v>
      </c>
      <c r="AD191" s="4">
        <v>10</v>
      </c>
      <c r="AE191" s="4">
        <v>19</v>
      </c>
      <c r="AF191" s="4">
        <v>3</v>
      </c>
      <c r="AG191" s="4">
        <v>7</v>
      </c>
      <c r="AH191" s="4">
        <v>0</v>
      </c>
      <c r="AI191" s="4">
        <v>3</v>
      </c>
      <c r="AJ191" s="4">
        <v>3</v>
      </c>
      <c r="AK191" s="4">
        <v>5</v>
      </c>
      <c r="AL191" s="4">
        <v>4</v>
      </c>
      <c r="AM191" s="4">
        <v>5</v>
      </c>
      <c r="AN191" s="4">
        <v>0</v>
      </c>
      <c r="AO191" s="4">
        <v>0</v>
      </c>
      <c r="AP191" s="3" t="s">
        <v>59</v>
      </c>
      <c r="AQ191" s="3" t="s">
        <v>70</v>
      </c>
      <c r="AR191" s="6" t="str">
        <f>HYPERLINK("http://catalog.hathitrust.org/Record/004410830","HathiTrust Record")</f>
        <v>HathiTrust Record</v>
      </c>
      <c r="AS191" s="6" t="str">
        <f>HYPERLINK("https://creighton-primo.hosted.exlibrisgroup.com/primo-explore/search?tab=default_tab&amp;search_scope=EVERYTHING&amp;vid=01CRU&amp;lang=en_US&amp;offset=0&amp;query=any,contains,991001179849702656","Catalog Record")</f>
        <v>Catalog Record</v>
      </c>
      <c r="AT191" s="6" t="str">
        <f>HYPERLINK("http://www.worldcat.org/oclc/17107047","WorldCat Record")</f>
        <v>WorldCat Record</v>
      </c>
      <c r="AU191" s="3" t="s">
        <v>2524</v>
      </c>
      <c r="AV191" s="3" t="s">
        <v>2525</v>
      </c>
      <c r="AW191" s="3" t="s">
        <v>2526</v>
      </c>
      <c r="AX191" s="3" t="s">
        <v>2526</v>
      </c>
      <c r="AY191" s="3" t="s">
        <v>2527</v>
      </c>
      <c r="AZ191" s="3" t="s">
        <v>75</v>
      </c>
      <c r="BB191" s="3" t="s">
        <v>2528</v>
      </c>
      <c r="BC191" s="3" t="s">
        <v>2529</v>
      </c>
      <c r="BD191" s="3" t="s">
        <v>2530</v>
      </c>
    </row>
    <row r="192" spans="1:56" ht="48" customHeight="1" x14ac:dyDescent="0.25">
      <c r="A192" s="7" t="s">
        <v>59</v>
      </c>
      <c r="B192" s="2" t="s">
        <v>2531</v>
      </c>
      <c r="C192" s="2" t="s">
        <v>2532</v>
      </c>
      <c r="D192" s="2" t="s">
        <v>2533</v>
      </c>
      <c r="F192" s="3" t="s">
        <v>59</v>
      </c>
      <c r="G192" s="3" t="s">
        <v>60</v>
      </c>
      <c r="H192" s="3" t="s">
        <v>59</v>
      </c>
      <c r="I192" s="3" t="s">
        <v>59</v>
      </c>
      <c r="J192" s="3" t="s">
        <v>61</v>
      </c>
      <c r="K192" s="2" t="s">
        <v>2534</v>
      </c>
      <c r="L192" s="2" t="s">
        <v>2535</v>
      </c>
      <c r="M192" s="3" t="s">
        <v>471</v>
      </c>
      <c r="O192" s="3" t="s">
        <v>64</v>
      </c>
      <c r="P192" s="3" t="s">
        <v>1186</v>
      </c>
      <c r="R192" s="3" t="s">
        <v>67</v>
      </c>
      <c r="S192" s="4">
        <v>2</v>
      </c>
      <c r="T192" s="4">
        <v>2</v>
      </c>
      <c r="U192" s="5" t="s">
        <v>2536</v>
      </c>
      <c r="V192" s="5" t="s">
        <v>2536</v>
      </c>
      <c r="W192" s="5" t="s">
        <v>2537</v>
      </c>
      <c r="X192" s="5" t="s">
        <v>2537</v>
      </c>
      <c r="Y192" s="4">
        <v>125</v>
      </c>
      <c r="Z192" s="4">
        <v>104</v>
      </c>
      <c r="AA192" s="4">
        <v>641</v>
      </c>
      <c r="AB192" s="4">
        <v>2</v>
      </c>
      <c r="AC192" s="4">
        <v>7</v>
      </c>
      <c r="AD192" s="4">
        <v>4</v>
      </c>
      <c r="AE192" s="4">
        <v>34</v>
      </c>
      <c r="AF192" s="4">
        <v>2</v>
      </c>
      <c r="AG192" s="4">
        <v>13</v>
      </c>
      <c r="AH192" s="4">
        <v>1</v>
      </c>
      <c r="AI192" s="4">
        <v>8</v>
      </c>
      <c r="AJ192" s="4">
        <v>0</v>
      </c>
      <c r="AK192" s="4">
        <v>12</v>
      </c>
      <c r="AL192" s="4">
        <v>1</v>
      </c>
      <c r="AM192" s="4">
        <v>6</v>
      </c>
      <c r="AN192" s="4">
        <v>0</v>
      </c>
      <c r="AO192" s="4">
        <v>1</v>
      </c>
      <c r="AP192" s="3" t="s">
        <v>59</v>
      </c>
      <c r="AQ192" s="3" t="s">
        <v>59</v>
      </c>
      <c r="AS192" s="6" t="str">
        <f>HYPERLINK("https://creighton-primo.hosted.exlibrisgroup.com/primo-explore/search?tab=default_tab&amp;search_scope=EVERYTHING&amp;vid=01CRU&amp;lang=en_US&amp;offset=0&amp;query=any,contains,991003504649702656","Catalog Record")</f>
        <v>Catalog Record</v>
      </c>
      <c r="AT192" s="6" t="str">
        <f>HYPERLINK("http://www.worldcat.org/oclc/1056622","WorldCat Record")</f>
        <v>WorldCat Record</v>
      </c>
      <c r="AU192" s="3" t="s">
        <v>2538</v>
      </c>
      <c r="AV192" s="3" t="s">
        <v>2539</v>
      </c>
      <c r="AW192" s="3" t="s">
        <v>2540</v>
      </c>
      <c r="AX192" s="3" t="s">
        <v>2540</v>
      </c>
      <c r="AY192" s="3" t="s">
        <v>2541</v>
      </c>
      <c r="AZ192" s="3" t="s">
        <v>75</v>
      </c>
      <c r="BB192" s="3" t="s">
        <v>2542</v>
      </c>
      <c r="BC192" s="3" t="s">
        <v>2543</v>
      </c>
      <c r="BD192" s="3" t="s">
        <v>2544</v>
      </c>
    </row>
    <row r="193" spans="1:56" ht="48" customHeight="1" x14ac:dyDescent="0.25">
      <c r="A193" s="7" t="s">
        <v>59</v>
      </c>
      <c r="B193" s="2" t="s">
        <v>2545</v>
      </c>
      <c r="C193" s="2" t="s">
        <v>2546</v>
      </c>
      <c r="D193" s="2" t="s">
        <v>2547</v>
      </c>
      <c r="F193" s="3" t="s">
        <v>59</v>
      </c>
      <c r="G193" s="3" t="s">
        <v>60</v>
      </c>
      <c r="H193" s="3" t="s">
        <v>59</v>
      </c>
      <c r="I193" s="3" t="s">
        <v>59</v>
      </c>
      <c r="J193" s="3" t="s">
        <v>61</v>
      </c>
      <c r="K193" s="2" t="s">
        <v>2548</v>
      </c>
      <c r="L193" s="2" t="s">
        <v>2549</v>
      </c>
      <c r="M193" s="3" t="s">
        <v>161</v>
      </c>
      <c r="O193" s="3" t="s">
        <v>64</v>
      </c>
      <c r="P193" s="3" t="s">
        <v>115</v>
      </c>
      <c r="R193" s="3" t="s">
        <v>67</v>
      </c>
      <c r="S193" s="4">
        <v>10</v>
      </c>
      <c r="T193" s="4">
        <v>10</v>
      </c>
      <c r="U193" s="5" t="s">
        <v>2550</v>
      </c>
      <c r="V193" s="5" t="s">
        <v>2550</v>
      </c>
      <c r="W193" s="5" t="s">
        <v>2551</v>
      </c>
      <c r="X193" s="5" t="s">
        <v>2551</v>
      </c>
      <c r="Y193" s="4">
        <v>441</v>
      </c>
      <c r="Z193" s="4">
        <v>325</v>
      </c>
      <c r="AA193" s="4">
        <v>332</v>
      </c>
      <c r="AB193" s="4">
        <v>4</v>
      </c>
      <c r="AC193" s="4">
        <v>4</v>
      </c>
      <c r="AD193" s="4">
        <v>11</v>
      </c>
      <c r="AE193" s="4">
        <v>11</v>
      </c>
      <c r="AF193" s="4">
        <v>6</v>
      </c>
      <c r="AG193" s="4">
        <v>6</v>
      </c>
      <c r="AH193" s="4">
        <v>1</v>
      </c>
      <c r="AI193" s="4">
        <v>1</v>
      </c>
      <c r="AJ193" s="4">
        <v>4</v>
      </c>
      <c r="AK193" s="4">
        <v>4</v>
      </c>
      <c r="AL193" s="4">
        <v>3</v>
      </c>
      <c r="AM193" s="4">
        <v>3</v>
      </c>
      <c r="AN193" s="4">
        <v>0</v>
      </c>
      <c r="AO193" s="4">
        <v>0</v>
      </c>
      <c r="AP193" s="3" t="s">
        <v>59</v>
      </c>
      <c r="AQ193" s="3" t="s">
        <v>70</v>
      </c>
      <c r="AR193" s="6" t="str">
        <f>HYPERLINK("http://catalog.hathitrust.org/Record/000746998","HathiTrust Record")</f>
        <v>HathiTrust Record</v>
      </c>
      <c r="AS193" s="6" t="str">
        <f>HYPERLINK("https://creighton-primo.hosted.exlibrisgroup.com/primo-explore/search?tab=default_tab&amp;search_scope=EVERYTHING&amp;vid=01CRU&amp;lang=en_US&amp;offset=0&amp;query=any,contains,991004864289702656","Catalog Record")</f>
        <v>Catalog Record</v>
      </c>
      <c r="AT193" s="6" t="str">
        <f>HYPERLINK("http://www.worldcat.org/oclc/5726076","WorldCat Record")</f>
        <v>WorldCat Record</v>
      </c>
      <c r="AU193" s="3" t="s">
        <v>2552</v>
      </c>
      <c r="AV193" s="3" t="s">
        <v>2553</v>
      </c>
      <c r="AW193" s="3" t="s">
        <v>2554</v>
      </c>
      <c r="AX193" s="3" t="s">
        <v>2554</v>
      </c>
      <c r="AY193" s="3" t="s">
        <v>2555</v>
      </c>
      <c r="AZ193" s="3" t="s">
        <v>75</v>
      </c>
      <c r="BB193" s="3" t="s">
        <v>2556</v>
      </c>
      <c r="BC193" s="3" t="s">
        <v>2557</v>
      </c>
      <c r="BD193" s="3" t="s">
        <v>2558</v>
      </c>
    </row>
    <row r="194" spans="1:56" ht="48" customHeight="1" x14ac:dyDescent="0.25">
      <c r="A194" s="7" t="s">
        <v>59</v>
      </c>
      <c r="B194" s="2" t="s">
        <v>2559</v>
      </c>
      <c r="C194" s="2" t="s">
        <v>2560</v>
      </c>
      <c r="D194" s="2" t="s">
        <v>2561</v>
      </c>
      <c r="F194" s="3" t="s">
        <v>59</v>
      </c>
      <c r="G194" s="3" t="s">
        <v>60</v>
      </c>
      <c r="H194" s="3" t="s">
        <v>59</v>
      </c>
      <c r="I194" s="3" t="s">
        <v>59</v>
      </c>
      <c r="J194" s="3" t="s">
        <v>61</v>
      </c>
      <c r="K194" s="2" t="s">
        <v>2562</v>
      </c>
      <c r="L194" s="2" t="s">
        <v>2563</v>
      </c>
      <c r="M194" s="3" t="s">
        <v>471</v>
      </c>
      <c r="O194" s="3" t="s">
        <v>64</v>
      </c>
      <c r="P194" s="3" t="s">
        <v>115</v>
      </c>
      <c r="R194" s="3" t="s">
        <v>67</v>
      </c>
      <c r="S194" s="4">
        <v>6</v>
      </c>
      <c r="T194" s="4">
        <v>6</v>
      </c>
      <c r="U194" s="5" t="s">
        <v>2564</v>
      </c>
      <c r="V194" s="5" t="s">
        <v>2564</v>
      </c>
      <c r="W194" s="5" t="s">
        <v>148</v>
      </c>
      <c r="X194" s="5" t="s">
        <v>148</v>
      </c>
      <c r="Y194" s="4">
        <v>473</v>
      </c>
      <c r="Z194" s="4">
        <v>375</v>
      </c>
      <c r="AA194" s="4">
        <v>433</v>
      </c>
      <c r="AB194" s="4">
        <v>2</v>
      </c>
      <c r="AC194" s="4">
        <v>2</v>
      </c>
      <c r="AD194" s="4">
        <v>9</v>
      </c>
      <c r="AE194" s="4">
        <v>10</v>
      </c>
      <c r="AF194" s="4">
        <v>4</v>
      </c>
      <c r="AG194" s="4">
        <v>4</v>
      </c>
      <c r="AH194" s="4">
        <v>0</v>
      </c>
      <c r="AI194" s="4">
        <v>0</v>
      </c>
      <c r="AJ194" s="4">
        <v>5</v>
      </c>
      <c r="AK194" s="4">
        <v>6</v>
      </c>
      <c r="AL194" s="4">
        <v>1</v>
      </c>
      <c r="AM194" s="4">
        <v>1</v>
      </c>
      <c r="AN194" s="4">
        <v>0</v>
      </c>
      <c r="AO194" s="4">
        <v>0</v>
      </c>
      <c r="AP194" s="3" t="s">
        <v>70</v>
      </c>
      <c r="AQ194" s="3" t="s">
        <v>70</v>
      </c>
      <c r="AR194" s="6" t="str">
        <f>HYPERLINK("http://catalog.hathitrust.org/Record/001554371","HathiTrust Record")</f>
        <v>HathiTrust Record</v>
      </c>
      <c r="AS194" s="6" t="str">
        <f>HYPERLINK("https://creighton-primo.hosted.exlibrisgroup.com/primo-explore/search?tab=default_tab&amp;search_scope=EVERYTHING&amp;vid=01CRU&amp;lang=en_US&amp;offset=0&amp;query=any,contains,991003328919702656","Catalog Record")</f>
        <v>Catalog Record</v>
      </c>
      <c r="AT194" s="6" t="str">
        <f>HYPERLINK("http://www.worldcat.org/oclc/858742","WorldCat Record")</f>
        <v>WorldCat Record</v>
      </c>
      <c r="AU194" s="3" t="s">
        <v>2565</v>
      </c>
      <c r="AV194" s="3" t="s">
        <v>2566</v>
      </c>
      <c r="AW194" s="3" t="s">
        <v>2567</v>
      </c>
      <c r="AX194" s="3" t="s">
        <v>2567</v>
      </c>
      <c r="AY194" s="3" t="s">
        <v>2568</v>
      </c>
      <c r="AZ194" s="3" t="s">
        <v>75</v>
      </c>
      <c r="BB194" s="3" t="s">
        <v>2569</v>
      </c>
      <c r="BC194" s="3" t="s">
        <v>2570</v>
      </c>
      <c r="BD194" s="3" t="s">
        <v>2571</v>
      </c>
    </row>
    <row r="195" spans="1:56" ht="48" customHeight="1" x14ac:dyDescent="0.25">
      <c r="A195" s="7" t="s">
        <v>59</v>
      </c>
      <c r="B195" s="2" t="s">
        <v>2572</v>
      </c>
      <c r="C195" s="2" t="s">
        <v>2573</v>
      </c>
      <c r="D195" s="2" t="s">
        <v>2574</v>
      </c>
      <c r="F195" s="3" t="s">
        <v>59</v>
      </c>
      <c r="G195" s="3" t="s">
        <v>60</v>
      </c>
      <c r="H195" s="3" t="s">
        <v>59</v>
      </c>
      <c r="I195" s="3" t="s">
        <v>59</v>
      </c>
      <c r="J195" s="3" t="s">
        <v>61</v>
      </c>
      <c r="K195" s="2" t="s">
        <v>2575</v>
      </c>
      <c r="L195" s="2" t="s">
        <v>2576</v>
      </c>
      <c r="M195" s="3" t="s">
        <v>590</v>
      </c>
      <c r="N195" s="2" t="s">
        <v>2577</v>
      </c>
      <c r="O195" s="3" t="s">
        <v>64</v>
      </c>
      <c r="P195" s="3" t="s">
        <v>65</v>
      </c>
      <c r="R195" s="3" t="s">
        <v>67</v>
      </c>
      <c r="S195" s="4">
        <v>8</v>
      </c>
      <c r="T195" s="4">
        <v>8</v>
      </c>
      <c r="U195" s="5" t="s">
        <v>177</v>
      </c>
      <c r="V195" s="5" t="s">
        <v>177</v>
      </c>
      <c r="W195" s="5" t="s">
        <v>419</v>
      </c>
      <c r="X195" s="5" t="s">
        <v>419</v>
      </c>
      <c r="Y195" s="4">
        <v>340</v>
      </c>
      <c r="Z195" s="4">
        <v>263</v>
      </c>
      <c r="AA195" s="4">
        <v>274</v>
      </c>
      <c r="AB195" s="4">
        <v>2</v>
      </c>
      <c r="AC195" s="4">
        <v>2</v>
      </c>
      <c r="AD195" s="4">
        <v>3</v>
      </c>
      <c r="AE195" s="4">
        <v>3</v>
      </c>
      <c r="AF195" s="4">
        <v>1</v>
      </c>
      <c r="AG195" s="4">
        <v>1</v>
      </c>
      <c r="AH195" s="4">
        <v>1</v>
      </c>
      <c r="AI195" s="4">
        <v>1</v>
      </c>
      <c r="AJ195" s="4">
        <v>0</v>
      </c>
      <c r="AK195" s="4">
        <v>0</v>
      </c>
      <c r="AL195" s="4">
        <v>1</v>
      </c>
      <c r="AM195" s="4">
        <v>1</v>
      </c>
      <c r="AN195" s="4">
        <v>0</v>
      </c>
      <c r="AO195" s="4">
        <v>0</v>
      </c>
      <c r="AP195" s="3" t="s">
        <v>59</v>
      </c>
      <c r="AQ195" s="3" t="s">
        <v>70</v>
      </c>
      <c r="AR195" s="6" t="str">
        <f>HYPERLINK("http://catalog.hathitrust.org/Record/000919878","HathiTrust Record")</f>
        <v>HathiTrust Record</v>
      </c>
      <c r="AS195" s="6" t="str">
        <f>HYPERLINK("https://creighton-primo.hosted.exlibrisgroup.com/primo-explore/search?tab=default_tab&amp;search_scope=EVERYTHING&amp;vid=01CRU&amp;lang=en_US&amp;offset=0&amp;query=any,contains,991001023619702656","Catalog Record")</f>
        <v>Catalog Record</v>
      </c>
      <c r="AT195" s="6" t="str">
        <f>HYPERLINK("http://www.worldcat.org/oclc/15424295","WorldCat Record")</f>
        <v>WorldCat Record</v>
      </c>
      <c r="AU195" s="3" t="s">
        <v>2578</v>
      </c>
      <c r="AV195" s="3" t="s">
        <v>2579</v>
      </c>
      <c r="AW195" s="3" t="s">
        <v>2580</v>
      </c>
      <c r="AX195" s="3" t="s">
        <v>2580</v>
      </c>
      <c r="AY195" s="3" t="s">
        <v>2581</v>
      </c>
      <c r="AZ195" s="3" t="s">
        <v>75</v>
      </c>
      <c r="BB195" s="3" t="s">
        <v>2582</v>
      </c>
      <c r="BC195" s="3" t="s">
        <v>2583</v>
      </c>
      <c r="BD195" s="3" t="s">
        <v>2584</v>
      </c>
    </row>
    <row r="196" spans="1:56" ht="48" customHeight="1" x14ac:dyDescent="0.25">
      <c r="A196" s="7" t="s">
        <v>59</v>
      </c>
      <c r="B196" s="2" t="s">
        <v>2585</v>
      </c>
      <c r="C196" s="2" t="s">
        <v>2586</v>
      </c>
      <c r="D196" s="2" t="s">
        <v>2587</v>
      </c>
      <c r="F196" s="3" t="s">
        <v>59</v>
      </c>
      <c r="G196" s="3" t="s">
        <v>60</v>
      </c>
      <c r="H196" s="3" t="s">
        <v>59</v>
      </c>
      <c r="I196" s="3" t="s">
        <v>59</v>
      </c>
      <c r="J196" s="3" t="s">
        <v>61</v>
      </c>
      <c r="K196" s="2" t="s">
        <v>2588</v>
      </c>
      <c r="L196" s="2" t="s">
        <v>2589</v>
      </c>
      <c r="M196" s="3" t="s">
        <v>1817</v>
      </c>
      <c r="N196" s="2" t="s">
        <v>114</v>
      </c>
      <c r="O196" s="3" t="s">
        <v>64</v>
      </c>
      <c r="P196" s="3" t="s">
        <v>115</v>
      </c>
      <c r="R196" s="3" t="s">
        <v>67</v>
      </c>
      <c r="S196" s="4">
        <v>3</v>
      </c>
      <c r="T196" s="4">
        <v>3</v>
      </c>
      <c r="U196" s="5" t="s">
        <v>2590</v>
      </c>
      <c r="V196" s="5" t="s">
        <v>2590</v>
      </c>
      <c r="W196" s="5" t="s">
        <v>2591</v>
      </c>
      <c r="X196" s="5" t="s">
        <v>2591</v>
      </c>
      <c r="Y196" s="4">
        <v>386</v>
      </c>
      <c r="Z196" s="4">
        <v>260</v>
      </c>
      <c r="AA196" s="4">
        <v>594</v>
      </c>
      <c r="AB196" s="4">
        <v>3</v>
      </c>
      <c r="AC196" s="4">
        <v>5</v>
      </c>
      <c r="AD196" s="4">
        <v>11</v>
      </c>
      <c r="AE196" s="4">
        <v>27</v>
      </c>
      <c r="AF196" s="4">
        <v>5</v>
      </c>
      <c r="AG196" s="4">
        <v>14</v>
      </c>
      <c r="AH196" s="4">
        <v>2</v>
      </c>
      <c r="AI196" s="4">
        <v>3</v>
      </c>
      <c r="AJ196" s="4">
        <v>6</v>
      </c>
      <c r="AK196" s="4">
        <v>13</v>
      </c>
      <c r="AL196" s="4">
        <v>2</v>
      </c>
      <c r="AM196" s="4">
        <v>4</v>
      </c>
      <c r="AN196" s="4">
        <v>0</v>
      </c>
      <c r="AO196" s="4">
        <v>0</v>
      </c>
      <c r="AP196" s="3" t="s">
        <v>59</v>
      </c>
      <c r="AQ196" s="3" t="s">
        <v>59</v>
      </c>
      <c r="AS196" s="6" t="str">
        <f>HYPERLINK("https://creighton-primo.hosted.exlibrisgroup.com/primo-explore/search?tab=default_tab&amp;search_scope=EVERYTHING&amp;vid=01CRU&amp;lang=en_US&amp;offset=0&amp;query=any,contains,991004426469702656","Catalog Record")</f>
        <v>Catalog Record</v>
      </c>
      <c r="AT196" s="6" t="str">
        <f>HYPERLINK("http://www.worldcat.org/oclc/50503177","WorldCat Record")</f>
        <v>WorldCat Record</v>
      </c>
      <c r="AU196" s="3" t="s">
        <v>2592</v>
      </c>
      <c r="AV196" s="3" t="s">
        <v>2593</v>
      </c>
      <c r="AW196" s="3" t="s">
        <v>2594</v>
      </c>
      <c r="AX196" s="3" t="s">
        <v>2594</v>
      </c>
      <c r="AY196" s="3" t="s">
        <v>2595</v>
      </c>
      <c r="AZ196" s="3" t="s">
        <v>75</v>
      </c>
      <c r="BB196" s="3" t="s">
        <v>2596</v>
      </c>
      <c r="BC196" s="3" t="s">
        <v>2597</v>
      </c>
      <c r="BD196" s="3" t="s">
        <v>2598</v>
      </c>
    </row>
    <row r="197" spans="1:56" ht="48" customHeight="1" x14ac:dyDescent="0.25">
      <c r="A197" s="7" t="s">
        <v>59</v>
      </c>
      <c r="B197" s="2" t="s">
        <v>2599</v>
      </c>
      <c r="C197" s="2" t="s">
        <v>2600</v>
      </c>
      <c r="D197" s="2" t="s">
        <v>2601</v>
      </c>
      <c r="F197" s="3" t="s">
        <v>59</v>
      </c>
      <c r="G197" s="3" t="s">
        <v>60</v>
      </c>
      <c r="H197" s="3" t="s">
        <v>59</v>
      </c>
      <c r="I197" s="3" t="s">
        <v>59</v>
      </c>
      <c r="J197" s="3" t="s">
        <v>61</v>
      </c>
      <c r="K197" s="2" t="s">
        <v>2602</v>
      </c>
      <c r="L197" s="2" t="s">
        <v>2603</v>
      </c>
      <c r="M197" s="3" t="s">
        <v>363</v>
      </c>
      <c r="O197" s="3" t="s">
        <v>64</v>
      </c>
      <c r="P197" s="3" t="s">
        <v>912</v>
      </c>
      <c r="R197" s="3" t="s">
        <v>67</v>
      </c>
      <c r="S197" s="4">
        <v>13</v>
      </c>
      <c r="T197" s="4">
        <v>13</v>
      </c>
      <c r="U197" s="5" t="s">
        <v>1173</v>
      </c>
      <c r="V197" s="5" t="s">
        <v>1173</v>
      </c>
      <c r="W197" s="5" t="s">
        <v>2604</v>
      </c>
      <c r="X197" s="5" t="s">
        <v>2604</v>
      </c>
      <c r="Y197" s="4">
        <v>617</v>
      </c>
      <c r="Z197" s="4">
        <v>507</v>
      </c>
      <c r="AA197" s="4">
        <v>510</v>
      </c>
      <c r="AB197" s="4">
        <v>6</v>
      </c>
      <c r="AC197" s="4">
        <v>6</v>
      </c>
      <c r="AD197" s="4">
        <v>21</v>
      </c>
      <c r="AE197" s="4">
        <v>21</v>
      </c>
      <c r="AF197" s="4">
        <v>11</v>
      </c>
      <c r="AG197" s="4">
        <v>11</v>
      </c>
      <c r="AH197" s="4">
        <v>3</v>
      </c>
      <c r="AI197" s="4">
        <v>3</v>
      </c>
      <c r="AJ197" s="4">
        <v>6</v>
      </c>
      <c r="AK197" s="4">
        <v>6</v>
      </c>
      <c r="AL197" s="4">
        <v>5</v>
      </c>
      <c r="AM197" s="4">
        <v>5</v>
      </c>
      <c r="AN197" s="4">
        <v>0</v>
      </c>
      <c r="AO197" s="4">
        <v>0</v>
      </c>
      <c r="AP197" s="3" t="s">
        <v>59</v>
      </c>
      <c r="AQ197" s="3" t="s">
        <v>70</v>
      </c>
      <c r="AR197" s="6" t="str">
        <f>HYPERLINK("http://catalog.hathitrust.org/Record/000269732","HathiTrust Record")</f>
        <v>HathiTrust Record</v>
      </c>
      <c r="AS197" s="6" t="str">
        <f>HYPERLINK("https://creighton-primo.hosted.exlibrisgroup.com/primo-explore/search?tab=default_tab&amp;search_scope=EVERYTHING&amp;vid=01CRU&amp;lang=en_US&amp;offset=0&amp;query=any,contains,991005387859702656","Catalog Record")</f>
        <v>Catalog Record</v>
      </c>
      <c r="AT197" s="6" t="str">
        <f>HYPERLINK("http://www.worldcat.org/oclc/7572387","WorldCat Record")</f>
        <v>WorldCat Record</v>
      </c>
      <c r="AU197" s="3" t="s">
        <v>2605</v>
      </c>
      <c r="AV197" s="3" t="s">
        <v>2606</v>
      </c>
      <c r="AW197" s="3" t="s">
        <v>2607</v>
      </c>
      <c r="AX197" s="3" t="s">
        <v>2607</v>
      </c>
      <c r="AY197" s="3" t="s">
        <v>2608</v>
      </c>
      <c r="AZ197" s="3" t="s">
        <v>75</v>
      </c>
      <c r="BB197" s="3" t="s">
        <v>2609</v>
      </c>
      <c r="BC197" s="3" t="s">
        <v>2610</v>
      </c>
      <c r="BD197" s="3" t="s">
        <v>2611</v>
      </c>
    </row>
    <row r="198" spans="1:56" ht="48" customHeight="1" x14ac:dyDescent="0.25">
      <c r="A198" s="7" t="s">
        <v>59</v>
      </c>
      <c r="B198" s="2" t="s">
        <v>2612</v>
      </c>
      <c r="C198" s="2" t="s">
        <v>2613</v>
      </c>
      <c r="D198" s="2" t="s">
        <v>2614</v>
      </c>
      <c r="F198" s="3" t="s">
        <v>59</v>
      </c>
      <c r="G198" s="3" t="s">
        <v>60</v>
      </c>
      <c r="H198" s="3" t="s">
        <v>59</v>
      </c>
      <c r="I198" s="3" t="s">
        <v>70</v>
      </c>
      <c r="J198" s="3" t="s">
        <v>61</v>
      </c>
      <c r="K198" s="2" t="s">
        <v>2615</v>
      </c>
      <c r="L198" s="2" t="s">
        <v>2616</v>
      </c>
      <c r="M198" s="3" t="s">
        <v>248</v>
      </c>
      <c r="N198" s="2" t="s">
        <v>114</v>
      </c>
      <c r="O198" s="3" t="s">
        <v>64</v>
      </c>
      <c r="P198" s="3" t="s">
        <v>661</v>
      </c>
      <c r="R198" s="3" t="s">
        <v>67</v>
      </c>
      <c r="S198" s="4">
        <v>4</v>
      </c>
      <c r="T198" s="4">
        <v>4</v>
      </c>
      <c r="U198" s="5" t="s">
        <v>1381</v>
      </c>
      <c r="V198" s="5" t="s">
        <v>1381</v>
      </c>
      <c r="W198" s="5" t="s">
        <v>2617</v>
      </c>
      <c r="X198" s="5" t="s">
        <v>2617</v>
      </c>
      <c r="Y198" s="4">
        <v>178</v>
      </c>
      <c r="Z198" s="4">
        <v>153</v>
      </c>
      <c r="AA198" s="4">
        <v>281</v>
      </c>
      <c r="AB198" s="4">
        <v>1</v>
      </c>
      <c r="AC198" s="4">
        <v>2</v>
      </c>
      <c r="AD198" s="4">
        <v>4</v>
      </c>
      <c r="AE198" s="4">
        <v>8</v>
      </c>
      <c r="AF198" s="4">
        <v>4</v>
      </c>
      <c r="AG198" s="4">
        <v>6</v>
      </c>
      <c r="AH198" s="4">
        <v>0</v>
      </c>
      <c r="AI198" s="4">
        <v>0</v>
      </c>
      <c r="AJ198" s="4">
        <v>0</v>
      </c>
      <c r="AK198" s="4">
        <v>2</v>
      </c>
      <c r="AL198" s="4">
        <v>0</v>
      </c>
      <c r="AM198" s="4">
        <v>0</v>
      </c>
      <c r="AN198" s="4">
        <v>0</v>
      </c>
      <c r="AO198" s="4">
        <v>0</v>
      </c>
      <c r="AP198" s="3" t="s">
        <v>59</v>
      </c>
      <c r="AQ198" s="3" t="s">
        <v>59</v>
      </c>
      <c r="AS198" s="6" t="str">
        <f>HYPERLINK("https://creighton-primo.hosted.exlibrisgroup.com/primo-explore/search?tab=default_tab&amp;search_scope=EVERYTHING&amp;vid=01CRU&amp;lang=en_US&amp;offset=0&amp;query=any,contains,991005108499702656","Catalog Record")</f>
        <v>Catalog Record</v>
      </c>
      <c r="AT198" s="6" t="str">
        <f>HYPERLINK("http://www.worldcat.org/oclc/7378730","WorldCat Record")</f>
        <v>WorldCat Record</v>
      </c>
      <c r="AU198" s="3" t="s">
        <v>2618</v>
      </c>
      <c r="AV198" s="3" t="s">
        <v>2619</v>
      </c>
      <c r="AW198" s="3" t="s">
        <v>2620</v>
      </c>
      <c r="AX198" s="3" t="s">
        <v>2620</v>
      </c>
      <c r="AY198" s="3" t="s">
        <v>2621</v>
      </c>
      <c r="AZ198" s="3" t="s">
        <v>75</v>
      </c>
      <c r="BB198" s="3" t="s">
        <v>2622</v>
      </c>
      <c r="BC198" s="3" t="s">
        <v>2623</v>
      </c>
      <c r="BD198" s="3" t="s">
        <v>2624</v>
      </c>
    </row>
    <row r="199" spans="1:56" ht="48" customHeight="1" x14ac:dyDescent="0.25">
      <c r="A199" s="7" t="s">
        <v>59</v>
      </c>
      <c r="B199" s="2" t="s">
        <v>2625</v>
      </c>
      <c r="C199" s="2" t="s">
        <v>2626</v>
      </c>
      <c r="D199" s="2" t="s">
        <v>2627</v>
      </c>
      <c r="F199" s="3" t="s">
        <v>70</v>
      </c>
      <c r="G199" s="3" t="s">
        <v>60</v>
      </c>
      <c r="H199" s="3" t="s">
        <v>70</v>
      </c>
      <c r="I199" s="3" t="s">
        <v>59</v>
      </c>
      <c r="J199" s="3" t="s">
        <v>61</v>
      </c>
      <c r="K199" s="2" t="s">
        <v>2628</v>
      </c>
      <c r="L199" s="2" t="s">
        <v>2629</v>
      </c>
      <c r="M199" s="3" t="s">
        <v>417</v>
      </c>
      <c r="O199" s="3" t="s">
        <v>64</v>
      </c>
      <c r="P199" s="3" t="s">
        <v>674</v>
      </c>
      <c r="Q199" s="2" t="s">
        <v>2630</v>
      </c>
      <c r="R199" s="3" t="s">
        <v>67</v>
      </c>
      <c r="S199" s="4">
        <v>1</v>
      </c>
      <c r="T199" s="4">
        <v>5</v>
      </c>
      <c r="U199" s="5" t="s">
        <v>2510</v>
      </c>
      <c r="V199" s="5" t="s">
        <v>2510</v>
      </c>
      <c r="W199" s="5" t="s">
        <v>2631</v>
      </c>
      <c r="X199" s="5" t="s">
        <v>2631</v>
      </c>
      <c r="Y199" s="4">
        <v>288</v>
      </c>
      <c r="Z199" s="4">
        <v>224</v>
      </c>
      <c r="AA199" s="4">
        <v>229</v>
      </c>
      <c r="AB199" s="4">
        <v>3</v>
      </c>
      <c r="AC199" s="4">
        <v>3</v>
      </c>
      <c r="AD199" s="4">
        <v>7</v>
      </c>
      <c r="AE199" s="4">
        <v>7</v>
      </c>
      <c r="AF199" s="4">
        <v>3</v>
      </c>
      <c r="AG199" s="4">
        <v>3</v>
      </c>
      <c r="AH199" s="4">
        <v>2</v>
      </c>
      <c r="AI199" s="4">
        <v>2</v>
      </c>
      <c r="AJ199" s="4">
        <v>1</v>
      </c>
      <c r="AK199" s="4">
        <v>1</v>
      </c>
      <c r="AL199" s="4">
        <v>2</v>
      </c>
      <c r="AM199" s="4">
        <v>2</v>
      </c>
      <c r="AN199" s="4">
        <v>0</v>
      </c>
      <c r="AO199" s="4">
        <v>0</v>
      </c>
      <c r="AP199" s="3" t="s">
        <v>59</v>
      </c>
      <c r="AQ199" s="3" t="s">
        <v>70</v>
      </c>
      <c r="AR199" s="6" t="str">
        <f>HYPERLINK("http://catalog.hathitrust.org/Record/004417705","HathiTrust Record")</f>
        <v>HathiTrust Record</v>
      </c>
      <c r="AS199" s="6" t="str">
        <f>HYPERLINK("https://creighton-primo.hosted.exlibrisgroup.com/primo-explore/search?tab=default_tab&amp;search_scope=EVERYTHING&amp;vid=01CRU&amp;lang=en_US&amp;offset=0&amp;query=any,contains,991000260159702656","Catalog Record")</f>
        <v>Catalog Record</v>
      </c>
      <c r="AT199" s="6" t="str">
        <f>HYPERLINK("http://www.worldcat.org/oclc/9797406","WorldCat Record")</f>
        <v>WorldCat Record</v>
      </c>
      <c r="AU199" s="3" t="s">
        <v>2632</v>
      </c>
      <c r="AV199" s="3" t="s">
        <v>2633</v>
      </c>
      <c r="AW199" s="3" t="s">
        <v>2634</v>
      </c>
      <c r="AX199" s="3" t="s">
        <v>2634</v>
      </c>
      <c r="AY199" s="3" t="s">
        <v>2635</v>
      </c>
      <c r="AZ199" s="3" t="s">
        <v>75</v>
      </c>
      <c r="BB199" s="3" t="s">
        <v>2636</v>
      </c>
      <c r="BC199" s="3" t="s">
        <v>2637</v>
      </c>
      <c r="BD199" s="3" t="s">
        <v>2638</v>
      </c>
    </row>
    <row r="200" spans="1:56" ht="48" customHeight="1" x14ac:dyDescent="0.25">
      <c r="A200" s="7" t="s">
        <v>59</v>
      </c>
      <c r="B200" s="2" t="s">
        <v>2639</v>
      </c>
      <c r="C200" s="2" t="s">
        <v>2640</v>
      </c>
      <c r="D200" s="2" t="s">
        <v>2627</v>
      </c>
      <c r="E200" s="3" t="s">
        <v>2066</v>
      </c>
      <c r="F200" s="3" t="s">
        <v>70</v>
      </c>
      <c r="G200" s="3" t="s">
        <v>60</v>
      </c>
      <c r="H200" s="3" t="s">
        <v>59</v>
      </c>
      <c r="I200" s="3" t="s">
        <v>59</v>
      </c>
      <c r="J200" s="3" t="s">
        <v>61</v>
      </c>
      <c r="K200" s="2" t="s">
        <v>2628</v>
      </c>
      <c r="L200" s="2" t="s">
        <v>2629</v>
      </c>
      <c r="M200" s="3" t="s">
        <v>417</v>
      </c>
      <c r="O200" s="3" t="s">
        <v>64</v>
      </c>
      <c r="P200" s="3" t="s">
        <v>674</v>
      </c>
      <c r="Q200" s="2" t="s">
        <v>2630</v>
      </c>
      <c r="R200" s="3" t="s">
        <v>67</v>
      </c>
      <c r="S200" s="4">
        <v>4</v>
      </c>
      <c r="T200" s="4">
        <v>5</v>
      </c>
      <c r="U200" s="5" t="s">
        <v>2641</v>
      </c>
      <c r="V200" s="5" t="s">
        <v>2510</v>
      </c>
      <c r="W200" s="5" t="s">
        <v>2631</v>
      </c>
      <c r="X200" s="5" t="s">
        <v>2631</v>
      </c>
      <c r="Y200" s="4">
        <v>288</v>
      </c>
      <c r="Z200" s="4">
        <v>224</v>
      </c>
      <c r="AA200" s="4">
        <v>229</v>
      </c>
      <c r="AB200" s="4">
        <v>3</v>
      </c>
      <c r="AC200" s="4">
        <v>3</v>
      </c>
      <c r="AD200" s="4">
        <v>7</v>
      </c>
      <c r="AE200" s="4">
        <v>7</v>
      </c>
      <c r="AF200" s="4">
        <v>3</v>
      </c>
      <c r="AG200" s="4">
        <v>3</v>
      </c>
      <c r="AH200" s="4">
        <v>2</v>
      </c>
      <c r="AI200" s="4">
        <v>2</v>
      </c>
      <c r="AJ200" s="4">
        <v>1</v>
      </c>
      <c r="AK200" s="4">
        <v>1</v>
      </c>
      <c r="AL200" s="4">
        <v>2</v>
      </c>
      <c r="AM200" s="4">
        <v>2</v>
      </c>
      <c r="AN200" s="4">
        <v>0</v>
      </c>
      <c r="AO200" s="4">
        <v>0</v>
      </c>
      <c r="AP200" s="3" t="s">
        <v>59</v>
      </c>
      <c r="AQ200" s="3" t="s">
        <v>70</v>
      </c>
      <c r="AR200" s="6" t="str">
        <f>HYPERLINK("http://catalog.hathitrust.org/Record/004417705","HathiTrust Record")</f>
        <v>HathiTrust Record</v>
      </c>
      <c r="AS200" s="6" t="str">
        <f>HYPERLINK("https://creighton-primo.hosted.exlibrisgroup.com/primo-explore/search?tab=default_tab&amp;search_scope=EVERYTHING&amp;vid=01CRU&amp;lang=en_US&amp;offset=0&amp;query=any,contains,991000260159702656","Catalog Record")</f>
        <v>Catalog Record</v>
      </c>
      <c r="AT200" s="6" t="str">
        <f>HYPERLINK("http://www.worldcat.org/oclc/9797406","WorldCat Record")</f>
        <v>WorldCat Record</v>
      </c>
      <c r="AU200" s="3" t="s">
        <v>2632</v>
      </c>
      <c r="AV200" s="3" t="s">
        <v>2633</v>
      </c>
      <c r="AW200" s="3" t="s">
        <v>2634</v>
      </c>
      <c r="AX200" s="3" t="s">
        <v>2634</v>
      </c>
      <c r="AY200" s="3" t="s">
        <v>2635</v>
      </c>
      <c r="AZ200" s="3" t="s">
        <v>75</v>
      </c>
      <c r="BB200" s="3" t="s">
        <v>2636</v>
      </c>
      <c r="BC200" s="3" t="s">
        <v>2642</v>
      </c>
      <c r="BD200" s="3" t="s">
        <v>2643</v>
      </c>
    </row>
    <row r="201" spans="1:56" ht="48" customHeight="1" x14ac:dyDescent="0.25">
      <c r="A201" s="7" t="s">
        <v>59</v>
      </c>
      <c r="B201" s="2" t="s">
        <v>2644</v>
      </c>
      <c r="C201" s="2" t="s">
        <v>2645</v>
      </c>
      <c r="D201" s="2" t="s">
        <v>2646</v>
      </c>
      <c r="F201" s="3" t="s">
        <v>70</v>
      </c>
      <c r="G201" s="3" t="s">
        <v>60</v>
      </c>
      <c r="H201" s="3" t="s">
        <v>70</v>
      </c>
      <c r="I201" s="3" t="s">
        <v>59</v>
      </c>
      <c r="J201" s="3" t="s">
        <v>61</v>
      </c>
      <c r="K201" s="2" t="s">
        <v>2647</v>
      </c>
      <c r="L201" s="2" t="s">
        <v>2648</v>
      </c>
      <c r="M201" s="3" t="s">
        <v>333</v>
      </c>
      <c r="O201" s="3" t="s">
        <v>64</v>
      </c>
      <c r="P201" s="3" t="s">
        <v>674</v>
      </c>
      <c r="Q201" s="2" t="s">
        <v>2649</v>
      </c>
      <c r="R201" s="3" t="s">
        <v>67</v>
      </c>
      <c r="S201" s="4">
        <v>1</v>
      </c>
      <c r="T201" s="4">
        <v>6</v>
      </c>
      <c r="U201" s="5" t="s">
        <v>2650</v>
      </c>
      <c r="V201" s="5" t="s">
        <v>2650</v>
      </c>
      <c r="W201" s="5" t="s">
        <v>2631</v>
      </c>
      <c r="X201" s="5" t="s">
        <v>2631</v>
      </c>
      <c r="Y201" s="4">
        <v>259</v>
      </c>
      <c r="Z201" s="4">
        <v>198</v>
      </c>
      <c r="AA201" s="4">
        <v>208</v>
      </c>
      <c r="AB201" s="4">
        <v>2</v>
      </c>
      <c r="AC201" s="4">
        <v>2</v>
      </c>
      <c r="AD201" s="4">
        <v>4</v>
      </c>
      <c r="AE201" s="4">
        <v>4</v>
      </c>
      <c r="AF201" s="4">
        <v>2</v>
      </c>
      <c r="AG201" s="4">
        <v>2</v>
      </c>
      <c r="AH201" s="4">
        <v>1</v>
      </c>
      <c r="AI201" s="4">
        <v>1</v>
      </c>
      <c r="AJ201" s="4">
        <v>0</v>
      </c>
      <c r="AK201" s="4">
        <v>0</v>
      </c>
      <c r="AL201" s="4">
        <v>1</v>
      </c>
      <c r="AM201" s="4">
        <v>1</v>
      </c>
      <c r="AN201" s="4">
        <v>0</v>
      </c>
      <c r="AO201" s="4">
        <v>0</v>
      </c>
      <c r="AP201" s="3" t="s">
        <v>59</v>
      </c>
      <c r="AQ201" s="3" t="s">
        <v>70</v>
      </c>
      <c r="AR201" s="6" t="str">
        <f>HYPERLINK("http://catalog.hathitrust.org/Record/000420536","HathiTrust Record")</f>
        <v>HathiTrust Record</v>
      </c>
      <c r="AS201" s="6" t="str">
        <f>HYPERLINK("https://creighton-primo.hosted.exlibrisgroup.com/primo-explore/search?tab=default_tab&amp;search_scope=EVERYTHING&amp;vid=01CRU&amp;lang=en_US&amp;offset=0&amp;query=any,contains,991000767799702656","Catalog Record")</f>
        <v>Catalog Record</v>
      </c>
      <c r="AT201" s="6" t="str">
        <f>HYPERLINK("http://www.worldcat.org/oclc/13005948","WorldCat Record")</f>
        <v>WorldCat Record</v>
      </c>
      <c r="AU201" s="3" t="s">
        <v>2651</v>
      </c>
      <c r="AV201" s="3" t="s">
        <v>2652</v>
      </c>
      <c r="AW201" s="3" t="s">
        <v>2653</v>
      </c>
      <c r="AX201" s="3" t="s">
        <v>2653</v>
      </c>
      <c r="AY201" s="3" t="s">
        <v>2654</v>
      </c>
      <c r="AZ201" s="3" t="s">
        <v>75</v>
      </c>
      <c r="BB201" s="3" t="s">
        <v>2655</v>
      </c>
      <c r="BC201" s="3" t="s">
        <v>2656</v>
      </c>
      <c r="BD201" s="3" t="s">
        <v>2657</v>
      </c>
    </row>
    <row r="202" spans="1:56" ht="48" customHeight="1" x14ac:dyDescent="0.25">
      <c r="A202" s="7" t="s">
        <v>59</v>
      </c>
      <c r="B202" s="2" t="s">
        <v>2658</v>
      </c>
      <c r="C202" s="2" t="s">
        <v>2659</v>
      </c>
      <c r="D202" s="2" t="s">
        <v>2646</v>
      </c>
      <c r="E202" s="3" t="s">
        <v>2066</v>
      </c>
      <c r="F202" s="3" t="s">
        <v>70</v>
      </c>
      <c r="G202" s="3" t="s">
        <v>60</v>
      </c>
      <c r="H202" s="3" t="s">
        <v>59</v>
      </c>
      <c r="I202" s="3" t="s">
        <v>59</v>
      </c>
      <c r="J202" s="3" t="s">
        <v>61</v>
      </c>
      <c r="K202" s="2" t="s">
        <v>2647</v>
      </c>
      <c r="L202" s="2" t="s">
        <v>2648</v>
      </c>
      <c r="M202" s="3" t="s">
        <v>333</v>
      </c>
      <c r="O202" s="3" t="s">
        <v>64</v>
      </c>
      <c r="P202" s="3" t="s">
        <v>674</v>
      </c>
      <c r="Q202" s="2" t="s">
        <v>2649</v>
      </c>
      <c r="R202" s="3" t="s">
        <v>67</v>
      </c>
      <c r="S202" s="4">
        <v>5</v>
      </c>
      <c r="T202" s="4">
        <v>6</v>
      </c>
      <c r="U202" s="5" t="s">
        <v>2660</v>
      </c>
      <c r="V202" s="5" t="s">
        <v>2650</v>
      </c>
      <c r="W202" s="5" t="s">
        <v>2631</v>
      </c>
      <c r="X202" s="5" t="s">
        <v>2631</v>
      </c>
      <c r="Y202" s="4">
        <v>259</v>
      </c>
      <c r="Z202" s="4">
        <v>198</v>
      </c>
      <c r="AA202" s="4">
        <v>208</v>
      </c>
      <c r="AB202" s="4">
        <v>2</v>
      </c>
      <c r="AC202" s="4">
        <v>2</v>
      </c>
      <c r="AD202" s="4">
        <v>4</v>
      </c>
      <c r="AE202" s="4">
        <v>4</v>
      </c>
      <c r="AF202" s="4">
        <v>2</v>
      </c>
      <c r="AG202" s="4">
        <v>2</v>
      </c>
      <c r="AH202" s="4">
        <v>1</v>
      </c>
      <c r="AI202" s="4">
        <v>1</v>
      </c>
      <c r="AJ202" s="4">
        <v>0</v>
      </c>
      <c r="AK202" s="4">
        <v>0</v>
      </c>
      <c r="AL202" s="4">
        <v>1</v>
      </c>
      <c r="AM202" s="4">
        <v>1</v>
      </c>
      <c r="AN202" s="4">
        <v>0</v>
      </c>
      <c r="AO202" s="4">
        <v>0</v>
      </c>
      <c r="AP202" s="3" t="s">
        <v>59</v>
      </c>
      <c r="AQ202" s="3" t="s">
        <v>70</v>
      </c>
      <c r="AR202" s="6" t="str">
        <f>HYPERLINK("http://catalog.hathitrust.org/Record/000420536","HathiTrust Record")</f>
        <v>HathiTrust Record</v>
      </c>
      <c r="AS202" s="6" t="str">
        <f>HYPERLINK("https://creighton-primo.hosted.exlibrisgroup.com/primo-explore/search?tab=default_tab&amp;search_scope=EVERYTHING&amp;vid=01CRU&amp;lang=en_US&amp;offset=0&amp;query=any,contains,991000767799702656","Catalog Record")</f>
        <v>Catalog Record</v>
      </c>
      <c r="AT202" s="6" t="str">
        <f>HYPERLINK("http://www.worldcat.org/oclc/13005948","WorldCat Record")</f>
        <v>WorldCat Record</v>
      </c>
      <c r="AU202" s="3" t="s">
        <v>2651</v>
      </c>
      <c r="AV202" s="3" t="s">
        <v>2652</v>
      </c>
      <c r="AW202" s="3" t="s">
        <v>2653</v>
      </c>
      <c r="AX202" s="3" t="s">
        <v>2653</v>
      </c>
      <c r="AY202" s="3" t="s">
        <v>2654</v>
      </c>
      <c r="AZ202" s="3" t="s">
        <v>75</v>
      </c>
      <c r="BB202" s="3" t="s">
        <v>2655</v>
      </c>
      <c r="BC202" s="3" t="s">
        <v>2661</v>
      </c>
      <c r="BD202" s="3" t="s">
        <v>2662</v>
      </c>
    </row>
    <row r="203" spans="1:56" ht="48" customHeight="1" x14ac:dyDescent="0.25">
      <c r="A203" s="7" t="s">
        <v>59</v>
      </c>
      <c r="B203" s="2" t="s">
        <v>2663</v>
      </c>
      <c r="C203" s="2" t="s">
        <v>2664</v>
      </c>
      <c r="D203" s="2" t="s">
        <v>2665</v>
      </c>
      <c r="F203" s="3" t="s">
        <v>59</v>
      </c>
      <c r="G203" s="3" t="s">
        <v>60</v>
      </c>
      <c r="H203" s="3" t="s">
        <v>59</v>
      </c>
      <c r="I203" s="3" t="s">
        <v>59</v>
      </c>
      <c r="J203" s="3" t="s">
        <v>61</v>
      </c>
      <c r="K203" s="2" t="s">
        <v>2666</v>
      </c>
      <c r="L203" s="2" t="s">
        <v>2667</v>
      </c>
      <c r="M203" s="3" t="s">
        <v>145</v>
      </c>
      <c r="O203" s="3" t="s">
        <v>64</v>
      </c>
      <c r="P203" s="3" t="s">
        <v>176</v>
      </c>
      <c r="Q203" s="2" t="s">
        <v>2668</v>
      </c>
      <c r="R203" s="3" t="s">
        <v>67</v>
      </c>
      <c r="S203" s="4">
        <v>8</v>
      </c>
      <c r="T203" s="4">
        <v>8</v>
      </c>
      <c r="U203" s="5" t="s">
        <v>2669</v>
      </c>
      <c r="V203" s="5" t="s">
        <v>2669</v>
      </c>
      <c r="W203" s="5" t="s">
        <v>148</v>
      </c>
      <c r="X203" s="5" t="s">
        <v>148</v>
      </c>
      <c r="Y203" s="4">
        <v>109</v>
      </c>
      <c r="Z203" s="4">
        <v>87</v>
      </c>
      <c r="AA203" s="4">
        <v>89</v>
      </c>
      <c r="AB203" s="4">
        <v>2</v>
      </c>
      <c r="AC203" s="4">
        <v>2</v>
      </c>
      <c r="AD203" s="4">
        <v>3</v>
      </c>
      <c r="AE203" s="4">
        <v>3</v>
      </c>
      <c r="AF203" s="4">
        <v>2</v>
      </c>
      <c r="AG203" s="4">
        <v>2</v>
      </c>
      <c r="AH203" s="4">
        <v>0</v>
      </c>
      <c r="AI203" s="4">
        <v>0</v>
      </c>
      <c r="AJ203" s="4">
        <v>0</v>
      </c>
      <c r="AK203" s="4">
        <v>0</v>
      </c>
      <c r="AL203" s="4">
        <v>1</v>
      </c>
      <c r="AM203" s="4">
        <v>1</v>
      </c>
      <c r="AN203" s="4">
        <v>0</v>
      </c>
      <c r="AO203" s="4">
        <v>0</v>
      </c>
      <c r="AP203" s="3" t="s">
        <v>59</v>
      </c>
      <c r="AQ203" s="3" t="s">
        <v>70</v>
      </c>
      <c r="AR203" s="6" t="str">
        <f>HYPERLINK("http://catalog.hathitrust.org/Record/009821230","HathiTrust Record")</f>
        <v>HathiTrust Record</v>
      </c>
      <c r="AS203" s="6" t="str">
        <f>HYPERLINK("https://creighton-primo.hosted.exlibrisgroup.com/primo-explore/search?tab=default_tab&amp;search_scope=EVERYTHING&amp;vid=01CRU&amp;lang=en_US&amp;offset=0&amp;query=any,contains,991004727069702656","Catalog Record")</f>
        <v>Catalog Record</v>
      </c>
      <c r="AT203" s="6" t="str">
        <f>HYPERLINK("http://www.worldcat.org/oclc/4820634","WorldCat Record")</f>
        <v>WorldCat Record</v>
      </c>
      <c r="AU203" s="3" t="s">
        <v>2670</v>
      </c>
      <c r="AV203" s="3" t="s">
        <v>2671</v>
      </c>
      <c r="AW203" s="3" t="s">
        <v>2672</v>
      </c>
      <c r="AX203" s="3" t="s">
        <v>2672</v>
      </c>
      <c r="AY203" s="3" t="s">
        <v>2673</v>
      </c>
      <c r="AZ203" s="3" t="s">
        <v>75</v>
      </c>
      <c r="BC203" s="3" t="s">
        <v>2674</v>
      </c>
      <c r="BD203" s="3" t="s">
        <v>2675</v>
      </c>
    </row>
    <row r="204" spans="1:56" ht="48" customHeight="1" x14ac:dyDescent="0.25">
      <c r="A204" s="7" t="s">
        <v>59</v>
      </c>
      <c r="B204" s="2" t="s">
        <v>2676</v>
      </c>
      <c r="C204" s="2" t="s">
        <v>2677</v>
      </c>
      <c r="D204" s="2" t="s">
        <v>2678</v>
      </c>
      <c r="F204" s="3" t="s">
        <v>59</v>
      </c>
      <c r="G204" s="3" t="s">
        <v>60</v>
      </c>
      <c r="H204" s="3" t="s">
        <v>59</v>
      </c>
      <c r="I204" s="3" t="s">
        <v>59</v>
      </c>
      <c r="J204" s="3" t="s">
        <v>61</v>
      </c>
      <c r="L204" s="2" t="s">
        <v>2679</v>
      </c>
      <c r="M204" s="3" t="s">
        <v>2680</v>
      </c>
      <c r="O204" s="3" t="s">
        <v>64</v>
      </c>
      <c r="P204" s="3" t="s">
        <v>674</v>
      </c>
      <c r="R204" s="3" t="s">
        <v>67</v>
      </c>
      <c r="S204" s="4">
        <v>1</v>
      </c>
      <c r="T204" s="4">
        <v>1</v>
      </c>
      <c r="U204" s="5" t="s">
        <v>2681</v>
      </c>
      <c r="V204" s="5" t="s">
        <v>2681</v>
      </c>
      <c r="W204" s="5" t="s">
        <v>2681</v>
      </c>
      <c r="X204" s="5" t="s">
        <v>2681</v>
      </c>
      <c r="Y204" s="4">
        <v>374</v>
      </c>
      <c r="Z204" s="4">
        <v>282</v>
      </c>
      <c r="AA204" s="4">
        <v>283</v>
      </c>
      <c r="AB204" s="4">
        <v>3</v>
      </c>
      <c r="AC204" s="4">
        <v>3</v>
      </c>
      <c r="AD204" s="4">
        <v>15</v>
      </c>
      <c r="AE204" s="4">
        <v>15</v>
      </c>
      <c r="AF204" s="4">
        <v>8</v>
      </c>
      <c r="AG204" s="4">
        <v>8</v>
      </c>
      <c r="AH204" s="4">
        <v>3</v>
      </c>
      <c r="AI204" s="4">
        <v>3</v>
      </c>
      <c r="AJ204" s="4">
        <v>5</v>
      </c>
      <c r="AK204" s="4">
        <v>5</v>
      </c>
      <c r="AL204" s="4">
        <v>2</v>
      </c>
      <c r="AM204" s="4">
        <v>2</v>
      </c>
      <c r="AN204" s="4">
        <v>0</v>
      </c>
      <c r="AO204" s="4">
        <v>0</v>
      </c>
      <c r="AP204" s="3" t="s">
        <v>59</v>
      </c>
      <c r="AQ204" s="3" t="s">
        <v>70</v>
      </c>
      <c r="AR204" s="6" t="str">
        <f>HYPERLINK("http://catalog.hathitrust.org/Record/004144164","HathiTrust Record")</f>
        <v>HathiTrust Record</v>
      </c>
      <c r="AS204" s="6" t="str">
        <f>HYPERLINK("https://creighton-primo.hosted.exlibrisgroup.com/primo-explore/search?tab=default_tab&amp;search_scope=EVERYTHING&amp;vid=01CRU&amp;lang=en_US&amp;offset=0&amp;query=any,contains,991003353209702656","Catalog Record")</f>
        <v>Catalog Record</v>
      </c>
      <c r="AT204" s="6" t="str">
        <f>HYPERLINK("http://www.worldcat.org/oclc/42049308","WorldCat Record")</f>
        <v>WorldCat Record</v>
      </c>
      <c r="AU204" s="3" t="s">
        <v>2682</v>
      </c>
      <c r="AV204" s="3" t="s">
        <v>2683</v>
      </c>
      <c r="AW204" s="3" t="s">
        <v>2684</v>
      </c>
      <c r="AX204" s="3" t="s">
        <v>2684</v>
      </c>
      <c r="AY204" s="3" t="s">
        <v>2685</v>
      </c>
      <c r="AZ204" s="3" t="s">
        <v>75</v>
      </c>
      <c r="BB204" s="3" t="s">
        <v>2686</v>
      </c>
      <c r="BC204" s="3" t="s">
        <v>2687</v>
      </c>
      <c r="BD204" s="3" t="s">
        <v>2688</v>
      </c>
    </row>
    <row r="205" spans="1:56" ht="48" customHeight="1" x14ac:dyDescent="0.25">
      <c r="A205" s="7" t="s">
        <v>59</v>
      </c>
      <c r="B205" s="2" t="s">
        <v>2689</v>
      </c>
      <c r="C205" s="2" t="s">
        <v>2690</v>
      </c>
      <c r="D205" s="2" t="s">
        <v>2691</v>
      </c>
      <c r="F205" s="3" t="s">
        <v>59</v>
      </c>
      <c r="G205" s="3" t="s">
        <v>60</v>
      </c>
      <c r="H205" s="3" t="s">
        <v>59</v>
      </c>
      <c r="I205" s="3" t="s">
        <v>59</v>
      </c>
      <c r="J205" s="3" t="s">
        <v>61</v>
      </c>
      <c r="K205" s="2" t="s">
        <v>2692</v>
      </c>
      <c r="L205" s="2" t="s">
        <v>2693</v>
      </c>
      <c r="M205" s="3" t="s">
        <v>2389</v>
      </c>
      <c r="O205" s="3" t="s">
        <v>64</v>
      </c>
      <c r="P205" s="3" t="s">
        <v>130</v>
      </c>
      <c r="Q205" s="2" t="s">
        <v>2694</v>
      </c>
      <c r="R205" s="3" t="s">
        <v>67</v>
      </c>
      <c r="S205" s="4">
        <v>3</v>
      </c>
      <c r="T205" s="4">
        <v>3</v>
      </c>
      <c r="U205" s="5" t="s">
        <v>2695</v>
      </c>
      <c r="V205" s="5" t="s">
        <v>2695</v>
      </c>
      <c r="W205" s="5" t="s">
        <v>1947</v>
      </c>
      <c r="X205" s="5" t="s">
        <v>1947</v>
      </c>
      <c r="Y205" s="4">
        <v>324</v>
      </c>
      <c r="Z205" s="4">
        <v>259</v>
      </c>
      <c r="AA205" s="4">
        <v>417</v>
      </c>
      <c r="AB205" s="4">
        <v>5</v>
      </c>
      <c r="AC205" s="4">
        <v>8</v>
      </c>
      <c r="AD205" s="4">
        <v>13</v>
      </c>
      <c r="AE205" s="4">
        <v>19</v>
      </c>
      <c r="AF205" s="4">
        <v>4</v>
      </c>
      <c r="AG205" s="4">
        <v>6</v>
      </c>
      <c r="AH205" s="4">
        <v>1</v>
      </c>
      <c r="AI205" s="4">
        <v>2</v>
      </c>
      <c r="AJ205" s="4">
        <v>4</v>
      </c>
      <c r="AK205" s="4">
        <v>5</v>
      </c>
      <c r="AL205" s="4">
        <v>4</v>
      </c>
      <c r="AM205" s="4">
        <v>7</v>
      </c>
      <c r="AN205" s="4">
        <v>0</v>
      </c>
      <c r="AO205" s="4">
        <v>0</v>
      </c>
      <c r="AP205" s="3" t="s">
        <v>59</v>
      </c>
      <c r="AQ205" s="3" t="s">
        <v>70</v>
      </c>
      <c r="AR205" s="6" t="str">
        <f>HYPERLINK("http://catalog.hathitrust.org/Record/001554376","HathiTrust Record")</f>
        <v>HathiTrust Record</v>
      </c>
      <c r="AS205" s="6" t="str">
        <f>HYPERLINK("https://creighton-primo.hosted.exlibrisgroup.com/primo-explore/search?tab=default_tab&amp;search_scope=EVERYTHING&amp;vid=01CRU&amp;lang=en_US&amp;offset=0&amp;query=any,contains,991000066619702656","Catalog Record")</f>
        <v>Catalog Record</v>
      </c>
      <c r="AT205" s="6" t="str">
        <f>HYPERLINK("http://www.worldcat.org/oclc/27134","WorldCat Record")</f>
        <v>WorldCat Record</v>
      </c>
      <c r="AU205" s="3" t="s">
        <v>2696</v>
      </c>
      <c r="AV205" s="3" t="s">
        <v>2697</v>
      </c>
      <c r="AW205" s="3" t="s">
        <v>2698</v>
      </c>
      <c r="AX205" s="3" t="s">
        <v>2698</v>
      </c>
      <c r="AY205" s="3" t="s">
        <v>2699</v>
      </c>
      <c r="AZ205" s="3" t="s">
        <v>75</v>
      </c>
      <c r="BB205" s="3" t="s">
        <v>2700</v>
      </c>
      <c r="BC205" s="3" t="s">
        <v>2701</v>
      </c>
      <c r="BD205" s="3" t="s">
        <v>2702</v>
      </c>
    </row>
    <row r="206" spans="1:56" ht="48" customHeight="1" x14ac:dyDescent="0.25">
      <c r="A206" s="7" t="s">
        <v>59</v>
      </c>
      <c r="B206" s="2" t="s">
        <v>2703</v>
      </c>
      <c r="C206" s="2" t="s">
        <v>2704</v>
      </c>
      <c r="D206" s="2" t="s">
        <v>2705</v>
      </c>
      <c r="F206" s="3" t="s">
        <v>59</v>
      </c>
      <c r="G206" s="3" t="s">
        <v>60</v>
      </c>
      <c r="H206" s="3" t="s">
        <v>59</v>
      </c>
      <c r="I206" s="3" t="s">
        <v>59</v>
      </c>
      <c r="J206" s="3" t="s">
        <v>61</v>
      </c>
      <c r="K206" s="2" t="s">
        <v>2706</v>
      </c>
      <c r="L206" s="2" t="s">
        <v>965</v>
      </c>
      <c r="M206" s="3" t="s">
        <v>98</v>
      </c>
      <c r="O206" s="3" t="s">
        <v>64</v>
      </c>
      <c r="P206" s="3" t="s">
        <v>912</v>
      </c>
      <c r="R206" s="3" t="s">
        <v>67</v>
      </c>
      <c r="S206" s="4">
        <v>6</v>
      </c>
      <c r="T206" s="4">
        <v>6</v>
      </c>
      <c r="U206" s="5" t="s">
        <v>2707</v>
      </c>
      <c r="V206" s="5" t="s">
        <v>2707</v>
      </c>
      <c r="W206" s="5" t="s">
        <v>207</v>
      </c>
      <c r="X206" s="5" t="s">
        <v>207</v>
      </c>
      <c r="Y206" s="4">
        <v>418</v>
      </c>
      <c r="Z206" s="4">
        <v>317</v>
      </c>
      <c r="AA206" s="4">
        <v>320</v>
      </c>
      <c r="AB206" s="4">
        <v>6</v>
      </c>
      <c r="AC206" s="4">
        <v>6</v>
      </c>
      <c r="AD206" s="4">
        <v>14</v>
      </c>
      <c r="AE206" s="4">
        <v>14</v>
      </c>
      <c r="AF206" s="4">
        <v>3</v>
      </c>
      <c r="AG206" s="4">
        <v>3</v>
      </c>
      <c r="AH206" s="4">
        <v>2</v>
      </c>
      <c r="AI206" s="4">
        <v>2</v>
      </c>
      <c r="AJ206" s="4">
        <v>5</v>
      </c>
      <c r="AK206" s="4">
        <v>5</v>
      </c>
      <c r="AL206" s="4">
        <v>5</v>
      </c>
      <c r="AM206" s="4">
        <v>5</v>
      </c>
      <c r="AN206" s="4">
        <v>0</v>
      </c>
      <c r="AO206" s="4">
        <v>0</v>
      </c>
      <c r="AP206" s="3" t="s">
        <v>59</v>
      </c>
      <c r="AQ206" s="3" t="s">
        <v>70</v>
      </c>
      <c r="AR206" s="6" t="str">
        <f>HYPERLINK("http://catalog.hathitrust.org/Record/001576806","HathiTrust Record")</f>
        <v>HathiTrust Record</v>
      </c>
      <c r="AS206" s="6" t="str">
        <f>HYPERLINK("https://creighton-primo.hosted.exlibrisgroup.com/primo-explore/search?tab=default_tab&amp;search_scope=EVERYTHING&amp;vid=01CRU&amp;lang=en_US&amp;offset=0&amp;query=any,contains,991001249409702656","Catalog Record")</f>
        <v>Catalog Record</v>
      </c>
      <c r="AT206" s="6" t="str">
        <f>HYPERLINK("http://www.worldcat.org/oclc/208587","WorldCat Record")</f>
        <v>WorldCat Record</v>
      </c>
      <c r="AU206" s="3" t="s">
        <v>2708</v>
      </c>
      <c r="AV206" s="3" t="s">
        <v>2709</v>
      </c>
      <c r="AW206" s="3" t="s">
        <v>2710</v>
      </c>
      <c r="AX206" s="3" t="s">
        <v>2710</v>
      </c>
      <c r="AY206" s="3" t="s">
        <v>2711</v>
      </c>
      <c r="AZ206" s="3" t="s">
        <v>75</v>
      </c>
      <c r="BB206" s="3" t="s">
        <v>2712</v>
      </c>
      <c r="BC206" s="3" t="s">
        <v>2713</v>
      </c>
      <c r="BD206" s="3" t="s">
        <v>2714</v>
      </c>
    </row>
    <row r="207" spans="1:56" ht="48" customHeight="1" x14ac:dyDescent="0.25">
      <c r="A207" s="7" t="s">
        <v>59</v>
      </c>
      <c r="B207" s="2" t="s">
        <v>2715</v>
      </c>
      <c r="C207" s="2" t="s">
        <v>2716</v>
      </c>
      <c r="D207" s="2" t="s">
        <v>2717</v>
      </c>
      <c r="F207" s="3" t="s">
        <v>59</v>
      </c>
      <c r="G207" s="3" t="s">
        <v>60</v>
      </c>
      <c r="H207" s="3" t="s">
        <v>59</v>
      </c>
      <c r="I207" s="3" t="s">
        <v>59</v>
      </c>
      <c r="J207" s="3" t="s">
        <v>61</v>
      </c>
      <c r="K207" s="2" t="s">
        <v>2718</v>
      </c>
      <c r="L207" s="2" t="s">
        <v>2719</v>
      </c>
      <c r="M207" s="3" t="s">
        <v>843</v>
      </c>
      <c r="O207" s="3" t="s">
        <v>64</v>
      </c>
      <c r="P207" s="3" t="s">
        <v>1495</v>
      </c>
      <c r="R207" s="3" t="s">
        <v>67</v>
      </c>
      <c r="S207" s="4">
        <v>1</v>
      </c>
      <c r="T207" s="4">
        <v>1</v>
      </c>
      <c r="U207" s="5" t="s">
        <v>2720</v>
      </c>
      <c r="V207" s="5" t="s">
        <v>2720</v>
      </c>
      <c r="W207" s="5" t="s">
        <v>2720</v>
      </c>
      <c r="X207" s="5" t="s">
        <v>2720</v>
      </c>
      <c r="Y207" s="4">
        <v>51</v>
      </c>
      <c r="Z207" s="4">
        <v>30</v>
      </c>
      <c r="AA207" s="4">
        <v>55</v>
      </c>
      <c r="AB207" s="4">
        <v>2</v>
      </c>
      <c r="AC207" s="4">
        <v>2</v>
      </c>
      <c r="AD207" s="4">
        <v>1</v>
      </c>
      <c r="AE207" s="4">
        <v>1</v>
      </c>
      <c r="AF207" s="4">
        <v>0</v>
      </c>
      <c r="AG207" s="4">
        <v>0</v>
      </c>
      <c r="AH207" s="4">
        <v>0</v>
      </c>
      <c r="AI207" s="4">
        <v>0</v>
      </c>
      <c r="AJ207" s="4">
        <v>0</v>
      </c>
      <c r="AK207" s="4">
        <v>0</v>
      </c>
      <c r="AL207" s="4">
        <v>1</v>
      </c>
      <c r="AM207" s="4">
        <v>1</v>
      </c>
      <c r="AN207" s="4">
        <v>0</v>
      </c>
      <c r="AO207" s="4">
        <v>0</v>
      </c>
      <c r="AP207" s="3" t="s">
        <v>59</v>
      </c>
      <c r="AQ207" s="3" t="s">
        <v>59</v>
      </c>
      <c r="AS207" s="6" t="str">
        <f>HYPERLINK("https://creighton-primo.hosted.exlibrisgroup.com/primo-explore/search?tab=default_tab&amp;search_scope=EVERYTHING&amp;vid=01CRU&amp;lang=en_US&amp;offset=0&amp;query=any,contains,991005298689702656","Catalog Record")</f>
        <v>Catalog Record</v>
      </c>
      <c r="AT207" s="6" t="str">
        <f>HYPERLINK("http://www.worldcat.org/oclc/70777825","WorldCat Record")</f>
        <v>WorldCat Record</v>
      </c>
      <c r="AU207" s="3" t="s">
        <v>2721</v>
      </c>
      <c r="AV207" s="3" t="s">
        <v>2722</v>
      </c>
      <c r="AW207" s="3" t="s">
        <v>2723</v>
      </c>
      <c r="AX207" s="3" t="s">
        <v>2723</v>
      </c>
      <c r="AY207" s="3" t="s">
        <v>2724</v>
      </c>
      <c r="AZ207" s="3" t="s">
        <v>75</v>
      </c>
      <c r="BB207" s="3" t="s">
        <v>2725</v>
      </c>
      <c r="BC207" s="3" t="s">
        <v>2726</v>
      </c>
      <c r="BD207" s="3" t="s">
        <v>2727</v>
      </c>
    </row>
    <row r="208" spans="1:56" ht="48" customHeight="1" x14ac:dyDescent="0.25">
      <c r="A208" s="7" t="s">
        <v>59</v>
      </c>
      <c r="B208" s="2" t="s">
        <v>2728</v>
      </c>
      <c r="C208" s="2" t="s">
        <v>2729</v>
      </c>
      <c r="D208" s="2" t="s">
        <v>2730</v>
      </c>
      <c r="F208" s="3" t="s">
        <v>59</v>
      </c>
      <c r="G208" s="3" t="s">
        <v>60</v>
      </c>
      <c r="H208" s="3" t="s">
        <v>59</v>
      </c>
      <c r="I208" s="3" t="s">
        <v>59</v>
      </c>
      <c r="J208" s="3" t="s">
        <v>61</v>
      </c>
      <c r="K208" s="2" t="s">
        <v>2718</v>
      </c>
      <c r="L208" s="2" t="s">
        <v>2731</v>
      </c>
      <c r="M208" s="3" t="s">
        <v>2732</v>
      </c>
      <c r="O208" s="3" t="s">
        <v>64</v>
      </c>
      <c r="P208" s="3" t="s">
        <v>1495</v>
      </c>
      <c r="R208" s="3" t="s">
        <v>67</v>
      </c>
      <c r="S208" s="4">
        <v>1</v>
      </c>
      <c r="T208" s="4">
        <v>1</v>
      </c>
      <c r="U208" s="5" t="s">
        <v>2733</v>
      </c>
      <c r="V208" s="5" t="s">
        <v>2733</v>
      </c>
      <c r="W208" s="5" t="s">
        <v>2733</v>
      </c>
      <c r="X208" s="5" t="s">
        <v>2733</v>
      </c>
      <c r="Y208" s="4">
        <v>27</v>
      </c>
      <c r="Z208" s="4">
        <v>16</v>
      </c>
      <c r="AA208" s="4">
        <v>25</v>
      </c>
      <c r="AB208" s="4">
        <v>1</v>
      </c>
      <c r="AC208" s="4">
        <v>1</v>
      </c>
      <c r="AD208" s="4">
        <v>0</v>
      </c>
      <c r="AE208" s="4">
        <v>0</v>
      </c>
      <c r="AF208" s="4">
        <v>0</v>
      </c>
      <c r="AG208" s="4">
        <v>0</v>
      </c>
      <c r="AH208" s="4">
        <v>0</v>
      </c>
      <c r="AI208" s="4">
        <v>0</v>
      </c>
      <c r="AJ208" s="4">
        <v>0</v>
      </c>
      <c r="AK208" s="4">
        <v>0</v>
      </c>
      <c r="AL208" s="4">
        <v>0</v>
      </c>
      <c r="AM208" s="4">
        <v>0</v>
      </c>
      <c r="AN208" s="4">
        <v>0</v>
      </c>
      <c r="AO208" s="4">
        <v>0</v>
      </c>
      <c r="AP208" s="3" t="s">
        <v>59</v>
      </c>
      <c r="AQ208" s="3" t="s">
        <v>59</v>
      </c>
      <c r="AS208" s="6" t="str">
        <f>HYPERLINK("https://creighton-primo.hosted.exlibrisgroup.com/primo-explore/search?tab=default_tab&amp;search_scope=EVERYTHING&amp;vid=01CRU&amp;lang=en_US&amp;offset=0&amp;query=any,contains,991005349989702656","Catalog Record")</f>
        <v>Catalog Record</v>
      </c>
      <c r="AT208" s="6" t="str">
        <f>HYPERLINK("http://www.worldcat.org/oclc/232711818","WorldCat Record")</f>
        <v>WorldCat Record</v>
      </c>
      <c r="AU208" s="3" t="s">
        <v>2734</v>
      </c>
      <c r="AV208" s="3" t="s">
        <v>2735</v>
      </c>
      <c r="AW208" s="3" t="s">
        <v>2736</v>
      </c>
      <c r="AX208" s="3" t="s">
        <v>2736</v>
      </c>
      <c r="AY208" s="3" t="s">
        <v>2737</v>
      </c>
      <c r="AZ208" s="3" t="s">
        <v>75</v>
      </c>
      <c r="BB208" s="3" t="s">
        <v>2738</v>
      </c>
      <c r="BC208" s="3" t="s">
        <v>2739</v>
      </c>
      <c r="BD208" s="3" t="s">
        <v>2740</v>
      </c>
    </row>
    <row r="209" spans="1:56" ht="48" customHeight="1" x14ac:dyDescent="0.25">
      <c r="A209" s="7" t="s">
        <v>59</v>
      </c>
      <c r="B209" s="2" t="s">
        <v>2741</v>
      </c>
      <c r="C209" s="2" t="s">
        <v>2742</v>
      </c>
      <c r="D209" s="2" t="s">
        <v>2743</v>
      </c>
      <c r="F209" s="3" t="s">
        <v>59</v>
      </c>
      <c r="G209" s="3" t="s">
        <v>60</v>
      </c>
      <c r="H209" s="3" t="s">
        <v>59</v>
      </c>
      <c r="I209" s="3" t="s">
        <v>59</v>
      </c>
      <c r="J209" s="3" t="s">
        <v>61</v>
      </c>
      <c r="K209" s="2" t="s">
        <v>2744</v>
      </c>
      <c r="L209" s="2" t="s">
        <v>2745</v>
      </c>
      <c r="M209" s="3" t="s">
        <v>1611</v>
      </c>
      <c r="N209" s="2" t="s">
        <v>2003</v>
      </c>
      <c r="O209" s="3" t="s">
        <v>64</v>
      </c>
      <c r="P209" s="3" t="s">
        <v>264</v>
      </c>
      <c r="R209" s="3" t="s">
        <v>67</v>
      </c>
      <c r="S209" s="4">
        <v>12</v>
      </c>
      <c r="T209" s="4">
        <v>12</v>
      </c>
      <c r="U209" s="5" t="s">
        <v>2746</v>
      </c>
      <c r="V209" s="5" t="s">
        <v>2746</v>
      </c>
      <c r="W209" s="5" t="s">
        <v>2747</v>
      </c>
      <c r="X209" s="5" t="s">
        <v>2747</v>
      </c>
      <c r="Y209" s="4">
        <v>346</v>
      </c>
      <c r="Z209" s="4">
        <v>207</v>
      </c>
      <c r="AA209" s="4">
        <v>535</v>
      </c>
      <c r="AB209" s="4">
        <v>1</v>
      </c>
      <c r="AC209" s="4">
        <v>4</v>
      </c>
      <c r="AD209" s="4">
        <v>5</v>
      </c>
      <c r="AE209" s="4">
        <v>16</v>
      </c>
      <c r="AF209" s="4">
        <v>3</v>
      </c>
      <c r="AG209" s="4">
        <v>7</v>
      </c>
      <c r="AH209" s="4">
        <v>0</v>
      </c>
      <c r="AI209" s="4">
        <v>3</v>
      </c>
      <c r="AJ209" s="4">
        <v>3</v>
      </c>
      <c r="AK209" s="4">
        <v>5</v>
      </c>
      <c r="AL209" s="4">
        <v>0</v>
      </c>
      <c r="AM209" s="4">
        <v>3</v>
      </c>
      <c r="AN209" s="4">
        <v>0</v>
      </c>
      <c r="AO209" s="4">
        <v>0</v>
      </c>
      <c r="AP209" s="3" t="s">
        <v>59</v>
      </c>
      <c r="AQ209" s="3" t="s">
        <v>70</v>
      </c>
      <c r="AR209" s="6" t="str">
        <f>HYPERLINK("http://catalog.hathitrust.org/Record/003065075","HathiTrust Record")</f>
        <v>HathiTrust Record</v>
      </c>
      <c r="AS209" s="6" t="str">
        <f>HYPERLINK("https://creighton-primo.hosted.exlibrisgroup.com/primo-explore/search?tab=default_tab&amp;search_scope=EVERYTHING&amp;vid=01CRU&amp;lang=en_US&amp;offset=0&amp;query=any,contains,991005421969702656","Catalog Record")</f>
        <v>Catalog Record</v>
      </c>
      <c r="AT209" s="6" t="str">
        <f>HYPERLINK("http://www.worldcat.org/oclc/32890956","WorldCat Record")</f>
        <v>WorldCat Record</v>
      </c>
      <c r="AU209" s="3" t="s">
        <v>2748</v>
      </c>
      <c r="AV209" s="3" t="s">
        <v>2749</v>
      </c>
      <c r="AW209" s="3" t="s">
        <v>2750</v>
      </c>
      <c r="AX209" s="3" t="s">
        <v>2750</v>
      </c>
      <c r="AY209" s="3" t="s">
        <v>2751</v>
      </c>
      <c r="AZ209" s="3" t="s">
        <v>75</v>
      </c>
      <c r="BB209" s="3" t="s">
        <v>2752</v>
      </c>
      <c r="BC209" s="3" t="s">
        <v>2753</v>
      </c>
      <c r="BD209" s="3" t="s">
        <v>2754</v>
      </c>
    </row>
    <row r="210" spans="1:56" ht="48" customHeight="1" x14ac:dyDescent="0.25">
      <c r="A210" s="7" t="s">
        <v>59</v>
      </c>
      <c r="B210" s="2" t="s">
        <v>2755</v>
      </c>
      <c r="C210" s="2" t="s">
        <v>2756</v>
      </c>
      <c r="D210" s="2" t="s">
        <v>2757</v>
      </c>
      <c r="F210" s="3" t="s">
        <v>59</v>
      </c>
      <c r="G210" s="3" t="s">
        <v>60</v>
      </c>
      <c r="H210" s="3" t="s">
        <v>59</v>
      </c>
      <c r="I210" s="3" t="s">
        <v>59</v>
      </c>
      <c r="J210" s="3" t="s">
        <v>61</v>
      </c>
      <c r="K210" s="2" t="s">
        <v>2758</v>
      </c>
      <c r="L210" s="2" t="s">
        <v>2759</v>
      </c>
      <c r="M210" s="3" t="s">
        <v>363</v>
      </c>
      <c r="N210" s="2" t="s">
        <v>926</v>
      </c>
      <c r="O210" s="3" t="s">
        <v>64</v>
      </c>
      <c r="P210" s="3" t="s">
        <v>661</v>
      </c>
      <c r="R210" s="3" t="s">
        <v>67</v>
      </c>
      <c r="S210" s="4">
        <v>8</v>
      </c>
      <c r="T210" s="4">
        <v>8</v>
      </c>
      <c r="U210" s="5" t="s">
        <v>2760</v>
      </c>
      <c r="V210" s="5" t="s">
        <v>2760</v>
      </c>
      <c r="W210" s="5" t="s">
        <v>2604</v>
      </c>
      <c r="X210" s="5" t="s">
        <v>2604</v>
      </c>
      <c r="Y210" s="4">
        <v>153</v>
      </c>
      <c r="Z210" s="4">
        <v>125</v>
      </c>
      <c r="AA210" s="4">
        <v>247</v>
      </c>
      <c r="AB210" s="4">
        <v>1</v>
      </c>
      <c r="AC210" s="4">
        <v>2</v>
      </c>
      <c r="AD210" s="4">
        <v>2</v>
      </c>
      <c r="AE210" s="4">
        <v>7</v>
      </c>
      <c r="AF210" s="4">
        <v>2</v>
      </c>
      <c r="AG210" s="4">
        <v>5</v>
      </c>
      <c r="AH210" s="4">
        <v>0</v>
      </c>
      <c r="AI210" s="4">
        <v>1</v>
      </c>
      <c r="AJ210" s="4">
        <v>0</v>
      </c>
      <c r="AK210" s="4">
        <v>2</v>
      </c>
      <c r="AL210" s="4">
        <v>0</v>
      </c>
      <c r="AM210" s="4">
        <v>1</v>
      </c>
      <c r="AN210" s="4">
        <v>0</v>
      </c>
      <c r="AO210" s="4">
        <v>0</v>
      </c>
      <c r="AP210" s="3" t="s">
        <v>59</v>
      </c>
      <c r="AQ210" s="3" t="s">
        <v>59</v>
      </c>
      <c r="AS210" s="6" t="str">
        <f>HYPERLINK("https://creighton-primo.hosted.exlibrisgroup.com/primo-explore/search?tab=default_tab&amp;search_scope=EVERYTHING&amp;vid=01CRU&amp;lang=en_US&amp;offset=0&amp;query=any,contains,991000077689702656","Catalog Record")</f>
        <v>Catalog Record</v>
      </c>
      <c r="AT210" s="6" t="str">
        <f>HYPERLINK("http://www.worldcat.org/oclc/8819371","WorldCat Record")</f>
        <v>WorldCat Record</v>
      </c>
      <c r="AU210" s="3" t="s">
        <v>2761</v>
      </c>
      <c r="AV210" s="3" t="s">
        <v>2762</v>
      </c>
      <c r="AW210" s="3" t="s">
        <v>2763</v>
      </c>
      <c r="AX210" s="3" t="s">
        <v>2763</v>
      </c>
      <c r="AY210" s="3" t="s">
        <v>2764</v>
      </c>
      <c r="AZ210" s="3" t="s">
        <v>75</v>
      </c>
      <c r="BB210" s="3" t="s">
        <v>2765</v>
      </c>
      <c r="BC210" s="3" t="s">
        <v>2766</v>
      </c>
      <c r="BD210" s="3" t="s">
        <v>2767</v>
      </c>
    </row>
    <row r="211" spans="1:56" ht="48" customHeight="1" x14ac:dyDescent="0.25">
      <c r="A211" s="7" t="s">
        <v>59</v>
      </c>
      <c r="B211" s="2" t="s">
        <v>2768</v>
      </c>
      <c r="C211" s="2" t="s">
        <v>2769</v>
      </c>
      <c r="D211" s="2" t="s">
        <v>2770</v>
      </c>
      <c r="F211" s="3" t="s">
        <v>59</v>
      </c>
      <c r="G211" s="3" t="s">
        <v>60</v>
      </c>
      <c r="H211" s="3" t="s">
        <v>70</v>
      </c>
      <c r="I211" s="3" t="s">
        <v>59</v>
      </c>
      <c r="J211" s="3" t="s">
        <v>61</v>
      </c>
      <c r="K211" s="2" t="s">
        <v>2771</v>
      </c>
      <c r="L211" s="2" t="s">
        <v>2772</v>
      </c>
      <c r="M211" s="3" t="s">
        <v>363</v>
      </c>
      <c r="N211" s="2" t="s">
        <v>536</v>
      </c>
      <c r="O211" s="3" t="s">
        <v>64</v>
      </c>
      <c r="P211" s="3" t="s">
        <v>115</v>
      </c>
      <c r="R211" s="3" t="s">
        <v>67</v>
      </c>
      <c r="S211" s="4">
        <v>13</v>
      </c>
      <c r="T211" s="4">
        <v>13</v>
      </c>
      <c r="U211" s="5" t="s">
        <v>2760</v>
      </c>
      <c r="V211" s="5" t="s">
        <v>2760</v>
      </c>
      <c r="W211" s="5" t="s">
        <v>2773</v>
      </c>
      <c r="X211" s="5" t="s">
        <v>2773</v>
      </c>
      <c r="Y211" s="4">
        <v>365</v>
      </c>
      <c r="Z211" s="4">
        <v>284</v>
      </c>
      <c r="AA211" s="4">
        <v>891</v>
      </c>
      <c r="AB211" s="4">
        <v>3</v>
      </c>
      <c r="AC211" s="4">
        <v>9</v>
      </c>
      <c r="AD211" s="4">
        <v>7</v>
      </c>
      <c r="AE211" s="4">
        <v>33</v>
      </c>
      <c r="AF211" s="4">
        <v>2</v>
      </c>
      <c r="AG211" s="4">
        <v>16</v>
      </c>
      <c r="AH211" s="4">
        <v>2</v>
      </c>
      <c r="AI211" s="4">
        <v>5</v>
      </c>
      <c r="AJ211" s="4">
        <v>3</v>
      </c>
      <c r="AK211" s="4">
        <v>10</v>
      </c>
      <c r="AL211" s="4">
        <v>1</v>
      </c>
      <c r="AM211" s="4">
        <v>7</v>
      </c>
      <c r="AN211" s="4">
        <v>0</v>
      </c>
      <c r="AO211" s="4">
        <v>0</v>
      </c>
      <c r="AP211" s="3" t="s">
        <v>59</v>
      </c>
      <c r="AQ211" s="3" t="s">
        <v>70</v>
      </c>
      <c r="AR211" s="6" t="str">
        <f>HYPERLINK("http://catalog.hathitrust.org/Record/000652573","HathiTrust Record")</f>
        <v>HathiTrust Record</v>
      </c>
      <c r="AS211" s="6" t="str">
        <f>HYPERLINK("https://creighton-primo.hosted.exlibrisgroup.com/primo-explore/search?tab=default_tab&amp;search_scope=EVERYTHING&amp;vid=01CRU&amp;lang=en_US&amp;offset=0&amp;query=any,contains,991005194439702656","Catalog Record")</f>
        <v>Catalog Record</v>
      </c>
      <c r="AT211" s="6" t="str">
        <f>HYPERLINK("http://www.worldcat.org/oclc/8034029","WorldCat Record")</f>
        <v>WorldCat Record</v>
      </c>
      <c r="AU211" s="3" t="s">
        <v>2774</v>
      </c>
      <c r="AV211" s="3" t="s">
        <v>2775</v>
      </c>
      <c r="AW211" s="3" t="s">
        <v>2776</v>
      </c>
      <c r="AX211" s="3" t="s">
        <v>2776</v>
      </c>
      <c r="AY211" s="3" t="s">
        <v>2777</v>
      </c>
      <c r="AZ211" s="3" t="s">
        <v>75</v>
      </c>
      <c r="BB211" s="3" t="s">
        <v>2778</v>
      </c>
      <c r="BC211" s="3" t="s">
        <v>2779</v>
      </c>
      <c r="BD211" s="3" t="s">
        <v>2780</v>
      </c>
    </row>
    <row r="212" spans="1:56" ht="48" customHeight="1" x14ac:dyDescent="0.25">
      <c r="A212" s="7" t="s">
        <v>59</v>
      </c>
      <c r="B212" s="2" t="s">
        <v>2781</v>
      </c>
      <c r="C212" s="2" t="s">
        <v>2782</v>
      </c>
      <c r="D212" s="2" t="s">
        <v>2783</v>
      </c>
      <c r="F212" s="3" t="s">
        <v>59</v>
      </c>
      <c r="G212" s="3" t="s">
        <v>60</v>
      </c>
      <c r="H212" s="3" t="s">
        <v>70</v>
      </c>
      <c r="I212" s="3" t="s">
        <v>59</v>
      </c>
      <c r="J212" s="3" t="s">
        <v>61</v>
      </c>
      <c r="K212" s="2" t="s">
        <v>2784</v>
      </c>
      <c r="L212" s="2" t="s">
        <v>2785</v>
      </c>
      <c r="M212" s="3" t="s">
        <v>234</v>
      </c>
      <c r="N212" s="2" t="s">
        <v>536</v>
      </c>
      <c r="O212" s="3" t="s">
        <v>64</v>
      </c>
      <c r="P212" s="3" t="s">
        <v>115</v>
      </c>
      <c r="R212" s="3" t="s">
        <v>67</v>
      </c>
      <c r="S212" s="4">
        <v>7</v>
      </c>
      <c r="T212" s="4">
        <v>7</v>
      </c>
      <c r="U212" s="5" t="s">
        <v>2660</v>
      </c>
      <c r="V212" s="5" t="s">
        <v>2660</v>
      </c>
      <c r="W212" s="5" t="s">
        <v>592</v>
      </c>
      <c r="X212" s="5" t="s">
        <v>592</v>
      </c>
      <c r="Y212" s="4">
        <v>497</v>
      </c>
      <c r="Z212" s="4">
        <v>384</v>
      </c>
      <c r="AA212" s="4">
        <v>392</v>
      </c>
      <c r="AB212" s="4">
        <v>4</v>
      </c>
      <c r="AC212" s="4">
        <v>4</v>
      </c>
      <c r="AD212" s="4">
        <v>12</v>
      </c>
      <c r="AE212" s="4">
        <v>12</v>
      </c>
      <c r="AF212" s="4">
        <v>9</v>
      </c>
      <c r="AG212" s="4">
        <v>9</v>
      </c>
      <c r="AH212" s="4">
        <v>0</v>
      </c>
      <c r="AI212" s="4">
        <v>0</v>
      </c>
      <c r="AJ212" s="4">
        <v>3</v>
      </c>
      <c r="AK212" s="4">
        <v>3</v>
      </c>
      <c r="AL212" s="4">
        <v>2</v>
      </c>
      <c r="AM212" s="4">
        <v>2</v>
      </c>
      <c r="AN212" s="4">
        <v>0</v>
      </c>
      <c r="AO212" s="4">
        <v>0</v>
      </c>
      <c r="AP212" s="3" t="s">
        <v>59</v>
      </c>
      <c r="AQ212" s="3" t="s">
        <v>70</v>
      </c>
      <c r="AR212" s="6" t="str">
        <f>HYPERLINK("http://catalog.hathitrust.org/Record/001100545","HathiTrust Record")</f>
        <v>HathiTrust Record</v>
      </c>
      <c r="AS212" s="6" t="str">
        <f>HYPERLINK("https://creighton-primo.hosted.exlibrisgroup.com/primo-explore/search?tab=default_tab&amp;search_scope=EVERYTHING&amp;vid=01CRU&amp;lang=en_US&amp;offset=0&amp;query=any,contains,991001360249702656","Catalog Record")</f>
        <v>Catalog Record</v>
      </c>
      <c r="AT212" s="6" t="str">
        <f>HYPERLINK("http://www.worldcat.org/oclc/18520637","WorldCat Record")</f>
        <v>WorldCat Record</v>
      </c>
      <c r="AU212" s="3" t="s">
        <v>2786</v>
      </c>
      <c r="AV212" s="3" t="s">
        <v>2787</v>
      </c>
      <c r="AW212" s="3" t="s">
        <v>2788</v>
      </c>
      <c r="AX212" s="3" t="s">
        <v>2788</v>
      </c>
      <c r="AY212" s="3" t="s">
        <v>2789</v>
      </c>
      <c r="AZ212" s="3" t="s">
        <v>75</v>
      </c>
      <c r="BB212" s="3" t="s">
        <v>2790</v>
      </c>
      <c r="BC212" s="3" t="s">
        <v>2791</v>
      </c>
      <c r="BD212" s="3" t="s">
        <v>2792</v>
      </c>
    </row>
    <row r="213" spans="1:56" ht="48" customHeight="1" x14ac:dyDescent="0.25">
      <c r="A213" s="7" t="s">
        <v>59</v>
      </c>
      <c r="B213" s="2" t="s">
        <v>2793</v>
      </c>
      <c r="C213" s="2" t="s">
        <v>2794</v>
      </c>
      <c r="D213" s="2" t="s">
        <v>2795</v>
      </c>
      <c r="F213" s="3" t="s">
        <v>59</v>
      </c>
      <c r="G213" s="3" t="s">
        <v>60</v>
      </c>
      <c r="H213" s="3" t="s">
        <v>59</v>
      </c>
      <c r="I213" s="3" t="s">
        <v>59</v>
      </c>
      <c r="J213" s="3" t="s">
        <v>61</v>
      </c>
      <c r="K213" s="2" t="s">
        <v>2796</v>
      </c>
      <c r="L213" s="2" t="s">
        <v>2797</v>
      </c>
      <c r="M213" s="3" t="s">
        <v>1351</v>
      </c>
      <c r="N213" s="2" t="s">
        <v>731</v>
      </c>
      <c r="O213" s="3" t="s">
        <v>64</v>
      </c>
      <c r="P213" s="3" t="s">
        <v>2222</v>
      </c>
      <c r="R213" s="3" t="s">
        <v>67</v>
      </c>
      <c r="S213" s="4">
        <v>2</v>
      </c>
      <c r="T213" s="4">
        <v>2</v>
      </c>
      <c r="U213" s="5" t="s">
        <v>1245</v>
      </c>
      <c r="V213" s="5" t="s">
        <v>1245</v>
      </c>
      <c r="W213" s="5" t="s">
        <v>2798</v>
      </c>
      <c r="X213" s="5" t="s">
        <v>2798</v>
      </c>
      <c r="Y213" s="4">
        <v>35</v>
      </c>
      <c r="Z213" s="4">
        <v>15</v>
      </c>
      <c r="AA213" s="4">
        <v>20</v>
      </c>
      <c r="AB213" s="4">
        <v>1</v>
      </c>
      <c r="AC213" s="4">
        <v>1</v>
      </c>
      <c r="AD213" s="4">
        <v>0</v>
      </c>
      <c r="AE213" s="4">
        <v>0</v>
      </c>
      <c r="AF213" s="4">
        <v>0</v>
      </c>
      <c r="AG213" s="4">
        <v>0</v>
      </c>
      <c r="AH213" s="4">
        <v>0</v>
      </c>
      <c r="AI213" s="4">
        <v>0</v>
      </c>
      <c r="AJ213" s="4">
        <v>0</v>
      </c>
      <c r="AK213" s="4">
        <v>0</v>
      </c>
      <c r="AL213" s="4">
        <v>0</v>
      </c>
      <c r="AM213" s="4">
        <v>0</v>
      </c>
      <c r="AN213" s="4">
        <v>0</v>
      </c>
      <c r="AO213" s="4">
        <v>0</v>
      </c>
      <c r="AP213" s="3" t="s">
        <v>59</v>
      </c>
      <c r="AQ213" s="3" t="s">
        <v>59</v>
      </c>
      <c r="AS213" s="6" t="str">
        <f>HYPERLINK("https://creighton-primo.hosted.exlibrisgroup.com/primo-explore/search?tab=default_tab&amp;search_scope=EVERYTHING&amp;vid=01CRU&amp;lang=en_US&amp;offset=0&amp;query=any,contains,991005190679702656","Catalog Record")</f>
        <v>Catalog Record</v>
      </c>
      <c r="AT213" s="6" t="str">
        <f>HYPERLINK("http://www.worldcat.org/oclc/57662772","WorldCat Record")</f>
        <v>WorldCat Record</v>
      </c>
      <c r="AU213" s="3" t="s">
        <v>2799</v>
      </c>
      <c r="AV213" s="3" t="s">
        <v>2800</v>
      </c>
      <c r="AW213" s="3" t="s">
        <v>2801</v>
      </c>
      <c r="AX213" s="3" t="s">
        <v>2801</v>
      </c>
      <c r="AY213" s="3" t="s">
        <v>2802</v>
      </c>
      <c r="AZ213" s="3" t="s">
        <v>75</v>
      </c>
      <c r="BB213" s="3" t="s">
        <v>2803</v>
      </c>
      <c r="BC213" s="3" t="s">
        <v>2804</v>
      </c>
      <c r="BD213" s="3" t="s">
        <v>2805</v>
      </c>
    </row>
    <row r="214" spans="1:56" ht="48" customHeight="1" x14ac:dyDescent="0.25">
      <c r="A214" s="7" t="s">
        <v>59</v>
      </c>
      <c r="B214" s="2" t="s">
        <v>2806</v>
      </c>
      <c r="C214" s="2" t="s">
        <v>2807</v>
      </c>
      <c r="D214" s="2" t="s">
        <v>2808</v>
      </c>
      <c r="F214" s="3" t="s">
        <v>59</v>
      </c>
      <c r="G214" s="3" t="s">
        <v>60</v>
      </c>
      <c r="H214" s="3" t="s">
        <v>59</v>
      </c>
      <c r="I214" s="3" t="s">
        <v>59</v>
      </c>
      <c r="J214" s="3" t="s">
        <v>61</v>
      </c>
      <c r="K214" s="2" t="s">
        <v>2809</v>
      </c>
      <c r="L214" s="2" t="s">
        <v>2810</v>
      </c>
      <c r="M214" s="3" t="s">
        <v>319</v>
      </c>
      <c r="O214" s="3" t="s">
        <v>64</v>
      </c>
      <c r="P214" s="3" t="s">
        <v>130</v>
      </c>
      <c r="Q214" s="2" t="s">
        <v>2811</v>
      </c>
      <c r="R214" s="3" t="s">
        <v>67</v>
      </c>
      <c r="S214" s="4">
        <v>1</v>
      </c>
      <c r="T214" s="4">
        <v>1</v>
      </c>
      <c r="U214" s="5" t="s">
        <v>2812</v>
      </c>
      <c r="V214" s="5" t="s">
        <v>2812</v>
      </c>
      <c r="W214" s="5" t="s">
        <v>2773</v>
      </c>
      <c r="X214" s="5" t="s">
        <v>2773</v>
      </c>
      <c r="Y214" s="4">
        <v>67</v>
      </c>
      <c r="Z214" s="4">
        <v>59</v>
      </c>
      <c r="AA214" s="4">
        <v>134</v>
      </c>
      <c r="AB214" s="4">
        <v>1</v>
      </c>
      <c r="AC214" s="4">
        <v>1</v>
      </c>
      <c r="AD214" s="4">
        <v>0</v>
      </c>
      <c r="AE214" s="4">
        <v>0</v>
      </c>
      <c r="AF214" s="4">
        <v>0</v>
      </c>
      <c r="AG214" s="4">
        <v>0</v>
      </c>
      <c r="AH214" s="4">
        <v>0</v>
      </c>
      <c r="AI214" s="4">
        <v>0</v>
      </c>
      <c r="AJ214" s="4">
        <v>0</v>
      </c>
      <c r="AK214" s="4">
        <v>0</v>
      </c>
      <c r="AL214" s="4">
        <v>0</v>
      </c>
      <c r="AM214" s="4">
        <v>0</v>
      </c>
      <c r="AN214" s="4">
        <v>0</v>
      </c>
      <c r="AO214" s="4">
        <v>0</v>
      </c>
      <c r="AP214" s="3" t="s">
        <v>59</v>
      </c>
      <c r="AQ214" s="3" t="s">
        <v>59</v>
      </c>
      <c r="AS214" s="6" t="str">
        <f>HYPERLINK("https://creighton-primo.hosted.exlibrisgroup.com/primo-explore/search?tab=default_tab&amp;search_scope=EVERYTHING&amp;vid=01CRU&amp;lang=en_US&amp;offset=0&amp;query=any,contains,991000534969702656","Catalog Record")</f>
        <v>Catalog Record</v>
      </c>
      <c r="AT214" s="6" t="str">
        <f>HYPERLINK("http://www.worldcat.org/oclc/11443829","WorldCat Record")</f>
        <v>WorldCat Record</v>
      </c>
      <c r="AU214" s="3" t="s">
        <v>2813</v>
      </c>
      <c r="AV214" s="3" t="s">
        <v>2814</v>
      </c>
      <c r="AW214" s="3" t="s">
        <v>2815</v>
      </c>
      <c r="AX214" s="3" t="s">
        <v>2815</v>
      </c>
      <c r="AY214" s="3" t="s">
        <v>2816</v>
      </c>
      <c r="AZ214" s="3" t="s">
        <v>75</v>
      </c>
      <c r="BB214" s="3" t="s">
        <v>2817</v>
      </c>
      <c r="BC214" s="3" t="s">
        <v>2818</v>
      </c>
      <c r="BD214" s="3" t="s">
        <v>2819</v>
      </c>
    </row>
    <row r="215" spans="1:56" ht="48" customHeight="1" x14ac:dyDescent="0.25">
      <c r="A215" s="7" t="s">
        <v>59</v>
      </c>
      <c r="B215" s="2" t="s">
        <v>2820</v>
      </c>
      <c r="C215" s="2" t="s">
        <v>2821</v>
      </c>
      <c r="D215" s="2" t="s">
        <v>2822</v>
      </c>
      <c r="F215" s="3" t="s">
        <v>59</v>
      </c>
      <c r="G215" s="3" t="s">
        <v>60</v>
      </c>
      <c r="H215" s="3" t="s">
        <v>59</v>
      </c>
      <c r="I215" s="3" t="s">
        <v>59</v>
      </c>
      <c r="J215" s="3" t="s">
        <v>61</v>
      </c>
      <c r="K215" s="2" t="s">
        <v>2823</v>
      </c>
      <c r="L215" s="2" t="s">
        <v>2824</v>
      </c>
      <c r="M215" s="3" t="s">
        <v>2825</v>
      </c>
      <c r="O215" s="3" t="s">
        <v>64</v>
      </c>
      <c r="P215" s="3" t="s">
        <v>2826</v>
      </c>
      <c r="R215" s="3" t="s">
        <v>67</v>
      </c>
      <c r="S215" s="4">
        <v>2</v>
      </c>
      <c r="T215" s="4">
        <v>2</v>
      </c>
      <c r="U215" s="5" t="s">
        <v>2510</v>
      </c>
      <c r="V215" s="5" t="s">
        <v>2510</v>
      </c>
      <c r="W215" s="5" t="s">
        <v>2042</v>
      </c>
      <c r="X215" s="5" t="s">
        <v>2042</v>
      </c>
      <c r="Y215" s="4">
        <v>220</v>
      </c>
      <c r="Z215" s="4">
        <v>104</v>
      </c>
      <c r="AA215" s="4">
        <v>110</v>
      </c>
      <c r="AB215" s="4">
        <v>3</v>
      </c>
      <c r="AC215" s="4">
        <v>3</v>
      </c>
      <c r="AD215" s="4">
        <v>3</v>
      </c>
      <c r="AE215" s="4">
        <v>4</v>
      </c>
      <c r="AF215" s="4">
        <v>1</v>
      </c>
      <c r="AG215" s="4">
        <v>1</v>
      </c>
      <c r="AH215" s="4">
        <v>1</v>
      </c>
      <c r="AI215" s="4">
        <v>2</v>
      </c>
      <c r="AJ215" s="4">
        <v>1</v>
      </c>
      <c r="AK215" s="4">
        <v>1</v>
      </c>
      <c r="AL215" s="4">
        <v>1</v>
      </c>
      <c r="AM215" s="4">
        <v>1</v>
      </c>
      <c r="AN215" s="4">
        <v>0</v>
      </c>
      <c r="AO215" s="4">
        <v>0</v>
      </c>
      <c r="AP215" s="3" t="s">
        <v>59</v>
      </c>
      <c r="AQ215" s="3" t="s">
        <v>59</v>
      </c>
      <c r="AS215" s="6" t="str">
        <f>HYPERLINK("https://creighton-primo.hosted.exlibrisgroup.com/primo-explore/search?tab=default_tab&amp;search_scope=EVERYTHING&amp;vid=01CRU&amp;lang=en_US&amp;offset=0&amp;query=any,contains,991005143469702656","Catalog Record")</f>
        <v>Catalog Record</v>
      </c>
      <c r="AT215" s="6" t="str">
        <f>HYPERLINK("http://www.worldcat.org/oclc/70708105","WorldCat Record")</f>
        <v>WorldCat Record</v>
      </c>
      <c r="AU215" s="3" t="s">
        <v>2827</v>
      </c>
      <c r="AV215" s="3" t="s">
        <v>2828</v>
      </c>
      <c r="AW215" s="3" t="s">
        <v>2829</v>
      </c>
      <c r="AX215" s="3" t="s">
        <v>2829</v>
      </c>
      <c r="AY215" s="3" t="s">
        <v>2830</v>
      </c>
      <c r="AZ215" s="3" t="s">
        <v>75</v>
      </c>
      <c r="BB215" s="3" t="s">
        <v>2831</v>
      </c>
      <c r="BC215" s="3" t="s">
        <v>2832</v>
      </c>
      <c r="BD215" s="3" t="s">
        <v>2833</v>
      </c>
    </row>
    <row r="216" spans="1:56" ht="48" customHeight="1" x14ac:dyDescent="0.25">
      <c r="A216" s="7" t="s">
        <v>59</v>
      </c>
      <c r="B216" s="2" t="s">
        <v>2834</v>
      </c>
      <c r="C216" s="2" t="s">
        <v>2835</v>
      </c>
      <c r="D216" s="2" t="s">
        <v>2836</v>
      </c>
      <c r="F216" s="3" t="s">
        <v>59</v>
      </c>
      <c r="G216" s="3" t="s">
        <v>60</v>
      </c>
      <c r="H216" s="3" t="s">
        <v>59</v>
      </c>
      <c r="I216" s="3" t="s">
        <v>59</v>
      </c>
      <c r="J216" s="3" t="s">
        <v>61</v>
      </c>
      <c r="K216" s="2" t="s">
        <v>2837</v>
      </c>
      <c r="L216" s="2" t="s">
        <v>2838</v>
      </c>
      <c r="M216" s="3" t="s">
        <v>319</v>
      </c>
      <c r="O216" s="3" t="s">
        <v>64</v>
      </c>
      <c r="P216" s="3" t="s">
        <v>84</v>
      </c>
      <c r="R216" s="3" t="s">
        <v>67</v>
      </c>
      <c r="S216" s="4">
        <v>23</v>
      </c>
      <c r="T216" s="4">
        <v>23</v>
      </c>
      <c r="U216" s="5" t="s">
        <v>2839</v>
      </c>
      <c r="V216" s="5" t="s">
        <v>2839</v>
      </c>
      <c r="W216" s="5" t="s">
        <v>2840</v>
      </c>
      <c r="X216" s="5" t="s">
        <v>2840</v>
      </c>
      <c r="Y216" s="4">
        <v>333</v>
      </c>
      <c r="Z216" s="4">
        <v>194</v>
      </c>
      <c r="AA216" s="4">
        <v>432</v>
      </c>
      <c r="AB216" s="4">
        <v>2</v>
      </c>
      <c r="AC216" s="4">
        <v>6</v>
      </c>
      <c r="AD216" s="4">
        <v>5</v>
      </c>
      <c r="AE216" s="4">
        <v>18</v>
      </c>
      <c r="AF216" s="4">
        <v>4</v>
      </c>
      <c r="AG216" s="4">
        <v>8</v>
      </c>
      <c r="AH216" s="4">
        <v>0</v>
      </c>
      <c r="AI216" s="4">
        <v>2</v>
      </c>
      <c r="AJ216" s="4">
        <v>0</v>
      </c>
      <c r="AK216" s="4">
        <v>4</v>
      </c>
      <c r="AL216" s="4">
        <v>1</v>
      </c>
      <c r="AM216" s="4">
        <v>5</v>
      </c>
      <c r="AN216" s="4">
        <v>0</v>
      </c>
      <c r="AO216" s="4">
        <v>0</v>
      </c>
      <c r="AP216" s="3" t="s">
        <v>59</v>
      </c>
      <c r="AQ216" s="3" t="s">
        <v>70</v>
      </c>
      <c r="AR216" s="6" t="str">
        <f>HYPERLINK("http://catalog.hathitrust.org/Record/001823880","HathiTrust Record")</f>
        <v>HathiTrust Record</v>
      </c>
      <c r="AS216" s="6" t="str">
        <f>HYPERLINK("https://creighton-primo.hosted.exlibrisgroup.com/primo-explore/search?tab=default_tab&amp;search_scope=EVERYTHING&amp;vid=01CRU&amp;lang=en_US&amp;offset=0&amp;query=any,contains,991000535799702656","Catalog Record")</f>
        <v>Catalog Record</v>
      </c>
      <c r="AT216" s="6" t="str">
        <f>HYPERLINK("http://www.worldcat.org/oclc/11448789","WorldCat Record")</f>
        <v>WorldCat Record</v>
      </c>
      <c r="AU216" s="3" t="s">
        <v>2841</v>
      </c>
      <c r="AV216" s="3" t="s">
        <v>2842</v>
      </c>
      <c r="AW216" s="3" t="s">
        <v>2843</v>
      </c>
      <c r="AX216" s="3" t="s">
        <v>2843</v>
      </c>
      <c r="AY216" s="3" t="s">
        <v>2844</v>
      </c>
      <c r="AZ216" s="3" t="s">
        <v>75</v>
      </c>
      <c r="BB216" s="3" t="s">
        <v>2845</v>
      </c>
      <c r="BC216" s="3" t="s">
        <v>2846</v>
      </c>
      <c r="BD216" s="3" t="s">
        <v>2847</v>
      </c>
    </row>
    <row r="217" spans="1:56" ht="48" customHeight="1" x14ac:dyDescent="0.25">
      <c r="A217" s="7" t="s">
        <v>59</v>
      </c>
      <c r="B217" s="2" t="s">
        <v>2848</v>
      </c>
      <c r="C217" s="2" t="s">
        <v>2849</v>
      </c>
      <c r="D217" s="2" t="s">
        <v>2850</v>
      </c>
      <c r="F217" s="3" t="s">
        <v>59</v>
      </c>
      <c r="G217" s="3" t="s">
        <v>60</v>
      </c>
      <c r="H217" s="3" t="s">
        <v>70</v>
      </c>
      <c r="I217" s="3" t="s">
        <v>59</v>
      </c>
      <c r="J217" s="3" t="s">
        <v>61</v>
      </c>
      <c r="K217" s="2" t="s">
        <v>2851</v>
      </c>
      <c r="L217" s="2" t="s">
        <v>2852</v>
      </c>
      <c r="M217" s="3" t="s">
        <v>925</v>
      </c>
      <c r="O217" s="3" t="s">
        <v>64</v>
      </c>
      <c r="P217" s="3" t="s">
        <v>674</v>
      </c>
      <c r="R217" s="3" t="s">
        <v>67</v>
      </c>
      <c r="S217" s="4">
        <v>2</v>
      </c>
      <c r="T217" s="4">
        <v>12</v>
      </c>
      <c r="U217" s="5" t="s">
        <v>177</v>
      </c>
      <c r="V217" s="5" t="s">
        <v>177</v>
      </c>
      <c r="W217" s="5" t="s">
        <v>2853</v>
      </c>
      <c r="X217" s="5" t="s">
        <v>2853</v>
      </c>
      <c r="Y217" s="4">
        <v>587</v>
      </c>
      <c r="Z217" s="4">
        <v>430</v>
      </c>
      <c r="AA217" s="4">
        <v>568</v>
      </c>
      <c r="AB217" s="4">
        <v>4</v>
      </c>
      <c r="AC217" s="4">
        <v>6</v>
      </c>
      <c r="AD217" s="4">
        <v>17</v>
      </c>
      <c r="AE217" s="4">
        <v>20</v>
      </c>
      <c r="AF217" s="4">
        <v>10</v>
      </c>
      <c r="AG217" s="4">
        <v>11</v>
      </c>
      <c r="AH217" s="4">
        <v>3</v>
      </c>
      <c r="AI217" s="4">
        <v>3</v>
      </c>
      <c r="AJ217" s="4">
        <v>7</v>
      </c>
      <c r="AK217" s="4">
        <v>7</v>
      </c>
      <c r="AL217" s="4">
        <v>2</v>
      </c>
      <c r="AM217" s="4">
        <v>4</v>
      </c>
      <c r="AN217" s="4">
        <v>0</v>
      </c>
      <c r="AO217" s="4">
        <v>0</v>
      </c>
      <c r="AP217" s="3" t="s">
        <v>59</v>
      </c>
      <c r="AQ217" s="3" t="s">
        <v>59</v>
      </c>
      <c r="AS217" s="6" t="str">
        <f>HYPERLINK("https://creighton-primo.hosted.exlibrisgroup.com/primo-explore/search?tab=default_tab&amp;search_scope=EVERYTHING&amp;vid=01CRU&amp;lang=en_US&amp;offset=0&amp;query=any,contains,991001806749702656","Catalog Record")</f>
        <v>Catalog Record</v>
      </c>
      <c r="AT217" s="6" t="str">
        <f>HYPERLINK("http://www.worldcat.org/oclc/36521099","WorldCat Record")</f>
        <v>WorldCat Record</v>
      </c>
      <c r="AU217" s="3" t="s">
        <v>2854</v>
      </c>
      <c r="AV217" s="3" t="s">
        <v>2855</v>
      </c>
      <c r="AW217" s="3" t="s">
        <v>2856</v>
      </c>
      <c r="AX217" s="3" t="s">
        <v>2856</v>
      </c>
      <c r="AY217" s="3" t="s">
        <v>2857</v>
      </c>
      <c r="AZ217" s="3" t="s">
        <v>75</v>
      </c>
      <c r="BB217" s="3" t="s">
        <v>2858</v>
      </c>
      <c r="BC217" s="3" t="s">
        <v>2859</v>
      </c>
      <c r="BD217" s="3" t="s">
        <v>2860</v>
      </c>
    </row>
    <row r="218" spans="1:56" ht="48" customHeight="1" x14ac:dyDescent="0.25">
      <c r="A218" s="7" t="s">
        <v>59</v>
      </c>
      <c r="B218" s="2" t="s">
        <v>2861</v>
      </c>
      <c r="C218" s="2" t="s">
        <v>2862</v>
      </c>
      <c r="D218" s="2" t="s">
        <v>2863</v>
      </c>
      <c r="F218" s="3" t="s">
        <v>59</v>
      </c>
      <c r="G218" s="3" t="s">
        <v>60</v>
      </c>
      <c r="H218" s="3" t="s">
        <v>70</v>
      </c>
      <c r="I218" s="3" t="s">
        <v>59</v>
      </c>
      <c r="J218" s="3" t="s">
        <v>61</v>
      </c>
      <c r="K218" s="2" t="s">
        <v>2864</v>
      </c>
      <c r="L218" s="2" t="s">
        <v>2865</v>
      </c>
      <c r="M218" s="3" t="s">
        <v>113</v>
      </c>
      <c r="N218" s="2" t="s">
        <v>731</v>
      </c>
      <c r="O218" s="3" t="s">
        <v>64</v>
      </c>
      <c r="P218" s="3" t="s">
        <v>130</v>
      </c>
      <c r="R218" s="3" t="s">
        <v>67</v>
      </c>
      <c r="S218" s="4">
        <v>2</v>
      </c>
      <c r="T218" s="4">
        <v>6</v>
      </c>
      <c r="V218" s="5" t="s">
        <v>2866</v>
      </c>
      <c r="W218" s="5" t="s">
        <v>2867</v>
      </c>
      <c r="X218" s="5" t="s">
        <v>2867</v>
      </c>
      <c r="Y218" s="4">
        <v>413</v>
      </c>
      <c r="Z218" s="4">
        <v>401</v>
      </c>
      <c r="AA218" s="4">
        <v>403</v>
      </c>
      <c r="AB218" s="4">
        <v>4</v>
      </c>
      <c r="AC218" s="4">
        <v>4</v>
      </c>
      <c r="AD218" s="4">
        <v>22</v>
      </c>
      <c r="AE218" s="4">
        <v>22</v>
      </c>
      <c r="AF218" s="4">
        <v>8</v>
      </c>
      <c r="AG218" s="4">
        <v>8</v>
      </c>
      <c r="AH218" s="4">
        <v>8</v>
      </c>
      <c r="AI218" s="4">
        <v>8</v>
      </c>
      <c r="AJ218" s="4">
        <v>12</v>
      </c>
      <c r="AK218" s="4">
        <v>12</v>
      </c>
      <c r="AL218" s="4">
        <v>2</v>
      </c>
      <c r="AM218" s="4">
        <v>2</v>
      </c>
      <c r="AN218" s="4">
        <v>0</v>
      </c>
      <c r="AO218" s="4">
        <v>0</v>
      </c>
      <c r="AP218" s="3" t="s">
        <v>59</v>
      </c>
      <c r="AQ218" s="3" t="s">
        <v>70</v>
      </c>
      <c r="AR218" s="6" t="str">
        <f>HYPERLINK("http://catalog.hathitrust.org/Record/002209917","HathiTrust Record")</f>
        <v>HathiTrust Record</v>
      </c>
      <c r="AS218" s="6" t="str">
        <f>HYPERLINK("https://creighton-primo.hosted.exlibrisgroup.com/primo-explore/search?tab=default_tab&amp;search_scope=EVERYTHING&amp;vid=01CRU&amp;lang=en_US&amp;offset=0&amp;query=any,contains,991001786219702656","Catalog Record")</f>
        <v>Catalog Record</v>
      </c>
      <c r="AT218" s="6" t="str">
        <f>HYPERLINK("http://www.worldcat.org/oclc/16964653","WorldCat Record")</f>
        <v>WorldCat Record</v>
      </c>
      <c r="AU218" s="3" t="s">
        <v>2868</v>
      </c>
      <c r="AV218" s="3" t="s">
        <v>2869</v>
      </c>
      <c r="AW218" s="3" t="s">
        <v>2870</v>
      </c>
      <c r="AX218" s="3" t="s">
        <v>2870</v>
      </c>
      <c r="AY218" s="3" t="s">
        <v>2871</v>
      </c>
      <c r="AZ218" s="3" t="s">
        <v>75</v>
      </c>
      <c r="BB218" s="3" t="s">
        <v>2872</v>
      </c>
      <c r="BC218" s="3" t="s">
        <v>2873</v>
      </c>
      <c r="BD218" s="3" t="s">
        <v>2874</v>
      </c>
    </row>
    <row r="219" spans="1:56" ht="48" customHeight="1" x14ac:dyDescent="0.25">
      <c r="A219" s="7" t="s">
        <v>59</v>
      </c>
      <c r="B219" s="2" t="s">
        <v>2875</v>
      </c>
      <c r="C219" s="2" t="s">
        <v>2876</v>
      </c>
      <c r="D219" s="2" t="s">
        <v>2877</v>
      </c>
      <c r="F219" s="3" t="s">
        <v>59</v>
      </c>
      <c r="G219" s="3" t="s">
        <v>60</v>
      </c>
      <c r="H219" s="3" t="s">
        <v>59</v>
      </c>
      <c r="I219" s="3" t="s">
        <v>59</v>
      </c>
      <c r="J219" s="3" t="s">
        <v>61</v>
      </c>
      <c r="K219" s="2" t="s">
        <v>2878</v>
      </c>
      <c r="L219" s="2" t="s">
        <v>2879</v>
      </c>
      <c r="M219" s="3" t="s">
        <v>443</v>
      </c>
      <c r="O219" s="3" t="s">
        <v>64</v>
      </c>
      <c r="P219" s="3" t="s">
        <v>130</v>
      </c>
      <c r="Q219" s="2" t="s">
        <v>2880</v>
      </c>
      <c r="R219" s="3" t="s">
        <v>67</v>
      </c>
      <c r="S219" s="4">
        <v>9</v>
      </c>
      <c r="T219" s="4">
        <v>9</v>
      </c>
      <c r="U219" s="5" t="s">
        <v>2881</v>
      </c>
      <c r="V219" s="5" t="s">
        <v>2881</v>
      </c>
      <c r="W219" s="5" t="s">
        <v>1833</v>
      </c>
      <c r="X219" s="5" t="s">
        <v>1833</v>
      </c>
      <c r="Y219" s="4">
        <v>429</v>
      </c>
      <c r="Z219" s="4">
        <v>323</v>
      </c>
      <c r="AA219" s="4">
        <v>872</v>
      </c>
      <c r="AB219" s="4">
        <v>2</v>
      </c>
      <c r="AC219" s="4">
        <v>6</v>
      </c>
      <c r="AD219" s="4">
        <v>9</v>
      </c>
      <c r="AE219" s="4">
        <v>30</v>
      </c>
      <c r="AF219" s="4">
        <v>3</v>
      </c>
      <c r="AG219" s="4">
        <v>14</v>
      </c>
      <c r="AH219" s="4">
        <v>2</v>
      </c>
      <c r="AI219" s="4">
        <v>7</v>
      </c>
      <c r="AJ219" s="4">
        <v>5</v>
      </c>
      <c r="AK219" s="4">
        <v>14</v>
      </c>
      <c r="AL219" s="4">
        <v>1</v>
      </c>
      <c r="AM219" s="4">
        <v>4</v>
      </c>
      <c r="AN219" s="4">
        <v>0</v>
      </c>
      <c r="AO219" s="4">
        <v>0</v>
      </c>
      <c r="AP219" s="3" t="s">
        <v>59</v>
      </c>
      <c r="AQ219" s="3" t="s">
        <v>70</v>
      </c>
      <c r="AR219" s="6" t="str">
        <f>HYPERLINK("http://catalog.hathitrust.org/Record/001554397","HathiTrust Record")</f>
        <v>HathiTrust Record</v>
      </c>
      <c r="AS219" s="6" t="str">
        <f>HYPERLINK("https://creighton-primo.hosted.exlibrisgroup.com/primo-explore/search?tab=default_tab&amp;search_scope=EVERYTHING&amp;vid=01CRU&amp;lang=en_US&amp;offset=0&amp;query=any,contains,991003016129702656","Catalog Record")</f>
        <v>Catalog Record</v>
      </c>
      <c r="AT219" s="6" t="str">
        <f>HYPERLINK("http://www.worldcat.org/oclc/581035","WorldCat Record")</f>
        <v>WorldCat Record</v>
      </c>
      <c r="AU219" s="3" t="s">
        <v>2882</v>
      </c>
      <c r="AV219" s="3" t="s">
        <v>2883</v>
      </c>
      <c r="AW219" s="3" t="s">
        <v>2884</v>
      </c>
      <c r="AX219" s="3" t="s">
        <v>2884</v>
      </c>
      <c r="AY219" s="3" t="s">
        <v>2885</v>
      </c>
      <c r="AZ219" s="3" t="s">
        <v>75</v>
      </c>
      <c r="BB219" s="3" t="s">
        <v>2886</v>
      </c>
      <c r="BC219" s="3" t="s">
        <v>2887</v>
      </c>
      <c r="BD219" s="3" t="s">
        <v>2888</v>
      </c>
    </row>
    <row r="220" spans="1:56" ht="48" customHeight="1" x14ac:dyDescent="0.25">
      <c r="A220" s="7" t="s">
        <v>59</v>
      </c>
      <c r="B220" s="2" t="s">
        <v>2889</v>
      </c>
      <c r="C220" s="2" t="s">
        <v>2890</v>
      </c>
      <c r="D220" s="2" t="s">
        <v>2891</v>
      </c>
      <c r="F220" s="3" t="s">
        <v>59</v>
      </c>
      <c r="G220" s="3" t="s">
        <v>60</v>
      </c>
      <c r="H220" s="3" t="s">
        <v>59</v>
      </c>
      <c r="I220" s="3" t="s">
        <v>59</v>
      </c>
      <c r="J220" s="3" t="s">
        <v>61</v>
      </c>
      <c r="K220" s="2" t="s">
        <v>2892</v>
      </c>
      <c r="L220" s="2" t="s">
        <v>2893</v>
      </c>
      <c r="M220" s="3" t="s">
        <v>2894</v>
      </c>
      <c r="N220" s="2" t="s">
        <v>2895</v>
      </c>
      <c r="O220" s="3" t="s">
        <v>64</v>
      </c>
      <c r="P220" s="3" t="s">
        <v>130</v>
      </c>
      <c r="Q220" s="2" t="s">
        <v>2896</v>
      </c>
      <c r="R220" s="3" t="s">
        <v>67</v>
      </c>
      <c r="S220" s="4">
        <v>16</v>
      </c>
      <c r="T220" s="4">
        <v>16</v>
      </c>
      <c r="U220" s="5" t="s">
        <v>2897</v>
      </c>
      <c r="V220" s="5" t="s">
        <v>2897</v>
      </c>
      <c r="W220" s="5" t="s">
        <v>2898</v>
      </c>
      <c r="X220" s="5" t="s">
        <v>2898</v>
      </c>
      <c r="Y220" s="4">
        <v>487</v>
      </c>
      <c r="Z220" s="4">
        <v>409</v>
      </c>
      <c r="AA220" s="4">
        <v>503</v>
      </c>
      <c r="AB220" s="4">
        <v>3</v>
      </c>
      <c r="AC220" s="4">
        <v>4</v>
      </c>
      <c r="AD220" s="4">
        <v>17</v>
      </c>
      <c r="AE220" s="4">
        <v>18</v>
      </c>
      <c r="AF220" s="4">
        <v>7</v>
      </c>
      <c r="AG220" s="4">
        <v>8</v>
      </c>
      <c r="AH220" s="4">
        <v>2</v>
      </c>
      <c r="AI220" s="4">
        <v>2</v>
      </c>
      <c r="AJ220" s="4">
        <v>8</v>
      </c>
      <c r="AK220" s="4">
        <v>9</v>
      </c>
      <c r="AL220" s="4">
        <v>2</v>
      </c>
      <c r="AM220" s="4">
        <v>2</v>
      </c>
      <c r="AN220" s="4">
        <v>0</v>
      </c>
      <c r="AO220" s="4">
        <v>0</v>
      </c>
      <c r="AP220" s="3" t="s">
        <v>70</v>
      </c>
      <c r="AQ220" s="3" t="s">
        <v>59</v>
      </c>
      <c r="AR220" s="6" t="str">
        <f>HYPERLINK("http://catalog.hathitrust.org/Record/001438413","HathiTrust Record")</f>
        <v>HathiTrust Record</v>
      </c>
      <c r="AS220" s="6" t="str">
        <f>HYPERLINK("https://creighton-primo.hosted.exlibrisgroup.com/primo-explore/search?tab=default_tab&amp;search_scope=EVERYTHING&amp;vid=01CRU&amp;lang=en_US&amp;offset=0&amp;query=any,contains,991002995389702656","Catalog Record")</f>
        <v>Catalog Record</v>
      </c>
      <c r="AT220" s="6" t="str">
        <f>HYPERLINK("http://www.worldcat.org/oclc/563431","WorldCat Record")</f>
        <v>WorldCat Record</v>
      </c>
      <c r="AU220" s="3" t="s">
        <v>2899</v>
      </c>
      <c r="AV220" s="3" t="s">
        <v>2900</v>
      </c>
      <c r="AW220" s="3" t="s">
        <v>2901</v>
      </c>
      <c r="AX220" s="3" t="s">
        <v>2901</v>
      </c>
      <c r="AY220" s="3" t="s">
        <v>2902</v>
      </c>
      <c r="AZ220" s="3" t="s">
        <v>75</v>
      </c>
      <c r="BC220" s="3" t="s">
        <v>2903</v>
      </c>
      <c r="BD220" s="3" t="s">
        <v>2904</v>
      </c>
    </row>
    <row r="221" spans="1:56" ht="48" customHeight="1" x14ac:dyDescent="0.25">
      <c r="A221" s="7" t="s">
        <v>59</v>
      </c>
      <c r="B221" s="2" t="s">
        <v>2905</v>
      </c>
      <c r="C221" s="2" t="s">
        <v>2906</v>
      </c>
      <c r="D221" s="2" t="s">
        <v>2907</v>
      </c>
      <c r="F221" s="3" t="s">
        <v>59</v>
      </c>
      <c r="G221" s="3" t="s">
        <v>60</v>
      </c>
      <c r="H221" s="3" t="s">
        <v>59</v>
      </c>
      <c r="I221" s="3" t="s">
        <v>59</v>
      </c>
      <c r="J221" s="3" t="s">
        <v>61</v>
      </c>
      <c r="K221" s="2" t="s">
        <v>2908</v>
      </c>
      <c r="L221" s="2" t="s">
        <v>2909</v>
      </c>
      <c r="M221" s="3" t="s">
        <v>992</v>
      </c>
      <c r="O221" s="3" t="s">
        <v>64</v>
      </c>
      <c r="P221" s="3" t="s">
        <v>674</v>
      </c>
      <c r="R221" s="3" t="s">
        <v>67</v>
      </c>
      <c r="S221" s="4">
        <v>1</v>
      </c>
      <c r="T221" s="4">
        <v>1</v>
      </c>
      <c r="U221" s="5" t="s">
        <v>2910</v>
      </c>
      <c r="V221" s="5" t="s">
        <v>2910</v>
      </c>
      <c r="W221" s="5" t="s">
        <v>501</v>
      </c>
      <c r="X221" s="5" t="s">
        <v>501</v>
      </c>
      <c r="Y221" s="4">
        <v>577</v>
      </c>
      <c r="Z221" s="4">
        <v>457</v>
      </c>
      <c r="AA221" s="4">
        <v>566</v>
      </c>
      <c r="AB221" s="4">
        <v>4</v>
      </c>
      <c r="AC221" s="4">
        <v>4</v>
      </c>
      <c r="AD221" s="4">
        <v>20</v>
      </c>
      <c r="AE221" s="4">
        <v>20</v>
      </c>
      <c r="AF221" s="4">
        <v>7</v>
      </c>
      <c r="AG221" s="4">
        <v>7</v>
      </c>
      <c r="AH221" s="4">
        <v>4</v>
      </c>
      <c r="AI221" s="4">
        <v>4</v>
      </c>
      <c r="AJ221" s="4">
        <v>11</v>
      </c>
      <c r="AK221" s="4">
        <v>11</v>
      </c>
      <c r="AL221" s="4">
        <v>3</v>
      </c>
      <c r="AM221" s="4">
        <v>3</v>
      </c>
      <c r="AN221" s="4">
        <v>0</v>
      </c>
      <c r="AO221" s="4">
        <v>0</v>
      </c>
      <c r="AP221" s="3" t="s">
        <v>59</v>
      </c>
      <c r="AQ221" s="3" t="s">
        <v>59</v>
      </c>
      <c r="AS221" s="6" t="str">
        <f>HYPERLINK("https://creighton-primo.hosted.exlibrisgroup.com/primo-explore/search?tab=default_tab&amp;search_scope=EVERYTHING&amp;vid=01CRU&amp;lang=en_US&amp;offset=0&amp;query=any,contains,991002210569702656","Catalog Record")</f>
        <v>Catalog Record</v>
      </c>
      <c r="AT221" s="6" t="str">
        <f>HYPERLINK("http://www.worldcat.org/oclc/287831","WorldCat Record")</f>
        <v>WorldCat Record</v>
      </c>
      <c r="AU221" s="3" t="s">
        <v>2911</v>
      </c>
      <c r="AV221" s="3" t="s">
        <v>2912</v>
      </c>
      <c r="AW221" s="3" t="s">
        <v>2913</v>
      </c>
      <c r="AX221" s="3" t="s">
        <v>2913</v>
      </c>
      <c r="AY221" s="3" t="s">
        <v>2914</v>
      </c>
      <c r="AZ221" s="3" t="s">
        <v>75</v>
      </c>
      <c r="BC221" s="3" t="s">
        <v>2915</v>
      </c>
      <c r="BD221" s="3" t="s">
        <v>2916</v>
      </c>
    </row>
    <row r="222" spans="1:56" ht="48" customHeight="1" x14ac:dyDescent="0.25">
      <c r="A222" s="7" t="s">
        <v>59</v>
      </c>
      <c r="B222" s="2" t="s">
        <v>2917</v>
      </c>
      <c r="C222" s="2" t="s">
        <v>2918</v>
      </c>
      <c r="D222" s="2" t="s">
        <v>2919</v>
      </c>
      <c r="F222" s="3" t="s">
        <v>59</v>
      </c>
      <c r="G222" s="3" t="s">
        <v>60</v>
      </c>
      <c r="H222" s="3" t="s">
        <v>59</v>
      </c>
      <c r="I222" s="3" t="s">
        <v>59</v>
      </c>
      <c r="J222" s="3" t="s">
        <v>61</v>
      </c>
      <c r="K222" s="2" t="s">
        <v>2920</v>
      </c>
      <c r="L222" s="2" t="s">
        <v>2921</v>
      </c>
      <c r="M222" s="3" t="s">
        <v>872</v>
      </c>
      <c r="O222" s="3" t="s">
        <v>64</v>
      </c>
      <c r="P222" s="3" t="s">
        <v>912</v>
      </c>
      <c r="R222" s="3" t="s">
        <v>67</v>
      </c>
      <c r="S222" s="4">
        <v>3</v>
      </c>
      <c r="T222" s="4">
        <v>3</v>
      </c>
      <c r="U222" s="5" t="s">
        <v>2897</v>
      </c>
      <c r="V222" s="5" t="s">
        <v>2897</v>
      </c>
      <c r="W222" s="5" t="s">
        <v>501</v>
      </c>
      <c r="X222" s="5" t="s">
        <v>501</v>
      </c>
      <c r="Y222" s="4">
        <v>415</v>
      </c>
      <c r="Z222" s="4">
        <v>347</v>
      </c>
      <c r="AA222" s="4">
        <v>653</v>
      </c>
      <c r="AB222" s="4">
        <v>7</v>
      </c>
      <c r="AC222" s="4">
        <v>9</v>
      </c>
      <c r="AD222" s="4">
        <v>9</v>
      </c>
      <c r="AE222" s="4">
        <v>24</v>
      </c>
      <c r="AF222" s="4">
        <v>2</v>
      </c>
      <c r="AG222" s="4">
        <v>8</v>
      </c>
      <c r="AH222" s="4">
        <v>1</v>
      </c>
      <c r="AI222" s="4">
        <v>4</v>
      </c>
      <c r="AJ222" s="4">
        <v>2</v>
      </c>
      <c r="AK222" s="4">
        <v>10</v>
      </c>
      <c r="AL222" s="4">
        <v>4</v>
      </c>
      <c r="AM222" s="4">
        <v>6</v>
      </c>
      <c r="AN222" s="4">
        <v>0</v>
      </c>
      <c r="AO222" s="4">
        <v>0</v>
      </c>
      <c r="AP222" s="3" t="s">
        <v>59</v>
      </c>
      <c r="AQ222" s="3" t="s">
        <v>70</v>
      </c>
      <c r="AR222" s="6" t="str">
        <f>HYPERLINK("http://catalog.hathitrust.org/Record/000006036","HathiTrust Record")</f>
        <v>HathiTrust Record</v>
      </c>
      <c r="AS222" s="6" t="str">
        <f>HYPERLINK("https://creighton-primo.hosted.exlibrisgroup.com/primo-explore/search?tab=default_tab&amp;search_scope=EVERYTHING&amp;vid=01CRU&amp;lang=en_US&amp;offset=0&amp;query=any,contains,991005264599702656","Catalog Record")</f>
        <v>Catalog Record</v>
      </c>
      <c r="AT222" s="6" t="str">
        <f>HYPERLINK("http://www.worldcat.org/oclc/435859","WorldCat Record")</f>
        <v>WorldCat Record</v>
      </c>
      <c r="AU222" s="3" t="s">
        <v>2922</v>
      </c>
      <c r="AV222" s="3" t="s">
        <v>2923</v>
      </c>
      <c r="AW222" s="3" t="s">
        <v>2924</v>
      </c>
      <c r="AX222" s="3" t="s">
        <v>2924</v>
      </c>
      <c r="AY222" s="3" t="s">
        <v>2925</v>
      </c>
      <c r="AZ222" s="3" t="s">
        <v>75</v>
      </c>
      <c r="BC222" s="3" t="s">
        <v>2926</v>
      </c>
      <c r="BD222" s="3" t="s">
        <v>2927</v>
      </c>
    </row>
    <row r="223" spans="1:56" ht="48" customHeight="1" x14ac:dyDescent="0.25">
      <c r="A223" s="7" t="s">
        <v>59</v>
      </c>
      <c r="B223" s="2" t="s">
        <v>2928</v>
      </c>
      <c r="C223" s="2" t="s">
        <v>2929</v>
      </c>
      <c r="D223" s="2" t="s">
        <v>2930</v>
      </c>
      <c r="F223" s="3" t="s">
        <v>59</v>
      </c>
      <c r="G223" s="3" t="s">
        <v>60</v>
      </c>
      <c r="H223" s="3" t="s">
        <v>59</v>
      </c>
      <c r="I223" s="3" t="s">
        <v>59</v>
      </c>
      <c r="J223" s="3" t="s">
        <v>61</v>
      </c>
      <c r="K223" s="2" t="s">
        <v>2931</v>
      </c>
      <c r="L223" s="2" t="s">
        <v>2932</v>
      </c>
      <c r="M223" s="3" t="s">
        <v>83</v>
      </c>
      <c r="N223" s="2" t="s">
        <v>2933</v>
      </c>
      <c r="O223" s="3" t="s">
        <v>64</v>
      </c>
      <c r="P223" s="3" t="s">
        <v>84</v>
      </c>
      <c r="R223" s="3" t="s">
        <v>67</v>
      </c>
      <c r="S223" s="4">
        <v>8</v>
      </c>
      <c r="T223" s="4">
        <v>8</v>
      </c>
      <c r="U223" s="5" t="s">
        <v>2934</v>
      </c>
      <c r="V223" s="5" t="s">
        <v>2934</v>
      </c>
      <c r="W223" s="5" t="s">
        <v>2935</v>
      </c>
      <c r="X223" s="5" t="s">
        <v>2935</v>
      </c>
      <c r="Y223" s="4">
        <v>369</v>
      </c>
      <c r="Z223" s="4">
        <v>185</v>
      </c>
      <c r="AA223" s="4">
        <v>230</v>
      </c>
      <c r="AB223" s="4">
        <v>2</v>
      </c>
      <c r="AC223" s="4">
        <v>2</v>
      </c>
      <c r="AD223" s="4">
        <v>9</v>
      </c>
      <c r="AE223" s="4">
        <v>10</v>
      </c>
      <c r="AF223" s="4">
        <v>4</v>
      </c>
      <c r="AG223" s="4">
        <v>4</v>
      </c>
      <c r="AH223" s="4">
        <v>3</v>
      </c>
      <c r="AI223" s="4">
        <v>4</v>
      </c>
      <c r="AJ223" s="4">
        <v>4</v>
      </c>
      <c r="AK223" s="4">
        <v>4</v>
      </c>
      <c r="AL223" s="4">
        <v>1</v>
      </c>
      <c r="AM223" s="4">
        <v>1</v>
      </c>
      <c r="AN223" s="4">
        <v>0</v>
      </c>
      <c r="AO223" s="4">
        <v>0</v>
      </c>
      <c r="AP223" s="3" t="s">
        <v>59</v>
      </c>
      <c r="AQ223" s="3" t="s">
        <v>59</v>
      </c>
      <c r="AS223" s="6" t="str">
        <f>HYPERLINK("https://creighton-primo.hosted.exlibrisgroup.com/primo-explore/search?tab=default_tab&amp;search_scope=EVERYTHING&amp;vid=01CRU&amp;lang=en_US&amp;offset=0&amp;query=any,contains,991002860899702656","Catalog Record")</f>
        <v>Catalog Record</v>
      </c>
      <c r="AT223" s="6" t="str">
        <f>HYPERLINK("http://www.worldcat.org/oclc/37709399","WorldCat Record")</f>
        <v>WorldCat Record</v>
      </c>
      <c r="AU223" s="3" t="s">
        <v>2936</v>
      </c>
      <c r="AV223" s="3" t="s">
        <v>2937</v>
      </c>
      <c r="AW223" s="3" t="s">
        <v>2938</v>
      </c>
      <c r="AX223" s="3" t="s">
        <v>2938</v>
      </c>
      <c r="AY223" s="3" t="s">
        <v>2939</v>
      </c>
      <c r="AZ223" s="3" t="s">
        <v>75</v>
      </c>
      <c r="BB223" s="3" t="s">
        <v>2940</v>
      </c>
      <c r="BC223" s="3" t="s">
        <v>2941</v>
      </c>
      <c r="BD223" s="3" t="s">
        <v>2942</v>
      </c>
    </row>
    <row r="224" spans="1:56" ht="48" customHeight="1" x14ac:dyDescent="0.25">
      <c r="A224" s="7" t="s">
        <v>59</v>
      </c>
      <c r="B224" s="2" t="s">
        <v>2943</v>
      </c>
      <c r="C224" s="2" t="s">
        <v>2944</v>
      </c>
      <c r="D224" s="2" t="s">
        <v>2945</v>
      </c>
      <c r="F224" s="3" t="s">
        <v>59</v>
      </c>
      <c r="G224" s="3" t="s">
        <v>60</v>
      </c>
      <c r="H224" s="3" t="s">
        <v>59</v>
      </c>
      <c r="I224" s="3" t="s">
        <v>59</v>
      </c>
      <c r="J224" s="3" t="s">
        <v>61</v>
      </c>
      <c r="K224" s="2" t="s">
        <v>2946</v>
      </c>
      <c r="L224" s="2" t="s">
        <v>2947</v>
      </c>
      <c r="M224" s="3" t="s">
        <v>872</v>
      </c>
      <c r="O224" s="3" t="s">
        <v>64</v>
      </c>
      <c r="P224" s="3" t="s">
        <v>661</v>
      </c>
      <c r="Q224" s="2" t="s">
        <v>2948</v>
      </c>
      <c r="R224" s="3" t="s">
        <v>67</v>
      </c>
      <c r="S224" s="4">
        <v>3</v>
      </c>
      <c r="T224" s="4">
        <v>3</v>
      </c>
      <c r="U224" s="5" t="s">
        <v>2949</v>
      </c>
      <c r="V224" s="5" t="s">
        <v>2949</v>
      </c>
      <c r="W224" s="5" t="s">
        <v>2950</v>
      </c>
      <c r="X224" s="5" t="s">
        <v>2950</v>
      </c>
      <c r="Y224" s="4">
        <v>260</v>
      </c>
      <c r="Z224" s="4">
        <v>226</v>
      </c>
      <c r="AA224" s="4">
        <v>276</v>
      </c>
      <c r="AB224" s="4">
        <v>5</v>
      </c>
      <c r="AC224" s="4">
        <v>5</v>
      </c>
      <c r="AD224" s="4">
        <v>10</v>
      </c>
      <c r="AE224" s="4">
        <v>11</v>
      </c>
      <c r="AF224" s="4">
        <v>3</v>
      </c>
      <c r="AG224" s="4">
        <v>4</v>
      </c>
      <c r="AH224" s="4">
        <v>1</v>
      </c>
      <c r="AI224" s="4">
        <v>1</v>
      </c>
      <c r="AJ224" s="4">
        <v>4</v>
      </c>
      <c r="AK224" s="4">
        <v>5</v>
      </c>
      <c r="AL224" s="4">
        <v>4</v>
      </c>
      <c r="AM224" s="4">
        <v>4</v>
      </c>
      <c r="AN224" s="4">
        <v>0</v>
      </c>
      <c r="AO224" s="4">
        <v>0</v>
      </c>
      <c r="AP224" s="3" t="s">
        <v>59</v>
      </c>
      <c r="AQ224" s="3" t="s">
        <v>59</v>
      </c>
      <c r="AS224" s="6" t="str">
        <f>HYPERLINK("https://creighton-primo.hosted.exlibrisgroup.com/primo-explore/search?tab=default_tab&amp;search_scope=EVERYTHING&amp;vid=01CRU&amp;lang=en_US&amp;offset=0&amp;query=any,contains,991002783379702656","Catalog Record")</f>
        <v>Catalog Record</v>
      </c>
      <c r="AT224" s="6" t="str">
        <f>HYPERLINK("http://www.worldcat.org/oclc/440983","WorldCat Record")</f>
        <v>WorldCat Record</v>
      </c>
      <c r="AU224" s="3" t="s">
        <v>2951</v>
      </c>
      <c r="AV224" s="3" t="s">
        <v>2952</v>
      </c>
      <c r="AW224" s="3" t="s">
        <v>2953</v>
      </c>
      <c r="AX224" s="3" t="s">
        <v>2953</v>
      </c>
      <c r="AY224" s="3" t="s">
        <v>2954</v>
      </c>
      <c r="AZ224" s="3" t="s">
        <v>75</v>
      </c>
      <c r="BC224" s="3" t="s">
        <v>2955</v>
      </c>
      <c r="BD224" s="3" t="s">
        <v>2956</v>
      </c>
    </row>
    <row r="225" spans="1:56" ht="48" customHeight="1" x14ac:dyDescent="0.25">
      <c r="A225" s="7" t="s">
        <v>59</v>
      </c>
      <c r="B225" s="2" t="s">
        <v>2957</v>
      </c>
      <c r="C225" s="2" t="s">
        <v>2958</v>
      </c>
      <c r="D225" s="2" t="s">
        <v>2959</v>
      </c>
      <c r="F225" s="3" t="s">
        <v>59</v>
      </c>
      <c r="G225" s="3" t="s">
        <v>60</v>
      </c>
      <c r="H225" s="3" t="s">
        <v>59</v>
      </c>
      <c r="I225" s="3" t="s">
        <v>70</v>
      </c>
      <c r="J225" s="3" t="s">
        <v>61</v>
      </c>
      <c r="K225" s="2" t="s">
        <v>2960</v>
      </c>
      <c r="L225" s="2" t="s">
        <v>2961</v>
      </c>
      <c r="M225" s="3" t="s">
        <v>2962</v>
      </c>
      <c r="N225" s="2" t="s">
        <v>1945</v>
      </c>
      <c r="O225" s="3" t="s">
        <v>64</v>
      </c>
      <c r="P225" s="3" t="s">
        <v>115</v>
      </c>
      <c r="R225" s="3" t="s">
        <v>67</v>
      </c>
      <c r="S225" s="4">
        <v>5</v>
      </c>
      <c r="T225" s="4">
        <v>5</v>
      </c>
      <c r="U225" s="5" t="s">
        <v>68</v>
      </c>
      <c r="V225" s="5" t="s">
        <v>68</v>
      </c>
      <c r="W225" s="5" t="s">
        <v>2484</v>
      </c>
      <c r="X225" s="5" t="s">
        <v>2484</v>
      </c>
      <c r="Y225" s="4">
        <v>662</v>
      </c>
      <c r="Z225" s="4">
        <v>531</v>
      </c>
      <c r="AA225" s="4">
        <v>1010</v>
      </c>
      <c r="AB225" s="4">
        <v>4</v>
      </c>
      <c r="AC225" s="4">
        <v>8</v>
      </c>
      <c r="AD225" s="4">
        <v>21</v>
      </c>
      <c r="AE225" s="4">
        <v>38</v>
      </c>
      <c r="AF225" s="4">
        <v>10</v>
      </c>
      <c r="AG225" s="4">
        <v>13</v>
      </c>
      <c r="AH225" s="4">
        <v>4</v>
      </c>
      <c r="AI225" s="4">
        <v>8</v>
      </c>
      <c r="AJ225" s="4">
        <v>10</v>
      </c>
      <c r="AK225" s="4">
        <v>20</v>
      </c>
      <c r="AL225" s="4">
        <v>3</v>
      </c>
      <c r="AM225" s="4">
        <v>7</v>
      </c>
      <c r="AN225" s="4">
        <v>0</v>
      </c>
      <c r="AO225" s="4">
        <v>0</v>
      </c>
      <c r="AP225" s="3" t="s">
        <v>59</v>
      </c>
      <c r="AQ225" s="3" t="s">
        <v>70</v>
      </c>
      <c r="AR225" s="6" t="str">
        <f>HYPERLINK("http://catalog.hathitrust.org/Record/001553192","HathiTrust Record")</f>
        <v>HathiTrust Record</v>
      </c>
      <c r="AS225" s="6" t="str">
        <f>HYPERLINK("https://creighton-primo.hosted.exlibrisgroup.com/primo-explore/search?tab=default_tab&amp;search_scope=EVERYTHING&amp;vid=01CRU&amp;lang=en_US&amp;offset=0&amp;query=any,contains,991005254219702656","Catalog Record")</f>
        <v>Catalog Record</v>
      </c>
      <c r="AT225" s="6" t="str">
        <f>HYPERLINK("http://www.worldcat.org/oclc/557029","WorldCat Record")</f>
        <v>WorldCat Record</v>
      </c>
      <c r="AU225" s="3" t="s">
        <v>2963</v>
      </c>
      <c r="AV225" s="3" t="s">
        <v>2964</v>
      </c>
      <c r="AW225" s="3" t="s">
        <v>2965</v>
      </c>
      <c r="AX225" s="3" t="s">
        <v>2965</v>
      </c>
      <c r="AY225" s="3" t="s">
        <v>2966</v>
      </c>
      <c r="AZ225" s="3" t="s">
        <v>75</v>
      </c>
      <c r="BC225" s="3" t="s">
        <v>2967</v>
      </c>
      <c r="BD225" s="3" t="s">
        <v>2968</v>
      </c>
    </row>
    <row r="226" spans="1:56" ht="48" customHeight="1" x14ac:dyDescent="0.25">
      <c r="A226" s="7" t="s">
        <v>59</v>
      </c>
      <c r="B226" s="2" t="s">
        <v>2969</v>
      </c>
      <c r="C226" s="2" t="s">
        <v>2970</v>
      </c>
      <c r="D226" s="2" t="s">
        <v>2971</v>
      </c>
      <c r="F226" s="3" t="s">
        <v>59</v>
      </c>
      <c r="G226" s="3" t="s">
        <v>60</v>
      </c>
      <c r="H226" s="3" t="s">
        <v>59</v>
      </c>
      <c r="I226" s="3" t="s">
        <v>59</v>
      </c>
      <c r="J226" s="3" t="s">
        <v>61</v>
      </c>
      <c r="K226" s="2" t="s">
        <v>2972</v>
      </c>
      <c r="L226" s="2" t="s">
        <v>2973</v>
      </c>
      <c r="M226" s="3" t="s">
        <v>161</v>
      </c>
      <c r="N226" s="2" t="s">
        <v>1945</v>
      </c>
      <c r="O226" s="3" t="s">
        <v>64</v>
      </c>
      <c r="P226" s="3" t="s">
        <v>84</v>
      </c>
      <c r="R226" s="3" t="s">
        <v>67</v>
      </c>
      <c r="S226" s="4">
        <v>8</v>
      </c>
      <c r="T226" s="4">
        <v>8</v>
      </c>
      <c r="U226" s="5" t="s">
        <v>2974</v>
      </c>
      <c r="V226" s="5" t="s">
        <v>2974</v>
      </c>
      <c r="W226" s="5" t="s">
        <v>2950</v>
      </c>
      <c r="X226" s="5" t="s">
        <v>2950</v>
      </c>
      <c r="Y226" s="4">
        <v>474</v>
      </c>
      <c r="Z226" s="4">
        <v>360</v>
      </c>
      <c r="AA226" s="4">
        <v>362</v>
      </c>
      <c r="AB226" s="4">
        <v>5</v>
      </c>
      <c r="AC226" s="4">
        <v>5</v>
      </c>
      <c r="AD226" s="4">
        <v>17</v>
      </c>
      <c r="AE226" s="4">
        <v>17</v>
      </c>
      <c r="AF226" s="4">
        <v>5</v>
      </c>
      <c r="AG226" s="4">
        <v>5</v>
      </c>
      <c r="AH226" s="4">
        <v>5</v>
      </c>
      <c r="AI226" s="4">
        <v>5</v>
      </c>
      <c r="AJ226" s="4">
        <v>9</v>
      </c>
      <c r="AK226" s="4">
        <v>9</v>
      </c>
      <c r="AL226" s="4">
        <v>4</v>
      </c>
      <c r="AM226" s="4">
        <v>4</v>
      </c>
      <c r="AN226" s="4">
        <v>0</v>
      </c>
      <c r="AO226" s="4">
        <v>0</v>
      </c>
      <c r="AP226" s="3" t="s">
        <v>59</v>
      </c>
      <c r="AQ226" s="3" t="s">
        <v>59</v>
      </c>
      <c r="AS226" s="6" t="str">
        <f>HYPERLINK("https://creighton-primo.hosted.exlibrisgroup.com/primo-explore/search?tab=default_tab&amp;search_scope=EVERYTHING&amp;vid=01CRU&amp;lang=en_US&amp;offset=0&amp;query=any,contains,991004893609702656","Catalog Record")</f>
        <v>Catalog Record</v>
      </c>
      <c r="AT226" s="6" t="str">
        <f>HYPERLINK("http://www.worldcat.org/oclc/5889616","WorldCat Record")</f>
        <v>WorldCat Record</v>
      </c>
      <c r="AU226" s="3" t="s">
        <v>2975</v>
      </c>
      <c r="AV226" s="3" t="s">
        <v>2976</v>
      </c>
      <c r="AW226" s="3" t="s">
        <v>2977</v>
      </c>
      <c r="AX226" s="3" t="s">
        <v>2977</v>
      </c>
      <c r="AY226" s="3" t="s">
        <v>2978</v>
      </c>
      <c r="AZ226" s="3" t="s">
        <v>75</v>
      </c>
      <c r="BB226" s="3" t="s">
        <v>2979</v>
      </c>
      <c r="BC226" s="3" t="s">
        <v>2980</v>
      </c>
      <c r="BD226" s="3" t="s">
        <v>2981</v>
      </c>
    </row>
    <row r="227" spans="1:56" ht="48" customHeight="1" x14ac:dyDescent="0.25">
      <c r="A227" s="7" t="s">
        <v>59</v>
      </c>
      <c r="B227" s="2" t="s">
        <v>2982</v>
      </c>
      <c r="C227" s="2" t="s">
        <v>2983</v>
      </c>
      <c r="D227" s="2" t="s">
        <v>2984</v>
      </c>
      <c r="F227" s="3" t="s">
        <v>59</v>
      </c>
      <c r="G227" s="3" t="s">
        <v>60</v>
      </c>
      <c r="H227" s="3" t="s">
        <v>59</v>
      </c>
      <c r="I227" s="3" t="s">
        <v>70</v>
      </c>
      <c r="J227" s="3" t="s">
        <v>61</v>
      </c>
      <c r="K227" s="2" t="s">
        <v>2960</v>
      </c>
      <c r="L227" s="2" t="s">
        <v>2985</v>
      </c>
      <c r="M227" s="3" t="s">
        <v>443</v>
      </c>
      <c r="N227" s="2" t="s">
        <v>2577</v>
      </c>
      <c r="O227" s="3" t="s">
        <v>64</v>
      </c>
      <c r="P227" s="3" t="s">
        <v>115</v>
      </c>
      <c r="R227" s="3" t="s">
        <v>67</v>
      </c>
      <c r="S227" s="4">
        <v>8</v>
      </c>
      <c r="T227" s="4">
        <v>8</v>
      </c>
      <c r="U227" s="5" t="s">
        <v>1381</v>
      </c>
      <c r="V227" s="5" t="s">
        <v>1381</v>
      </c>
      <c r="W227" s="5" t="s">
        <v>2986</v>
      </c>
      <c r="X227" s="5" t="s">
        <v>2986</v>
      </c>
      <c r="Y227" s="4">
        <v>687</v>
      </c>
      <c r="Z227" s="4">
        <v>529</v>
      </c>
      <c r="AA227" s="4">
        <v>1010</v>
      </c>
      <c r="AB227" s="4">
        <v>5</v>
      </c>
      <c r="AC227" s="4">
        <v>8</v>
      </c>
      <c r="AD227" s="4">
        <v>19</v>
      </c>
      <c r="AE227" s="4">
        <v>38</v>
      </c>
      <c r="AF227" s="4">
        <v>4</v>
      </c>
      <c r="AG227" s="4">
        <v>13</v>
      </c>
      <c r="AH227" s="4">
        <v>3</v>
      </c>
      <c r="AI227" s="4">
        <v>8</v>
      </c>
      <c r="AJ227" s="4">
        <v>11</v>
      </c>
      <c r="AK227" s="4">
        <v>20</v>
      </c>
      <c r="AL227" s="4">
        <v>4</v>
      </c>
      <c r="AM227" s="4">
        <v>7</v>
      </c>
      <c r="AN227" s="4">
        <v>0</v>
      </c>
      <c r="AO227" s="4">
        <v>0</v>
      </c>
      <c r="AP227" s="3" t="s">
        <v>59</v>
      </c>
      <c r="AQ227" s="3" t="s">
        <v>70</v>
      </c>
      <c r="AR227" s="6" t="str">
        <f>HYPERLINK("http://catalog.hathitrust.org/Record/000182473","HathiTrust Record")</f>
        <v>HathiTrust Record</v>
      </c>
      <c r="AS227" s="6" t="str">
        <f>HYPERLINK("https://creighton-primo.hosted.exlibrisgroup.com/primo-explore/search?tab=default_tab&amp;search_scope=EVERYTHING&amp;vid=01CRU&amp;lang=en_US&amp;offset=0&amp;query=any,contains,991003195679702656","Catalog Record")</f>
        <v>Catalog Record</v>
      </c>
      <c r="AT227" s="6" t="str">
        <f>HYPERLINK("http://www.worldcat.org/oclc/721059","WorldCat Record")</f>
        <v>WorldCat Record</v>
      </c>
      <c r="AU227" s="3" t="s">
        <v>2963</v>
      </c>
      <c r="AV227" s="3" t="s">
        <v>2987</v>
      </c>
      <c r="AW227" s="3" t="s">
        <v>2988</v>
      </c>
      <c r="AX227" s="3" t="s">
        <v>2988</v>
      </c>
      <c r="AY227" s="3" t="s">
        <v>2989</v>
      </c>
      <c r="AZ227" s="3" t="s">
        <v>75</v>
      </c>
      <c r="BB227" s="3" t="s">
        <v>2990</v>
      </c>
      <c r="BC227" s="3" t="s">
        <v>2991</v>
      </c>
      <c r="BD227" s="3" t="s">
        <v>2992</v>
      </c>
    </row>
    <row r="228" spans="1:56" ht="48" customHeight="1" x14ac:dyDescent="0.25">
      <c r="A228" s="7" t="s">
        <v>59</v>
      </c>
      <c r="B228" s="2" t="s">
        <v>2993</v>
      </c>
      <c r="C228" s="2" t="s">
        <v>2994</v>
      </c>
      <c r="D228" s="2" t="s">
        <v>2995</v>
      </c>
      <c r="F228" s="3" t="s">
        <v>59</v>
      </c>
      <c r="G228" s="3" t="s">
        <v>60</v>
      </c>
      <c r="H228" s="3" t="s">
        <v>59</v>
      </c>
      <c r="I228" s="3" t="s">
        <v>59</v>
      </c>
      <c r="J228" s="3" t="s">
        <v>61</v>
      </c>
      <c r="K228" s="2" t="s">
        <v>2996</v>
      </c>
      <c r="L228" s="2" t="s">
        <v>2997</v>
      </c>
      <c r="M228" s="3" t="s">
        <v>83</v>
      </c>
      <c r="N228" s="2" t="s">
        <v>2003</v>
      </c>
      <c r="O228" s="3" t="s">
        <v>64</v>
      </c>
      <c r="P228" s="3" t="s">
        <v>130</v>
      </c>
      <c r="R228" s="3" t="s">
        <v>67</v>
      </c>
      <c r="S228" s="4">
        <v>25</v>
      </c>
      <c r="T228" s="4">
        <v>25</v>
      </c>
      <c r="U228" s="5" t="s">
        <v>2998</v>
      </c>
      <c r="V228" s="5" t="s">
        <v>2998</v>
      </c>
      <c r="W228" s="5" t="s">
        <v>2999</v>
      </c>
      <c r="X228" s="5" t="s">
        <v>2999</v>
      </c>
      <c r="Y228" s="4">
        <v>295</v>
      </c>
      <c r="Z228" s="4">
        <v>163</v>
      </c>
      <c r="AA228" s="4">
        <v>282</v>
      </c>
      <c r="AB228" s="4">
        <v>2</v>
      </c>
      <c r="AC228" s="4">
        <v>2</v>
      </c>
      <c r="AD228" s="4">
        <v>6</v>
      </c>
      <c r="AE228" s="4">
        <v>11</v>
      </c>
      <c r="AF228" s="4">
        <v>3</v>
      </c>
      <c r="AG228" s="4">
        <v>7</v>
      </c>
      <c r="AH228" s="4">
        <v>1</v>
      </c>
      <c r="AI228" s="4">
        <v>2</v>
      </c>
      <c r="AJ228" s="4">
        <v>3</v>
      </c>
      <c r="AK228" s="4">
        <v>4</v>
      </c>
      <c r="AL228" s="4">
        <v>1</v>
      </c>
      <c r="AM228" s="4">
        <v>1</v>
      </c>
      <c r="AN228" s="4">
        <v>0</v>
      </c>
      <c r="AO228" s="4">
        <v>0</v>
      </c>
      <c r="AP228" s="3" t="s">
        <v>59</v>
      </c>
      <c r="AQ228" s="3" t="s">
        <v>59</v>
      </c>
      <c r="AS228" s="6" t="str">
        <f>HYPERLINK("https://creighton-primo.hosted.exlibrisgroup.com/primo-explore/search?tab=default_tab&amp;search_scope=EVERYTHING&amp;vid=01CRU&amp;lang=en_US&amp;offset=0&amp;query=any,contains,991002685669702656","Catalog Record")</f>
        <v>Catalog Record</v>
      </c>
      <c r="AT228" s="6" t="str">
        <f>HYPERLINK("http://www.worldcat.org/oclc/35086180","WorldCat Record")</f>
        <v>WorldCat Record</v>
      </c>
      <c r="AU228" s="3" t="s">
        <v>3000</v>
      </c>
      <c r="AV228" s="3" t="s">
        <v>3001</v>
      </c>
      <c r="AW228" s="3" t="s">
        <v>3002</v>
      </c>
      <c r="AX228" s="3" t="s">
        <v>3002</v>
      </c>
      <c r="AY228" s="3" t="s">
        <v>3003</v>
      </c>
      <c r="AZ228" s="3" t="s">
        <v>75</v>
      </c>
      <c r="BB228" s="3" t="s">
        <v>3004</v>
      </c>
      <c r="BC228" s="3" t="s">
        <v>3005</v>
      </c>
      <c r="BD228" s="3" t="s">
        <v>3006</v>
      </c>
    </row>
    <row r="229" spans="1:56" ht="48" customHeight="1" x14ac:dyDescent="0.25">
      <c r="A229" s="7" t="s">
        <v>59</v>
      </c>
      <c r="B229" s="2" t="s">
        <v>3007</v>
      </c>
      <c r="C229" s="2" t="s">
        <v>3008</v>
      </c>
      <c r="D229" s="2" t="s">
        <v>3009</v>
      </c>
      <c r="F229" s="3" t="s">
        <v>59</v>
      </c>
      <c r="G229" s="3" t="s">
        <v>60</v>
      </c>
      <c r="H229" s="3" t="s">
        <v>59</v>
      </c>
      <c r="I229" s="3" t="s">
        <v>70</v>
      </c>
      <c r="J229" s="3" t="s">
        <v>61</v>
      </c>
      <c r="K229" s="2" t="s">
        <v>3010</v>
      </c>
      <c r="L229" s="2" t="s">
        <v>3011</v>
      </c>
      <c r="M229" s="3" t="s">
        <v>500</v>
      </c>
      <c r="N229" s="2" t="s">
        <v>2577</v>
      </c>
      <c r="O229" s="3" t="s">
        <v>64</v>
      </c>
      <c r="P229" s="3" t="s">
        <v>912</v>
      </c>
      <c r="Q229" s="2" t="s">
        <v>3012</v>
      </c>
      <c r="R229" s="3" t="s">
        <v>67</v>
      </c>
      <c r="S229" s="4">
        <v>8</v>
      </c>
      <c r="T229" s="4">
        <v>8</v>
      </c>
      <c r="U229" s="5" t="s">
        <v>3013</v>
      </c>
      <c r="V229" s="5" t="s">
        <v>3013</v>
      </c>
      <c r="W229" s="5" t="s">
        <v>2484</v>
      </c>
      <c r="X229" s="5" t="s">
        <v>2484</v>
      </c>
      <c r="Y229" s="4">
        <v>501</v>
      </c>
      <c r="Z229" s="4">
        <v>377</v>
      </c>
      <c r="AA229" s="4">
        <v>1479</v>
      </c>
      <c r="AB229" s="4">
        <v>3</v>
      </c>
      <c r="AC229" s="4">
        <v>11</v>
      </c>
      <c r="AD229" s="4">
        <v>10</v>
      </c>
      <c r="AE229" s="4">
        <v>48</v>
      </c>
      <c r="AF229" s="4">
        <v>5</v>
      </c>
      <c r="AG229" s="4">
        <v>21</v>
      </c>
      <c r="AH229" s="4">
        <v>2</v>
      </c>
      <c r="AI229" s="4">
        <v>7</v>
      </c>
      <c r="AJ229" s="4">
        <v>4</v>
      </c>
      <c r="AK229" s="4">
        <v>24</v>
      </c>
      <c r="AL229" s="4">
        <v>2</v>
      </c>
      <c r="AM229" s="4">
        <v>8</v>
      </c>
      <c r="AN229" s="4">
        <v>0</v>
      </c>
      <c r="AO229" s="4">
        <v>0</v>
      </c>
      <c r="AP229" s="3" t="s">
        <v>59</v>
      </c>
      <c r="AQ229" s="3" t="s">
        <v>70</v>
      </c>
      <c r="AR229" s="6" t="str">
        <f>HYPERLINK("http://catalog.hathitrust.org/Record/004416151","HathiTrust Record")</f>
        <v>HathiTrust Record</v>
      </c>
      <c r="AS229" s="6" t="str">
        <f>HYPERLINK("https://creighton-primo.hosted.exlibrisgroup.com/primo-explore/search?tab=default_tab&amp;search_scope=EVERYTHING&amp;vid=01CRU&amp;lang=en_US&amp;offset=0&amp;query=any,contains,991000556699702656","Catalog Record")</f>
        <v>Catalog Record</v>
      </c>
      <c r="AT229" s="6" t="str">
        <f>HYPERLINK("http://www.worldcat.org/oclc/93217","WorldCat Record")</f>
        <v>WorldCat Record</v>
      </c>
      <c r="AU229" s="3" t="s">
        <v>3014</v>
      </c>
      <c r="AV229" s="3" t="s">
        <v>3015</v>
      </c>
      <c r="AW229" s="3" t="s">
        <v>3016</v>
      </c>
      <c r="AX229" s="3" t="s">
        <v>3016</v>
      </c>
      <c r="AY229" s="3" t="s">
        <v>3017</v>
      </c>
      <c r="AZ229" s="3" t="s">
        <v>75</v>
      </c>
      <c r="BB229" s="3" t="s">
        <v>3018</v>
      </c>
      <c r="BC229" s="3" t="s">
        <v>3019</v>
      </c>
      <c r="BD229" s="3" t="s">
        <v>3020</v>
      </c>
    </row>
    <row r="230" spans="1:56" ht="48" customHeight="1" x14ac:dyDescent="0.25">
      <c r="A230" s="7" t="s">
        <v>59</v>
      </c>
      <c r="B230" s="2" t="s">
        <v>3021</v>
      </c>
      <c r="C230" s="2" t="s">
        <v>3022</v>
      </c>
      <c r="D230" s="2" t="s">
        <v>3023</v>
      </c>
      <c r="F230" s="3" t="s">
        <v>59</v>
      </c>
      <c r="G230" s="3" t="s">
        <v>60</v>
      </c>
      <c r="H230" s="3" t="s">
        <v>59</v>
      </c>
      <c r="I230" s="3" t="s">
        <v>70</v>
      </c>
      <c r="J230" s="3" t="s">
        <v>61</v>
      </c>
      <c r="K230" s="2" t="s">
        <v>3010</v>
      </c>
      <c r="L230" s="2" t="s">
        <v>3024</v>
      </c>
      <c r="M230" s="3" t="s">
        <v>1831</v>
      </c>
      <c r="O230" s="3" t="s">
        <v>64</v>
      </c>
      <c r="P230" s="3" t="s">
        <v>84</v>
      </c>
      <c r="R230" s="3" t="s">
        <v>67</v>
      </c>
      <c r="S230" s="4">
        <v>10</v>
      </c>
      <c r="T230" s="4">
        <v>10</v>
      </c>
      <c r="U230" s="5" t="s">
        <v>2949</v>
      </c>
      <c r="V230" s="5" t="s">
        <v>2949</v>
      </c>
      <c r="W230" s="5" t="s">
        <v>2986</v>
      </c>
      <c r="X230" s="5" t="s">
        <v>2986</v>
      </c>
      <c r="Y230" s="4">
        <v>447</v>
      </c>
      <c r="Z230" s="4">
        <v>316</v>
      </c>
      <c r="AA230" s="4">
        <v>1479</v>
      </c>
      <c r="AB230" s="4">
        <v>3</v>
      </c>
      <c r="AC230" s="4">
        <v>11</v>
      </c>
      <c r="AD230" s="4">
        <v>12</v>
      </c>
      <c r="AE230" s="4">
        <v>48</v>
      </c>
      <c r="AF230" s="4">
        <v>5</v>
      </c>
      <c r="AG230" s="4">
        <v>21</v>
      </c>
      <c r="AH230" s="4">
        <v>1</v>
      </c>
      <c r="AI230" s="4">
        <v>7</v>
      </c>
      <c r="AJ230" s="4">
        <v>7</v>
      </c>
      <c r="AK230" s="4">
        <v>24</v>
      </c>
      <c r="AL230" s="4">
        <v>2</v>
      </c>
      <c r="AM230" s="4">
        <v>8</v>
      </c>
      <c r="AN230" s="4">
        <v>0</v>
      </c>
      <c r="AO230" s="4">
        <v>0</v>
      </c>
      <c r="AP230" s="3" t="s">
        <v>59</v>
      </c>
      <c r="AQ230" s="3" t="s">
        <v>59</v>
      </c>
      <c r="AS230" s="6" t="str">
        <f>HYPERLINK("https://creighton-primo.hosted.exlibrisgroup.com/primo-explore/search?tab=default_tab&amp;search_scope=EVERYTHING&amp;vid=01CRU&amp;lang=en_US&amp;offset=0&amp;query=any,contains,991003571849702656","Catalog Record")</f>
        <v>Catalog Record</v>
      </c>
      <c r="AT230" s="6" t="str">
        <f>HYPERLINK("http://www.worldcat.org/oclc/1147197","WorldCat Record")</f>
        <v>WorldCat Record</v>
      </c>
      <c r="AU230" s="3" t="s">
        <v>3014</v>
      </c>
      <c r="AV230" s="3" t="s">
        <v>3025</v>
      </c>
      <c r="AW230" s="3" t="s">
        <v>3026</v>
      </c>
      <c r="AX230" s="3" t="s">
        <v>3026</v>
      </c>
      <c r="AY230" s="3" t="s">
        <v>3027</v>
      </c>
      <c r="AZ230" s="3" t="s">
        <v>75</v>
      </c>
      <c r="BB230" s="3" t="s">
        <v>3028</v>
      </c>
      <c r="BC230" s="3" t="s">
        <v>3029</v>
      </c>
      <c r="BD230" s="3" t="s">
        <v>3030</v>
      </c>
    </row>
    <row r="231" spans="1:56" ht="48" customHeight="1" x14ac:dyDescent="0.25">
      <c r="A231" s="7" t="s">
        <v>59</v>
      </c>
      <c r="B231" s="2" t="s">
        <v>3031</v>
      </c>
      <c r="C231" s="2" t="s">
        <v>3032</v>
      </c>
      <c r="D231" s="2" t="s">
        <v>3033</v>
      </c>
      <c r="F231" s="3" t="s">
        <v>59</v>
      </c>
      <c r="G231" s="3" t="s">
        <v>60</v>
      </c>
      <c r="H231" s="3" t="s">
        <v>59</v>
      </c>
      <c r="I231" s="3" t="s">
        <v>70</v>
      </c>
      <c r="J231" s="3" t="s">
        <v>61</v>
      </c>
      <c r="K231" s="2" t="s">
        <v>3010</v>
      </c>
      <c r="L231" s="2" t="s">
        <v>3034</v>
      </c>
      <c r="M231" s="3" t="s">
        <v>485</v>
      </c>
      <c r="N231" s="2" t="s">
        <v>3035</v>
      </c>
      <c r="O231" s="3" t="s">
        <v>64</v>
      </c>
      <c r="P231" s="3" t="s">
        <v>84</v>
      </c>
      <c r="R231" s="3" t="s">
        <v>67</v>
      </c>
      <c r="S231" s="4">
        <v>13</v>
      </c>
      <c r="T231" s="4">
        <v>13</v>
      </c>
      <c r="U231" s="5" t="s">
        <v>3036</v>
      </c>
      <c r="V231" s="5" t="s">
        <v>3036</v>
      </c>
      <c r="W231" s="5" t="s">
        <v>2950</v>
      </c>
      <c r="X231" s="5" t="s">
        <v>2950</v>
      </c>
      <c r="Y231" s="4">
        <v>371</v>
      </c>
      <c r="Z231" s="4">
        <v>227</v>
      </c>
      <c r="AA231" s="4">
        <v>1479</v>
      </c>
      <c r="AB231" s="4">
        <v>1</v>
      </c>
      <c r="AC231" s="4">
        <v>11</v>
      </c>
      <c r="AD231" s="4">
        <v>7</v>
      </c>
      <c r="AE231" s="4">
        <v>48</v>
      </c>
      <c r="AF231" s="4">
        <v>2</v>
      </c>
      <c r="AG231" s="4">
        <v>21</v>
      </c>
      <c r="AH231" s="4">
        <v>3</v>
      </c>
      <c r="AI231" s="4">
        <v>7</v>
      </c>
      <c r="AJ231" s="4">
        <v>4</v>
      </c>
      <c r="AK231" s="4">
        <v>24</v>
      </c>
      <c r="AL231" s="4">
        <v>0</v>
      </c>
      <c r="AM231" s="4">
        <v>8</v>
      </c>
      <c r="AN231" s="4">
        <v>0</v>
      </c>
      <c r="AO231" s="4">
        <v>0</v>
      </c>
      <c r="AP231" s="3" t="s">
        <v>59</v>
      </c>
      <c r="AQ231" s="3" t="s">
        <v>59</v>
      </c>
      <c r="AS231" s="6" t="str">
        <f>HYPERLINK("https://creighton-primo.hosted.exlibrisgroup.com/primo-explore/search?tab=default_tab&amp;search_scope=EVERYTHING&amp;vid=01CRU&amp;lang=en_US&amp;offset=0&amp;query=any,contains,991004562599702656","Catalog Record")</f>
        <v>Catalog Record</v>
      </c>
      <c r="AT231" s="6" t="str">
        <f>HYPERLINK("http://www.worldcat.org/oclc/4003687","WorldCat Record")</f>
        <v>WorldCat Record</v>
      </c>
      <c r="AU231" s="3" t="s">
        <v>3014</v>
      </c>
      <c r="AV231" s="3" t="s">
        <v>3037</v>
      </c>
      <c r="AW231" s="3" t="s">
        <v>3038</v>
      </c>
      <c r="AX231" s="3" t="s">
        <v>3038</v>
      </c>
      <c r="AY231" s="3" t="s">
        <v>3039</v>
      </c>
      <c r="AZ231" s="3" t="s">
        <v>75</v>
      </c>
      <c r="BB231" s="3" t="s">
        <v>3040</v>
      </c>
      <c r="BC231" s="3" t="s">
        <v>3041</v>
      </c>
      <c r="BD231" s="3" t="s">
        <v>3042</v>
      </c>
    </row>
    <row r="232" spans="1:56" ht="48" customHeight="1" x14ac:dyDescent="0.25">
      <c r="A232" s="7" t="s">
        <v>59</v>
      </c>
      <c r="B232" s="2" t="s">
        <v>3043</v>
      </c>
      <c r="C232" s="2" t="s">
        <v>3044</v>
      </c>
      <c r="D232" s="2" t="s">
        <v>3045</v>
      </c>
      <c r="F232" s="3" t="s">
        <v>59</v>
      </c>
      <c r="G232" s="3" t="s">
        <v>60</v>
      </c>
      <c r="H232" s="3" t="s">
        <v>59</v>
      </c>
      <c r="I232" s="3" t="s">
        <v>59</v>
      </c>
      <c r="J232" s="3" t="s">
        <v>61</v>
      </c>
      <c r="K232" s="2" t="s">
        <v>3046</v>
      </c>
      <c r="L232" s="2" t="s">
        <v>3047</v>
      </c>
      <c r="M232" s="3" t="s">
        <v>485</v>
      </c>
      <c r="N232" s="2" t="s">
        <v>1945</v>
      </c>
      <c r="O232" s="3" t="s">
        <v>64</v>
      </c>
      <c r="P232" s="3" t="s">
        <v>130</v>
      </c>
      <c r="R232" s="3" t="s">
        <v>67</v>
      </c>
      <c r="S232" s="4">
        <v>13</v>
      </c>
      <c r="T232" s="4">
        <v>13</v>
      </c>
      <c r="U232" s="5" t="s">
        <v>3048</v>
      </c>
      <c r="V232" s="5" t="s">
        <v>3048</v>
      </c>
      <c r="W232" s="5" t="s">
        <v>2950</v>
      </c>
      <c r="X232" s="5" t="s">
        <v>2950</v>
      </c>
      <c r="Y232" s="4">
        <v>239</v>
      </c>
      <c r="Z232" s="4">
        <v>138</v>
      </c>
      <c r="AA232" s="4">
        <v>421</v>
      </c>
      <c r="AB232" s="4">
        <v>3</v>
      </c>
      <c r="AC232" s="4">
        <v>4</v>
      </c>
      <c r="AD232" s="4">
        <v>5</v>
      </c>
      <c r="AE232" s="4">
        <v>12</v>
      </c>
      <c r="AF232" s="4">
        <v>1</v>
      </c>
      <c r="AG232" s="4">
        <v>5</v>
      </c>
      <c r="AH232" s="4">
        <v>1</v>
      </c>
      <c r="AI232" s="4">
        <v>1</v>
      </c>
      <c r="AJ232" s="4">
        <v>3</v>
      </c>
      <c r="AK232" s="4">
        <v>6</v>
      </c>
      <c r="AL232" s="4">
        <v>2</v>
      </c>
      <c r="AM232" s="4">
        <v>3</v>
      </c>
      <c r="AN232" s="4">
        <v>0</v>
      </c>
      <c r="AO232" s="4">
        <v>0</v>
      </c>
      <c r="AP232" s="3" t="s">
        <v>59</v>
      </c>
      <c r="AQ232" s="3" t="s">
        <v>59</v>
      </c>
      <c r="AS232" s="6" t="str">
        <f>HYPERLINK("https://creighton-primo.hosted.exlibrisgroup.com/primo-explore/search?tab=default_tab&amp;search_scope=EVERYTHING&amp;vid=01CRU&amp;lang=en_US&amp;offset=0&amp;query=any,contains,991004452849702656","Catalog Record")</f>
        <v>Catalog Record</v>
      </c>
      <c r="AT232" s="6" t="str">
        <f>HYPERLINK("http://www.worldcat.org/oclc/3516543","WorldCat Record")</f>
        <v>WorldCat Record</v>
      </c>
      <c r="AU232" s="3" t="s">
        <v>3049</v>
      </c>
      <c r="AV232" s="3" t="s">
        <v>3050</v>
      </c>
      <c r="AW232" s="3" t="s">
        <v>3051</v>
      </c>
      <c r="AX232" s="3" t="s">
        <v>3051</v>
      </c>
      <c r="AY232" s="3" t="s">
        <v>3052</v>
      </c>
      <c r="AZ232" s="3" t="s">
        <v>75</v>
      </c>
      <c r="BB232" s="3" t="s">
        <v>3053</v>
      </c>
      <c r="BC232" s="3" t="s">
        <v>3054</v>
      </c>
      <c r="BD232" s="3" t="s">
        <v>3055</v>
      </c>
    </row>
    <row r="233" spans="1:56" ht="48" customHeight="1" x14ac:dyDescent="0.25">
      <c r="A233" s="7" t="s">
        <v>59</v>
      </c>
      <c r="B233" s="2" t="s">
        <v>3056</v>
      </c>
      <c r="C233" s="2" t="s">
        <v>3057</v>
      </c>
      <c r="D233" s="2" t="s">
        <v>3058</v>
      </c>
      <c r="F233" s="3" t="s">
        <v>59</v>
      </c>
      <c r="G233" s="3" t="s">
        <v>60</v>
      </c>
      <c r="H233" s="3" t="s">
        <v>59</v>
      </c>
      <c r="I233" s="3" t="s">
        <v>59</v>
      </c>
      <c r="J233" s="3" t="s">
        <v>61</v>
      </c>
      <c r="K233" s="2" t="s">
        <v>3059</v>
      </c>
      <c r="L233" s="2" t="s">
        <v>3060</v>
      </c>
      <c r="M233" s="3" t="s">
        <v>500</v>
      </c>
      <c r="O233" s="3" t="s">
        <v>64</v>
      </c>
      <c r="P233" s="3" t="s">
        <v>130</v>
      </c>
      <c r="Q233" s="2" t="s">
        <v>3061</v>
      </c>
      <c r="R233" s="3" t="s">
        <v>67</v>
      </c>
      <c r="S233" s="4">
        <v>6</v>
      </c>
      <c r="T233" s="4">
        <v>6</v>
      </c>
      <c r="U233" s="5" t="s">
        <v>3048</v>
      </c>
      <c r="V233" s="5" t="s">
        <v>3048</v>
      </c>
      <c r="W233" s="5" t="s">
        <v>473</v>
      </c>
      <c r="X233" s="5" t="s">
        <v>473</v>
      </c>
      <c r="Y233" s="4">
        <v>192</v>
      </c>
      <c r="Z233" s="4">
        <v>180</v>
      </c>
      <c r="AA233" s="4">
        <v>423</v>
      </c>
      <c r="AB233" s="4">
        <v>1</v>
      </c>
      <c r="AC233" s="4">
        <v>2</v>
      </c>
      <c r="AD233" s="4">
        <v>5</v>
      </c>
      <c r="AE233" s="4">
        <v>13</v>
      </c>
      <c r="AF233" s="4">
        <v>2</v>
      </c>
      <c r="AG233" s="4">
        <v>5</v>
      </c>
      <c r="AH233" s="4">
        <v>1</v>
      </c>
      <c r="AI233" s="4">
        <v>4</v>
      </c>
      <c r="AJ233" s="4">
        <v>4</v>
      </c>
      <c r="AK233" s="4">
        <v>8</v>
      </c>
      <c r="AL233" s="4">
        <v>0</v>
      </c>
      <c r="AM233" s="4">
        <v>1</v>
      </c>
      <c r="AN233" s="4">
        <v>0</v>
      </c>
      <c r="AO233" s="4">
        <v>0</v>
      </c>
      <c r="AP233" s="3" t="s">
        <v>59</v>
      </c>
      <c r="AQ233" s="3" t="s">
        <v>70</v>
      </c>
      <c r="AR233" s="6" t="str">
        <f>HYPERLINK("http://catalog.hathitrust.org/Record/001553214","HathiTrust Record")</f>
        <v>HathiTrust Record</v>
      </c>
      <c r="AS233" s="6" t="str">
        <f>HYPERLINK("https://creighton-primo.hosted.exlibrisgroup.com/primo-explore/search?tab=default_tab&amp;search_scope=EVERYTHING&amp;vid=01CRU&amp;lang=en_US&amp;offset=0&amp;query=any,contains,991000631619702656","Catalog Record")</f>
        <v>Catalog Record</v>
      </c>
      <c r="AT233" s="6" t="str">
        <f>HYPERLINK("http://www.worldcat.org/oclc/106076","WorldCat Record")</f>
        <v>WorldCat Record</v>
      </c>
      <c r="AU233" s="3" t="s">
        <v>3062</v>
      </c>
      <c r="AV233" s="3" t="s">
        <v>3063</v>
      </c>
      <c r="AW233" s="3" t="s">
        <v>3064</v>
      </c>
      <c r="AX233" s="3" t="s">
        <v>3064</v>
      </c>
      <c r="AY233" s="3" t="s">
        <v>3065</v>
      </c>
      <c r="AZ233" s="3" t="s">
        <v>75</v>
      </c>
      <c r="BB233" s="3" t="s">
        <v>3066</v>
      </c>
      <c r="BC233" s="3" t="s">
        <v>3067</v>
      </c>
      <c r="BD233" s="3" t="s">
        <v>3068</v>
      </c>
    </row>
    <row r="234" spans="1:56" ht="48" customHeight="1" x14ac:dyDescent="0.25">
      <c r="A234" s="7" t="s">
        <v>59</v>
      </c>
      <c r="B234" s="2" t="s">
        <v>3069</v>
      </c>
      <c r="C234" s="2" t="s">
        <v>3070</v>
      </c>
      <c r="D234" s="2" t="s">
        <v>3071</v>
      </c>
      <c r="F234" s="3" t="s">
        <v>59</v>
      </c>
      <c r="G234" s="3" t="s">
        <v>60</v>
      </c>
      <c r="H234" s="3" t="s">
        <v>59</v>
      </c>
      <c r="I234" s="3" t="s">
        <v>59</v>
      </c>
      <c r="J234" s="3" t="s">
        <v>61</v>
      </c>
      <c r="L234" s="2" t="s">
        <v>189</v>
      </c>
      <c r="M234" s="3" t="s">
        <v>190</v>
      </c>
      <c r="O234" s="3" t="s">
        <v>64</v>
      </c>
      <c r="P234" s="3" t="s">
        <v>191</v>
      </c>
      <c r="R234" s="3" t="s">
        <v>67</v>
      </c>
      <c r="S234" s="4">
        <v>1</v>
      </c>
      <c r="T234" s="4">
        <v>1</v>
      </c>
      <c r="U234" s="5" t="s">
        <v>3072</v>
      </c>
      <c r="V234" s="5" t="s">
        <v>3072</v>
      </c>
      <c r="W234" s="5" t="s">
        <v>3073</v>
      </c>
      <c r="X234" s="5" t="s">
        <v>3073</v>
      </c>
      <c r="Y234" s="4">
        <v>391</v>
      </c>
      <c r="Z234" s="4">
        <v>337</v>
      </c>
      <c r="AA234" s="4">
        <v>386</v>
      </c>
      <c r="AB234" s="4">
        <v>5</v>
      </c>
      <c r="AC234" s="4">
        <v>5</v>
      </c>
      <c r="AD234" s="4">
        <v>13</v>
      </c>
      <c r="AE234" s="4">
        <v>16</v>
      </c>
      <c r="AF234" s="4">
        <v>7</v>
      </c>
      <c r="AG234" s="4">
        <v>9</v>
      </c>
      <c r="AH234" s="4">
        <v>1</v>
      </c>
      <c r="AI234" s="4">
        <v>3</v>
      </c>
      <c r="AJ234" s="4">
        <v>5</v>
      </c>
      <c r="AK234" s="4">
        <v>5</v>
      </c>
      <c r="AL234" s="4">
        <v>3</v>
      </c>
      <c r="AM234" s="4">
        <v>3</v>
      </c>
      <c r="AN234" s="4">
        <v>0</v>
      </c>
      <c r="AO234" s="4">
        <v>0</v>
      </c>
      <c r="AP234" s="3" t="s">
        <v>59</v>
      </c>
      <c r="AQ234" s="3" t="s">
        <v>59</v>
      </c>
      <c r="AS234" s="6" t="str">
        <f>HYPERLINK("https://creighton-primo.hosted.exlibrisgroup.com/primo-explore/search?tab=default_tab&amp;search_scope=EVERYTHING&amp;vid=01CRU&amp;lang=en_US&amp;offset=0&amp;query=any,contains,991000851159702656","Catalog Record")</f>
        <v>Catalog Record</v>
      </c>
      <c r="AT234" s="6" t="str">
        <f>HYPERLINK("http://www.worldcat.org/oclc/13582524","WorldCat Record")</f>
        <v>WorldCat Record</v>
      </c>
      <c r="AU234" s="3" t="s">
        <v>3074</v>
      </c>
      <c r="AV234" s="3" t="s">
        <v>3075</v>
      </c>
      <c r="AW234" s="3" t="s">
        <v>3076</v>
      </c>
      <c r="AX234" s="3" t="s">
        <v>3076</v>
      </c>
      <c r="AY234" s="3" t="s">
        <v>3077</v>
      </c>
      <c r="AZ234" s="3" t="s">
        <v>75</v>
      </c>
      <c r="BB234" s="3" t="s">
        <v>3078</v>
      </c>
      <c r="BC234" s="3" t="s">
        <v>3079</v>
      </c>
      <c r="BD234" s="3" t="s">
        <v>3080</v>
      </c>
    </row>
    <row r="235" spans="1:56" ht="48" customHeight="1" x14ac:dyDescent="0.25">
      <c r="A235" s="7" t="s">
        <v>59</v>
      </c>
      <c r="B235" s="2" t="s">
        <v>3081</v>
      </c>
      <c r="C235" s="2" t="s">
        <v>3082</v>
      </c>
      <c r="D235" s="2" t="s">
        <v>3083</v>
      </c>
      <c r="F235" s="3" t="s">
        <v>59</v>
      </c>
      <c r="G235" s="3" t="s">
        <v>60</v>
      </c>
      <c r="H235" s="3" t="s">
        <v>59</v>
      </c>
      <c r="I235" s="3" t="s">
        <v>59</v>
      </c>
      <c r="J235" s="3" t="s">
        <v>61</v>
      </c>
      <c r="K235" s="2" t="s">
        <v>3084</v>
      </c>
      <c r="L235" s="2" t="s">
        <v>3085</v>
      </c>
      <c r="M235" s="3" t="s">
        <v>1611</v>
      </c>
      <c r="N235" s="2" t="s">
        <v>114</v>
      </c>
      <c r="O235" s="3" t="s">
        <v>64</v>
      </c>
      <c r="P235" s="3" t="s">
        <v>130</v>
      </c>
      <c r="R235" s="3" t="s">
        <v>67</v>
      </c>
      <c r="S235" s="4">
        <v>6</v>
      </c>
      <c r="T235" s="4">
        <v>6</v>
      </c>
      <c r="U235" s="5" t="s">
        <v>3086</v>
      </c>
      <c r="V235" s="5" t="s">
        <v>3086</v>
      </c>
      <c r="W235" s="5" t="s">
        <v>3087</v>
      </c>
      <c r="X235" s="5" t="s">
        <v>3087</v>
      </c>
      <c r="Y235" s="4">
        <v>448</v>
      </c>
      <c r="Z235" s="4">
        <v>388</v>
      </c>
      <c r="AA235" s="4">
        <v>552</v>
      </c>
      <c r="AB235" s="4">
        <v>2</v>
      </c>
      <c r="AC235" s="4">
        <v>4</v>
      </c>
      <c r="AD235" s="4">
        <v>14</v>
      </c>
      <c r="AE235" s="4">
        <v>22</v>
      </c>
      <c r="AF235" s="4">
        <v>6</v>
      </c>
      <c r="AG235" s="4">
        <v>11</v>
      </c>
      <c r="AH235" s="4">
        <v>3</v>
      </c>
      <c r="AI235" s="4">
        <v>3</v>
      </c>
      <c r="AJ235" s="4">
        <v>8</v>
      </c>
      <c r="AK235" s="4">
        <v>10</v>
      </c>
      <c r="AL235" s="4">
        <v>1</v>
      </c>
      <c r="AM235" s="4">
        <v>3</v>
      </c>
      <c r="AN235" s="4">
        <v>0</v>
      </c>
      <c r="AO235" s="4">
        <v>0</v>
      </c>
      <c r="AP235" s="3" t="s">
        <v>59</v>
      </c>
      <c r="AQ235" s="3" t="s">
        <v>59</v>
      </c>
      <c r="AS235" s="6" t="str">
        <f>HYPERLINK("https://creighton-primo.hosted.exlibrisgroup.com/primo-explore/search?tab=default_tab&amp;search_scope=EVERYTHING&amp;vid=01CRU&amp;lang=en_US&amp;offset=0&amp;query=any,contains,991003956729702656","Catalog Record")</f>
        <v>Catalog Record</v>
      </c>
      <c r="AT235" s="6" t="str">
        <f>HYPERLINK("http://www.worldcat.org/oclc/35103451","WorldCat Record")</f>
        <v>WorldCat Record</v>
      </c>
      <c r="AU235" s="3" t="s">
        <v>3088</v>
      </c>
      <c r="AV235" s="3" t="s">
        <v>3089</v>
      </c>
      <c r="AW235" s="3" t="s">
        <v>3090</v>
      </c>
      <c r="AX235" s="3" t="s">
        <v>3090</v>
      </c>
      <c r="AY235" s="3" t="s">
        <v>3091</v>
      </c>
      <c r="AZ235" s="3" t="s">
        <v>75</v>
      </c>
      <c r="BB235" s="3" t="s">
        <v>3092</v>
      </c>
      <c r="BC235" s="3" t="s">
        <v>3093</v>
      </c>
      <c r="BD235" s="3" t="s">
        <v>3094</v>
      </c>
    </row>
    <row r="236" spans="1:56" ht="48" customHeight="1" x14ac:dyDescent="0.25">
      <c r="A236" s="7" t="s">
        <v>59</v>
      </c>
      <c r="B236" s="2" t="s">
        <v>3095</v>
      </c>
      <c r="C236" s="2" t="s">
        <v>3096</v>
      </c>
      <c r="D236" s="2" t="s">
        <v>3097</v>
      </c>
      <c r="F236" s="3" t="s">
        <v>59</v>
      </c>
      <c r="G236" s="3" t="s">
        <v>60</v>
      </c>
      <c r="H236" s="3" t="s">
        <v>59</v>
      </c>
      <c r="I236" s="3" t="s">
        <v>59</v>
      </c>
      <c r="J236" s="3" t="s">
        <v>61</v>
      </c>
      <c r="K236" s="2" t="s">
        <v>3098</v>
      </c>
      <c r="L236" s="2" t="s">
        <v>3099</v>
      </c>
      <c r="M236" s="3" t="s">
        <v>319</v>
      </c>
      <c r="O236" s="3" t="s">
        <v>64</v>
      </c>
      <c r="P236" s="3" t="s">
        <v>130</v>
      </c>
      <c r="R236" s="3" t="s">
        <v>67</v>
      </c>
      <c r="S236" s="4">
        <v>13</v>
      </c>
      <c r="T236" s="4">
        <v>13</v>
      </c>
      <c r="U236" s="5" t="s">
        <v>3100</v>
      </c>
      <c r="V236" s="5" t="s">
        <v>3100</v>
      </c>
      <c r="W236" s="5" t="s">
        <v>2773</v>
      </c>
      <c r="X236" s="5" t="s">
        <v>2773</v>
      </c>
      <c r="Y236" s="4">
        <v>677</v>
      </c>
      <c r="Z236" s="4">
        <v>578</v>
      </c>
      <c r="AA236" s="4">
        <v>623</v>
      </c>
      <c r="AB236" s="4">
        <v>6</v>
      </c>
      <c r="AC236" s="4">
        <v>6</v>
      </c>
      <c r="AD236" s="4">
        <v>15</v>
      </c>
      <c r="AE236" s="4">
        <v>15</v>
      </c>
      <c r="AF236" s="4">
        <v>6</v>
      </c>
      <c r="AG236" s="4">
        <v>6</v>
      </c>
      <c r="AH236" s="4">
        <v>3</v>
      </c>
      <c r="AI236" s="4">
        <v>3</v>
      </c>
      <c r="AJ236" s="4">
        <v>8</v>
      </c>
      <c r="AK236" s="4">
        <v>8</v>
      </c>
      <c r="AL236" s="4">
        <v>4</v>
      </c>
      <c r="AM236" s="4">
        <v>4</v>
      </c>
      <c r="AN236" s="4">
        <v>0</v>
      </c>
      <c r="AO236" s="4">
        <v>0</v>
      </c>
      <c r="AP236" s="3" t="s">
        <v>59</v>
      </c>
      <c r="AQ236" s="3" t="s">
        <v>70</v>
      </c>
      <c r="AR236" s="6" t="str">
        <f>HYPERLINK("http://catalog.hathitrust.org/Record/000558392","HathiTrust Record")</f>
        <v>HathiTrust Record</v>
      </c>
      <c r="AS236" s="6" t="str">
        <f>HYPERLINK("https://creighton-primo.hosted.exlibrisgroup.com/primo-explore/search?tab=default_tab&amp;search_scope=EVERYTHING&amp;vid=01CRU&amp;lang=en_US&amp;offset=0&amp;query=any,contains,991000351019702656","Catalog Record")</f>
        <v>Catalog Record</v>
      </c>
      <c r="AT236" s="6" t="str">
        <f>HYPERLINK("http://www.worldcat.org/oclc/10301975","WorldCat Record")</f>
        <v>WorldCat Record</v>
      </c>
      <c r="AU236" s="3" t="s">
        <v>3101</v>
      </c>
      <c r="AV236" s="3" t="s">
        <v>3102</v>
      </c>
      <c r="AW236" s="3" t="s">
        <v>3103</v>
      </c>
      <c r="AX236" s="3" t="s">
        <v>3103</v>
      </c>
      <c r="AY236" s="3" t="s">
        <v>3104</v>
      </c>
      <c r="AZ236" s="3" t="s">
        <v>75</v>
      </c>
      <c r="BB236" s="3" t="s">
        <v>3105</v>
      </c>
      <c r="BC236" s="3" t="s">
        <v>3106</v>
      </c>
      <c r="BD236" s="3" t="s">
        <v>3107</v>
      </c>
    </row>
    <row r="237" spans="1:56" ht="48" customHeight="1" x14ac:dyDescent="0.25">
      <c r="A237" s="7" t="s">
        <v>59</v>
      </c>
      <c r="B237" s="2" t="s">
        <v>3108</v>
      </c>
      <c r="C237" s="2" t="s">
        <v>3109</v>
      </c>
      <c r="D237" s="2" t="s">
        <v>3110</v>
      </c>
      <c r="F237" s="3" t="s">
        <v>59</v>
      </c>
      <c r="G237" s="3" t="s">
        <v>60</v>
      </c>
      <c r="H237" s="3" t="s">
        <v>59</v>
      </c>
      <c r="I237" s="3" t="s">
        <v>59</v>
      </c>
      <c r="J237" s="3" t="s">
        <v>61</v>
      </c>
      <c r="K237" s="2" t="s">
        <v>3111</v>
      </c>
      <c r="L237" s="2" t="s">
        <v>3112</v>
      </c>
      <c r="M237" s="3" t="s">
        <v>3113</v>
      </c>
      <c r="O237" s="3" t="s">
        <v>64</v>
      </c>
      <c r="P237" s="3" t="s">
        <v>65</v>
      </c>
      <c r="R237" s="3" t="s">
        <v>67</v>
      </c>
      <c r="S237" s="4">
        <v>6</v>
      </c>
      <c r="T237" s="4">
        <v>6</v>
      </c>
      <c r="U237" s="5" t="s">
        <v>3114</v>
      </c>
      <c r="V237" s="5" t="s">
        <v>3114</v>
      </c>
      <c r="W237" s="5" t="s">
        <v>3115</v>
      </c>
      <c r="X237" s="5" t="s">
        <v>3115</v>
      </c>
      <c r="Y237" s="4">
        <v>737</v>
      </c>
      <c r="Z237" s="4">
        <v>636</v>
      </c>
      <c r="AA237" s="4">
        <v>677</v>
      </c>
      <c r="AB237" s="4">
        <v>6</v>
      </c>
      <c r="AC237" s="4">
        <v>7</v>
      </c>
      <c r="AD237" s="4">
        <v>29</v>
      </c>
      <c r="AE237" s="4">
        <v>30</v>
      </c>
      <c r="AF237" s="4">
        <v>15</v>
      </c>
      <c r="AG237" s="4">
        <v>15</v>
      </c>
      <c r="AH237" s="4">
        <v>4</v>
      </c>
      <c r="AI237" s="4">
        <v>4</v>
      </c>
      <c r="AJ237" s="4">
        <v>11</v>
      </c>
      <c r="AK237" s="4">
        <v>11</v>
      </c>
      <c r="AL237" s="4">
        <v>5</v>
      </c>
      <c r="AM237" s="4">
        <v>6</v>
      </c>
      <c r="AN237" s="4">
        <v>0</v>
      </c>
      <c r="AO237" s="4">
        <v>0</v>
      </c>
      <c r="AP237" s="3" t="s">
        <v>59</v>
      </c>
      <c r="AQ237" s="3" t="s">
        <v>70</v>
      </c>
      <c r="AR237" s="6" t="str">
        <f>HYPERLINK("http://catalog.hathitrust.org/Record/004233681","HathiTrust Record")</f>
        <v>HathiTrust Record</v>
      </c>
      <c r="AS237" s="6" t="str">
        <f>HYPERLINK("https://creighton-primo.hosted.exlibrisgroup.com/primo-explore/search?tab=default_tab&amp;search_scope=EVERYTHING&amp;vid=01CRU&amp;lang=en_US&amp;offset=0&amp;query=any,contains,991004051889702656","Catalog Record")</f>
        <v>Catalog Record</v>
      </c>
      <c r="AT237" s="6" t="str">
        <f>HYPERLINK("http://www.worldcat.org/oclc/45890321","WorldCat Record")</f>
        <v>WorldCat Record</v>
      </c>
      <c r="AU237" s="3" t="s">
        <v>3116</v>
      </c>
      <c r="AV237" s="3" t="s">
        <v>3117</v>
      </c>
      <c r="AW237" s="3" t="s">
        <v>3118</v>
      </c>
      <c r="AX237" s="3" t="s">
        <v>3118</v>
      </c>
      <c r="AY237" s="3" t="s">
        <v>3119</v>
      </c>
      <c r="AZ237" s="3" t="s">
        <v>75</v>
      </c>
      <c r="BB237" s="3" t="s">
        <v>3120</v>
      </c>
      <c r="BC237" s="3" t="s">
        <v>3121</v>
      </c>
      <c r="BD237" s="3" t="s">
        <v>3122</v>
      </c>
    </row>
    <row r="238" spans="1:56" ht="48" customHeight="1" x14ac:dyDescent="0.25">
      <c r="A238" s="7" t="s">
        <v>59</v>
      </c>
      <c r="B238" s="2" t="s">
        <v>3123</v>
      </c>
      <c r="C238" s="2" t="s">
        <v>3124</v>
      </c>
      <c r="D238" s="2" t="s">
        <v>3125</v>
      </c>
      <c r="F238" s="3" t="s">
        <v>59</v>
      </c>
      <c r="G238" s="3" t="s">
        <v>60</v>
      </c>
      <c r="H238" s="3" t="s">
        <v>59</v>
      </c>
      <c r="I238" s="3" t="s">
        <v>59</v>
      </c>
      <c r="J238" s="3" t="s">
        <v>61</v>
      </c>
      <c r="K238" s="2" t="s">
        <v>3126</v>
      </c>
      <c r="L238" s="2" t="s">
        <v>3127</v>
      </c>
      <c r="M238" s="3" t="s">
        <v>219</v>
      </c>
      <c r="O238" s="3" t="s">
        <v>64</v>
      </c>
      <c r="P238" s="3" t="s">
        <v>1201</v>
      </c>
      <c r="Q238" s="2" t="s">
        <v>3128</v>
      </c>
      <c r="R238" s="3" t="s">
        <v>67</v>
      </c>
      <c r="S238" s="4">
        <v>15</v>
      </c>
      <c r="T238" s="4">
        <v>15</v>
      </c>
      <c r="U238" s="5" t="s">
        <v>2564</v>
      </c>
      <c r="V238" s="5" t="s">
        <v>2564</v>
      </c>
      <c r="W238" s="5" t="s">
        <v>3129</v>
      </c>
      <c r="X238" s="5" t="s">
        <v>3129</v>
      </c>
      <c r="Y238" s="4">
        <v>338</v>
      </c>
      <c r="Z238" s="4">
        <v>230</v>
      </c>
      <c r="AA238" s="4">
        <v>252</v>
      </c>
      <c r="AB238" s="4">
        <v>3</v>
      </c>
      <c r="AC238" s="4">
        <v>3</v>
      </c>
      <c r="AD238" s="4">
        <v>13</v>
      </c>
      <c r="AE238" s="4">
        <v>14</v>
      </c>
      <c r="AF238" s="4">
        <v>3</v>
      </c>
      <c r="AG238" s="4">
        <v>4</v>
      </c>
      <c r="AH238" s="4">
        <v>5</v>
      </c>
      <c r="AI238" s="4">
        <v>6</v>
      </c>
      <c r="AJ238" s="4">
        <v>7</v>
      </c>
      <c r="AK238" s="4">
        <v>7</v>
      </c>
      <c r="AL238" s="4">
        <v>2</v>
      </c>
      <c r="AM238" s="4">
        <v>2</v>
      </c>
      <c r="AN238" s="4">
        <v>0</v>
      </c>
      <c r="AO238" s="4">
        <v>0</v>
      </c>
      <c r="AP238" s="3" t="s">
        <v>59</v>
      </c>
      <c r="AQ238" s="3" t="s">
        <v>70</v>
      </c>
      <c r="AR238" s="6" t="str">
        <f>HYPERLINK("http://catalog.hathitrust.org/Record/001952118","HathiTrust Record")</f>
        <v>HathiTrust Record</v>
      </c>
      <c r="AS238" s="6" t="str">
        <f>HYPERLINK("https://creighton-primo.hosted.exlibrisgroup.com/primo-explore/search?tab=default_tab&amp;search_scope=EVERYTHING&amp;vid=01CRU&amp;lang=en_US&amp;offset=0&amp;query=any,contains,991001647539702656","Catalog Record")</f>
        <v>Catalog Record</v>
      </c>
      <c r="AT238" s="6" t="str">
        <f>HYPERLINK("http://www.worldcat.org/oclc/21075551","WorldCat Record")</f>
        <v>WorldCat Record</v>
      </c>
      <c r="AU238" s="3" t="s">
        <v>3130</v>
      </c>
      <c r="AV238" s="3" t="s">
        <v>3131</v>
      </c>
      <c r="AW238" s="3" t="s">
        <v>3132</v>
      </c>
      <c r="AX238" s="3" t="s">
        <v>3132</v>
      </c>
      <c r="AY238" s="3" t="s">
        <v>3133</v>
      </c>
      <c r="AZ238" s="3" t="s">
        <v>75</v>
      </c>
      <c r="BB238" s="3" t="s">
        <v>3134</v>
      </c>
      <c r="BC238" s="3" t="s">
        <v>3135</v>
      </c>
      <c r="BD238" s="3" t="s">
        <v>3136</v>
      </c>
    </row>
    <row r="239" spans="1:56" ht="48" customHeight="1" x14ac:dyDescent="0.25">
      <c r="A239" s="7" t="s">
        <v>59</v>
      </c>
      <c r="B239" s="2" t="s">
        <v>3137</v>
      </c>
      <c r="C239" s="2" t="s">
        <v>3138</v>
      </c>
      <c r="D239" s="2" t="s">
        <v>3139</v>
      </c>
      <c r="F239" s="3" t="s">
        <v>59</v>
      </c>
      <c r="G239" s="3" t="s">
        <v>60</v>
      </c>
      <c r="H239" s="3" t="s">
        <v>59</v>
      </c>
      <c r="I239" s="3" t="s">
        <v>59</v>
      </c>
      <c r="J239" s="3" t="s">
        <v>61</v>
      </c>
      <c r="K239" s="2" t="s">
        <v>3140</v>
      </c>
      <c r="L239" s="2" t="s">
        <v>3141</v>
      </c>
      <c r="M239" s="3" t="s">
        <v>319</v>
      </c>
      <c r="O239" s="3" t="s">
        <v>64</v>
      </c>
      <c r="P239" s="3" t="s">
        <v>84</v>
      </c>
      <c r="R239" s="3" t="s">
        <v>67</v>
      </c>
      <c r="S239" s="4">
        <v>8</v>
      </c>
      <c r="T239" s="4">
        <v>8</v>
      </c>
      <c r="U239" s="5" t="s">
        <v>3142</v>
      </c>
      <c r="V239" s="5" t="s">
        <v>3142</v>
      </c>
      <c r="W239" s="5" t="s">
        <v>2773</v>
      </c>
      <c r="X239" s="5" t="s">
        <v>2773</v>
      </c>
      <c r="Y239" s="4">
        <v>289</v>
      </c>
      <c r="Z239" s="4">
        <v>231</v>
      </c>
      <c r="AA239" s="4">
        <v>232</v>
      </c>
      <c r="AB239" s="4">
        <v>3</v>
      </c>
      <c r="AC239" s="4">
        <v>3</v>
      </c>
      <c r="AD239" s="4">
        <v>4</v>
      </c>
      <c r="AE239" s="4">
        <v>4</v>
      </c>
      <c r="AF239" s="4">
        <v>0</v>
      </c>
      <c r="AG239" s="4">
        <v>0</v>
      </c>
      <c r="AH239" s="4">
        <v>1</v>
      </c>
      <c r="AI239" s="4">
        <v>1</v>
      </c>
      <c r="AJ239" s="4">
        <v>1</v>
      </c>
      <c r="AK239" s="4">
        <v>1</v>
      </c>
      <c r="AL239" s="4">
        <v>2</v>
      </c>
      <c r="AM239" s="4">
        <v>2</v>
      </c>
      <c r="AN239" s="4">
        <v>0</v>
      </c>
      <c r="AO239" s="4">
        <v>0</v>
      </c>
      <c r="AP239" s="3" t="s">
        <v>59</v>
      </c>
      <c r="AQ239" s="3" t="s">
        <v>70</v>
      </c>
      <c r="AR239" s="6" t="str">
        <f>HYPERLINK("http://catalog.hathitrust.org/Record/000458767","HathiTrust Record")</f>
        <v>HathiTrust Record</v>
      </c>
      <c r="AS239" s="6" t="str">
        <f>HYPERLINK("https://creighton-primo.hosted.exlibrisgroup.com/primo-explore/search?tab=default_tab&amp;search_scope=EVERYTHING&amp;vid=01CRU&amp;lang=en_US&amp;offset=0&amp;query=any,contains,991000441379702656","Catalog Record")</f>
        <v>Catalog Record</v>
      </c>
      <c r="AT239" s="6" t="str">
        <f>HYPERLINK("http://www.worldcat.org/oclc/10824862","WorldCat Record")</f>
        <v>WorldCat Record</v>
      </c>
      <c r="AU239" s="3" t="s">
        <v>3143</v>
      </c>
      <c r="AV239" s="3" t="s">
        <v>3144</v>
      </c>
      <c r="AW239" s="3" t="s">
        <v>3145</v>
      </c>
      <c r="AX239" s="3" t="s">
        <v>3145</v>
      </c>
      <c r="AY239" s="3" t="s">
        <v>3146</v>
      </c>
      <c r="AZ239" s="3" t="s">
        <v>75</v>
      </c>
      <c r="BB239" s="3" t="s">
        <v>3147</v>
      </c>
      <c r="BC239" s="3" t="s">
        <v>3148</v>
      </c>
      <c r="BD239" s="3" t="s">
        <v>3149</v>
      </c>
    </row>
    <row r="240" spans="1:56" ht="48" customHeight="1" x14ac:dyDescent="0.25">
      <c r="A240" s="7" t="s">
        <v>59</v>
      </c>
      <c r="B240" s="2" t="s">
        <v>3150</v>
      </c>
      <c r="C240" s="2" t="s">
        <v>3151</v>
      </c>
      <c r="D240" s="2" t="s">
        <v>3152</v>
      </c>
      <c r="F240" s="3" t="s">
        <v>59</v>
      </c>
      <c r="G240" s="3" t="s">
        <v>60</v>
      </c>
      <c r="H240" s="3" t="s">
        <v>59</v>
      </c>
      <c r="I240" s="3" t="s">
        <v>59</v>
      </c>
      <c r="J240" s="3" t="s">
        <v>61</v>
      </c>
      <c r="K240" s="2" t="s">
        <v>3153</v>
      </c>
      <c r="L240" s="2" t="s">
        <v>2522</v>
      </c>
      <c r="M240" s="3" t="s">
        <v>590</v>
      </c>
      <c r="O240" s="3" t="s">
        <v>64</v>
      </c>
      <c r="P240" s="3" t="s">
        <v>674</v>
      </c>
      <c r="R240" s="3" t="s">
        <v>67</v>
      </c>
      <c r="S240" s="4">
        <v>27</v>
      </c>
      <c r="T240" s="4">
        <v>27</v>
      </c>
      <c r="U240" s="5" t="s">
        <v>3154</v>
      </c>
      <c r="V240" s="5" t="s">
        <v>3154</v>
      </c>
      <c r="W240" s="5" t="s">
        <v>3155</v>
      </c>
      <c r="X240" s="5" t="s">
        <v>3155</v>
      </c>
      <c r="Y240" s="4">
        <v>532</v>
      </c>
      <c r="Z240" s="4">
        <v>411</v>
      </c>
      <c r="AA240" s="4">
        <v>422</v>
      </c>
      <c r="AB240" s="4">
        <v>3</v>
      </c>
      <c r="AC240" s="4">
        <v>3</v>
      </c>
      <c r="AD240" s="4">
        <v>12</v>
      </c>
      <c r="AE240" s="4">
        <v>12</v>
      </c>
      <c r="AF240" s="4">
        <v>6</v>
      </c>
      <c r="AG240" s="4">
        <v>6</v>
      </c>
      <c r="AH240" s="4">
        <v>1</v>
      </c>
      <c r="AI240" s="4">
        <v>1</v>
      </c>
      <c r="AJ240" s="4">
        <v>6</v>
      </c>
      <c r="AK240" s="4">
        <v>6</v>
      </c>
      <c r="AL240" s="4">
        <v>2</v>
      </c>
      <c r="AM240" s="4">
        <v>2</v>
      </c>
      <c r="AN240" s="4">
        <v>0</v>
      </c>
      <c r="AO240" s="4">
        <v>0</v>
      </c>
      <c r="AP240" s="3" t="s">
        <v>59</v>
      </c>
      <c r="AQ240" s="3" t="s">
        <v>70</v>
      </c>
      <c r="AR240" s="6" t="str">
        <f>HYPERLINK("http://catalog.hathitrust.org/Record/002471085","HathiTrust Record")</f>
        <v>HathiTrust Record</v>
      </c>
      <c r="AS240" s="6" t="str">
        <f>HYPERLINK("https://creighton-primo.hosted.exlibrisgroup.com/primo-explore/search?tab=default_tab&amp;search_scope=EVERYTHING&amp;vid=01CRU&amp;lang=en_US&amp;offset=0&amp;query=any,contains,991001029929702656","Catalog Record")</f>
        <v>Catalog Record</v>
      </c>
      <c r="AT240" s="6" t="str">
        <f>HYPERLINK("http://www.worldcat.org/oclc/15489937","WorldCat Record")</f>
        <v>WorldCat Record</v>
      </c>
      <c r="AU240" s="3" t="s">
        <v>3156</v>
      </c>
      <c r="AV240" s="3" t="s">
        <v>3157</v>
      </c>
      <c r="AW240" s="3" t="s">
        <v>3158</v>
      </c>
      <c r="AX240" s="3" t="s">
        <v>3158</v>
      </c>
      <c r="AY240" s="3" t="s">
        <v>3159</v>
      </c>
      <c r="AZ240" s="3" t="s">
        <v>75</v>
      </c>
      <c r="BB240" s="3" t="s">
        <v>3160</v>
      </c>
      <c r="BC240" s="3" t="s">
        <v>3161</v>
      </c>
      <c r="BD240" s="3" t="s">
        <v>3162</v>
      </c>
    </row>
    <row r="241" spans="1:56" ht="48" customHeight="1" x14ac:dyDescent="0.25">
      <c r="A241" s="7" t="s">
        <v>59</v>
      </c>
      <c r="B241" s="2" t="s">
        <v>3163</v>
      </c>
      <c r="C241" s="2" t="s">
        <v>3164</v>
      </c>
      <c r="D241" s="2" t="s">
        <v>3165</v>
      </c>
      <c r="F241" s="3" t="s">
        <v>59</v>
      </c>
      <c r="G241" s="3" t="s">
        <v>60</v>
      </c>
      <c r="H241" s="3" t="s">
        <v>59</v>
      </c>
      <c r="I241" s="3" t="s">
        <v>59</v>
      </c>
      <c r="J241" s="3" t="s">
        <v>61</v>
      </c>
      <c r="K241" s="2" t="s">
        <v>3153</v>
      </c>
      <c r="L241" s="2" t="s">
        <v>3166</v>
      </c>
      <c r="M241" s="3" t="s">
        <v>1611</v>
      </c>
      <c r="N241" s="2" t="s">
        <v>114</v>
      </c>
      <c r="O241" s="3" t="s">
        <v>64</v>
      </c>
      <c r="P241" s="3" t="s">
        <v>674</v>
      </c>
      <c r="R241" s="3" t="s">
        <v>67</v>
      </c>
      <c r="S241" s="4">
        <v>2</v>
      </c>
      <c r="T241" s="4">
        <v>2</v>
      </c>
      <c r="U241" s="5" t="s">
        <v>3167</v>
      </c>
      <c r="V241" s="5" t="s">
        <v>3167</v>
      </c>
      <c r="W241" s="5" t="s">
        <v>3168</v>
      </c>
      <c r="X241" s="5" t="s">
        <v>3168</v>
      </c>
      <c r="Y241" s="4">
        <v>519</v>
      </c>
      <c r="Z241" s="4">
        <v>385</v>
      </c>
      <c r="AA241" s="4">
        <v>604</v>
      </c>
      <c r="AB241" s="4">
        <v>3</v>
      </c>
      <c r="AC241" s="4">
        <v>5</v>
      </c>
      <c r="AD241" s="4">
        <v>9</v>
      </c>
      <c r="AE241" s="4">
        <v>21</v>
      </c>
      <c r="AF241" s="4">
        <v>5</v>
      </c>
      <c r="AG241" s="4">
        <v>12</v>
      </c>
      <c r="AH241" s="4">
        <v>3</v>
      </c>
      <c r="AI241" s="4">
        <v>4</v>
      </c>
      <c r="AJ241" s="4">
        <v>3</v>
      </c>
      <c r="AK241" s="4">
        <v>7</v>
      </c>
      <c r="AL241" s="4">
        <v>2</v>
      </c>
      <c r="AM241" s="4">
        <v>4</v>
      </c>
      <c r="AN241" s="4">
        <v>0</v>
      </c>
      <c r="AO241" s="4">
        <v>0</v>
      </c>
      <c r="AP241" s="3" t="s">
        <v>59</v>
      </c>
      <c r="AQ241" s="3" t="s">
        <v>70</v>
      </c>
      <c r="AR241" s="6" t="str">
        <f>HYPERLINK("http://catalog.hathitrust.org/Record/003071462","HathiTrust Record")</f>
        <v>HathiTrust Record</v>
      </c>
      <c r="AS241" s="6" t="str">
        <f>HYPERLINK("https://creighton-primo.hosted.exlibrisgroup.com/primo-explore/search?tab=default_tab&amp;search_scope=EVERYTHING&amp;vid=01CRU&amp;lang=en_US&amp;offset=0&amp;query=any,contains,991002582479702656","Catalog Record")</f>
        <v>Catalog Record</v>
      </c>
      <c r="AT241" s="6" t="str">
        <f>HYPERLINK("http://www.worldcat.org/oclc/33862033","WorldCat Record")</f>
        <v>WorldCat Record</v>
      </c>
      <c r="AU241" s="3" t="s">
        <v>3169</v>
      </c>
      <c r="AV241" s="3" t="s">
        <v>3170</v>
      </c>
      <c r="AW241" s="3" t="s">
        <v>3171</v>
      </c>
      <c r="AX241" s="3" t="s">
        <v>3171</v>
      </c>
      <c r="AY241" s="3" t="s">
        <v>3172</v>
      </c>
      <c r="AZ241" s="3" t="s">
        <v>75</v>
      </c>
      <c r="BB241" s="3" t="s">
        <v>3173</v>
      </c>
      <c r="BC241" s="3" t="s">
        <v>3174</v>
      </c>
      <c r="BD241" s="3" t="s">
        <v>3175</v>
      </c>
    </row>
    <row r="242" spans="1:56" ht="48" customHeight="1" x14ac:dyDescent="0.25">
      <c r="A242" s="7" t="s">
        <v>59</v>
      </c>
      <c r="B242" s="2" t="s">
        <v>3176</v>
      </c>
      <c r="C242" s="2" t="s">
        <v>3177</v>
      </c>
      <c r="D242" s="2" t="s">
        <v>3178</v>
      </c>
      <c r="F242" s="3" t="s">
        <v>59</v>
      </c>
      <c r="G242" s="3" t="s">
        <v>60</v>
      </c>
      <c r="H242" s="3" t="s">
        <v>59</v>
      </c>
      <c r="I242" s="3" t="s">
        <v>59</v>
      </c>
      <c r="J242" s="3" t="s">
        <v>61</v>
      </c>
      <c r="K242" s="2" t="s">
        <v>3179</v>
      </c>
      <c r="L242" s="2" t="s">
        <v>3180</v>
      </c>
      <c r="M242" s="3" t="s">
        <v>471</v>
      </c>
      <c r="O242" s="3" t="s">
        <v>64</v>
      </c>
      <c r="P242" s="3" t="s">
        <v>912</v>
      </c>
      <c r="Q242" s="2" t="s">
        <v>3181</v>
      </c>
      <c r="R242" s="3" t="s">
        <v>67</v>
      </c>
      <c r="S242" s="4">
        <v>6</v>
      </c>
      <c r="T242" s="4">
        <v>6</v>
      </c>
      <c r="U242" s="5" t="s">
        <v>2839</v>
      </c>
      <c r="V242" s="5" t="s">
        <v>2839</v>
      </c>
      <c r="W242" s="5" t="s">
        <v>2773</v>
      </c>
      <c r="X242" s="5" t="s">
        <v>2773</v>
      </c>
      <c r="Y242" s="4">
        <v>494</v>
      </c>
      <c r="Z242" s="4">
        <v>379</v>
      </c>
      <c r="AA242" s="4">
        <v>386</v>
      </c>
      <c r="AB242" s="4">
        <v>3</v>
      </c>
      <c r="AC242" s="4">
        <v>3</v>
      </c>
      <c r="AD242" s="4">
        <v>15</v>
      </c>
      <c r="AE242" s="4">
        <v>15</v>
      </c>
      <c r="AF242" s="4">
        <v>8</v>
      </c>
      <c r="AG242" s="4">
        <v>8</v>
      </c>
      <c r="AH242" s="4">
        <v>2</v>
      </c>
      <c r="AI242" s="4">
        <v>2</v>
      </c>
      <c r="AJ242" s="4">
        <v>6</v>
      </c>
      <c r="AK242" s="4">
        <v>6</v>
      </c>
      <c r="AL242" s="4">
        <v>2</v>
      </c>
      <c r="AM242" s="4">
        <v>2</v>
      </c>
      <c r="AN242" s="4">
        <v>0</v>
      </c>
      <c r="AO242" s="4">
        <v>0</v>
      </c>
      <c r="AP242" s="3" t="s">
        <v>59</v>
      </c>
      <c r="AQ242" s="3" t="s">
        <v>70</v>
      </c>
      <c r="AR242" s="6" t="str">
        <f>HYPERLINK("http://catalog.hathitrust.org/Record/001576818","HathiTrust Record")</f>
        <v>HathiTrust Record</v>
      </c>
      <c r="AS242" s="6" t="str">
        <f>HYPERLINK("https://creighton-primo.hosted.exlibrisgroup.com/primo-explore/search?tab=default_tab&amp;search_scope=EVERYTHING&amp;vid=01CRU&amp;lang=en_US&amp;offset=0&amp;query=any,contains,991003200739702656","Catalog Record")</f>
        <v>Catalog Record</v>
      </c>
      <c r="AT242" s="6" t="str">
        <f>HYPERLINK("http://www.worldcat.org/oclc/724452","WorldCat Record")</f>
        <v>WorldCat Record</v>
      </c>
      <c r="AU242" s="3" t="s">
        <v>3182</v>
      </c>
      <c r="AV242" s="3" t="s">
        <v>3183</v>
      </c>
      <c r="AW242" s="3" t="s">
        <v>3184</v>
      </c>
      <c r="AX242" s="3" t="s">
        <v>3184</v>
      </c>
      <c r="AY242" s="3" t="s">
        <v>3185</v>
      </c>
      <c r="AZ242" s="3" t="s">
        <v>75</v>
      </c>
      <c r="BB242" s="3" t="s">
        <v>3186</v>
      </c>
      <c r="BC242" s="3" t="s">
        <v>3187</v>
      </c>
      <c r="BD242" s="3" t="s">
        <v>3188</v>
      </c>
    </row>
    <row r="243" spans="1:56" ht="48" customHeight="1" x14ac:dyDescent="0.25">
      <c r="A243" s="7" t="s">
        <v>59</v>
      </c>
      <c r="B243" s="2" t="s">
        <v>3189</v>
      </c>
      <c r="C243" s="2" t="s">
        <v>3190</v>
      </c>
      <c r="D243" s="2" t="s">
        <v>3191</v>
      </c>
      <c r="E243" s="3" t="s">
        <v>723</v>
      </c>
      <c r="F243" s="3" t="s">
        <v>59</v>
      </c>
      <c r="G243" s="3" t="s">
        <v>60</v>
      </c>
      <c r="H243" s="3" t="s">
        <v>59</v>
      </c>
      <c r="I243" s="3" t="s">
        <v>59</v>
      </c>
      <c r="J243" s="3" t="s">
        <v>61</v>
      </c>
      <c r="L243" s="2" t="s">
        <v>3192</v>
      </c>
      <c r="M243" s="3" t="s">
        <v>248</v>
      </c>
      <c r="O243" s="3" t="s">
        <v>64</v>
      </c>
      <c r="P243" s="3" t="s">
        <v>130</v>
      </c>
      <c r="R243" s="3" t="s">
        <v>67</v>
      </c>
      <c r="S243" s="4">
        <v>2</v>
      </c>
      <c r="T243" s="4">
        <v>2</v>
      </c>
      <c r="U243" s="5" t="s">
        <v>3193</v>
      </c>
      <c r="V243" s="5" t="s">
        <v>3193</v>
      </c>
      <c r="W243" s="5" t="s">
        <v>2773</v>
      </c>
      <c r="X243" s="5" t="s">
        <v>2773</v>
      </c>
      <c r="Y243" s="4">
        <v>247</v>
      </c>
      <c r="Z243" s="4">
        <v>201</v>
      </c>
      <c r="AA243" s="4">
        <v>217</v>
      </c>
      <c r="AB243" s="4">
        <v>1</v>
      </c>
      <c r="AC243" s="4">
        <v>1</v>
      </c>
      <c r="AD243" s="4">
        <v>5</v>
      </c>
      <c r="AE243" s="4">
        <v>5</v>
      </c>
      <c r="AF243" s="4">
        <v>1</v>
      </c>
      <c r="AG243" s="4">
        <v>1</v>
      </c>
      <c r="AH243" s="4">
        <v>2</v>
      </c>
      <c r="AI243" s="4">
        <v>2</v>
      </c>
      <c r="AJ243" s="4">
        <v>4</v>
      </c>
      <c r="AK243" s="4">
        <v>4</v>
      </c>
      <c r="AL243" s="4">
        <v>0</v>
      </c>
      <c r="AM243" s="4">
        <v>0</v>
      </c>
      <c r="AN243" s="4">
        <v>0</v>
      </c>
      <c r="AO243" s="4">
        <v>0</v>
      </c>
      <c r="AP243" s="3" t="s">
        <v>59</v>
      </c>
      <c r="AQ243" s="3" t="s">
        <v>70</v>
      </c>
      <c r="AR243" s="6" t="str">
        <f>HYPERLINK("http://catalog.hathitrust.org/Record/000774951","HathiTrust Record")</f>
        <v>HathiTrust Record</v>
      </c>
      <c r="AS243" s="6" t="str">
        <f>HYPERLINK("https://creighton-primo.hosted.exlibrisgroup.com/primo-explore/search?tab=default_tab&amp;search_scope=EVERYTHING&amp;vid=01CRU&amp;lang=en_US&amp;offset=0&amp;query=any,contains,991005152059702656","Catalog Record")</f>
        <v>Catalog Record</v>
      </c>
      <c r="AT243" s="6" t="str">
        <f>HYPERLINK("http://www.worldcat.org/oclc/7733574","WorldCat Record")</f>
        <v>WorldCat Record</v>
      </c>
      <c r="AU243" s="3" t="s">
        <v>3194</v>
      </c>
      <c r="AV243" s="3" t="s">
        <v>3195</v>
      </c>
      <c r="AW243" s="3" t="s">
        <v>3196</v>
      </c>
      <c r="AX243" s="3" t="s">
        <v>3196</v>
      </c>
      <c r="AY243" s="3" t="s">
        <v>3197</v>
      </c>
      <c r="AZ243" s="3" t="s">
        <v>75</v>
      </c>
      <c r="BB243" s="3" t="s">
        <v>3198</v>
      </c>
      <c r="BC243" s="3" t="s">
        <v>3199</v>
      </c>
      <c r="BD243" s="3" t="s">
        <v>3200</v>
      </c>
    </row>
    <row r="244" spans="1:56" ht="48" customHeight="1" x14ac:dyDescent="0.25">
      <c r="A244" s="7" t="s">
        <v>59</v>
      </c>
      <c r="B244" s="2" t="s">
        <v>3201</v>
      </c>
      <c r="C244" s="2" t="s">
        <v>3202</v>
      </c>
      <c r="D244" s="2" t="s">
        <v>3203</v>
      </c>
      <c r="F244" s="3" t="s">
        <v>59</v>
      </c>
      <c r="G244" s="3" t="s">
        <v>60</v>
      </c>
      <c r="H244" s="3" t="s">
        <v>59</v>
      </c>
      <c r="I244" s="3" t="s">
        <v>59</v>
      </c>
      <c r="J244" s="3" t="s">
        <v>61</v>
      </c>
      <c r="L244" s="2" t="s">
        <v>2336</v>
      </c>
      <c r="M244" s="3" t="s">
        <v>604</v>
      </c>
      <c r="O244" s="3" t="s">
        <v>64</v>
      </c>
      <c r="P244" s="3" t="s">
        <v>674</v>
      </c>
      <c r="Q244" s="2" t="s">
        <v>3204</v>
      </c>
      <c r="R244" s="3" t="s">
        <v>67</v>
      </c>
      <c r="S244" s="4">
        <v>3</v>
      </c>
      <c r="T244" s="4">
        <v>3</v>
      </c>
      <c r="U244" s="5" t="s">
        <v>193</v>
      </c>
      <c r="V244" s="5" t="s">
        <v>193</v>
      </c>
      <c r="W244" s="5" t="s">
        <v>3205</v>
      </c>
      <c r="X244" s="5" t="s">
        <v>3205</v>
      </c>
      <c r="Y244" s="4">
        <v>224</v>
      </c>
      <c r="Z244" s="4">
        <v>159</v>
      </c>
      <c r="AA244" s="4">
        <v>161</v>
      </c>
      <c r="AB244" s="4">
        <v>2</v>
      </c>
      <c r="AC244" s="4">
        <v>2</v>
      </c>
      <c r="AD244" s="4">
        <v>7</v>
      </c>
      <c r="AE244" s="4">
        <v>7</v>
      </c>
      <c r="AF244" s="4">
        <v>3</v>
      </c>
      <c r="AG244" s="4">
        <v>3</v>
      </c>
      <c r="AH244" s="4">
        <v>2</v>
      </c>
      <c r="AI244" s="4">
        <v>2</v>
      </c>
      <c r="AJ244" s="4">
        <v>4</v>
      </c>
      <c r="AK244" s="4">
        <v>4</v>
      </c>
      <c r="AL244" s="4">
        <v>1</v>
      </c>
      <c r="AM244" s="4">
        <v>1</v>
      </c>
      <c r="AN244" s="4">
        <v>0</v>
      </c>
      <c r="AO244" s="4">
        <v>0</v>
      </c>
      <c r="AP244" s="3" t="s">
        <v>59</v>
      </c>
      <c r="AQ244" s="3" t="s">
        <v>70</v>
      </c>
      <c r="AR244" s="6" t="str">
        <f>HYPERLINK("http://catalog.hathitrust.org/Record/002981985","HathiTrust Record")</f>
        <v>HathiTrust Record</v>
      </c>
      <c r="AS244" s="6" t="str">
        <f>HYPERLINK("https://creighton-primo.hosted.exlibrisgroup.com/primo-explore/search?tab=default_tab&amp;search_scope=EVERYTHING&amp;vid=01CRU&amp;lang=en_US&amp;offset=0&amp;query=any,contains,991002382289702656","Catalog Record")</f>
        <v>Catalog Record</v>
      </c>
      <c r="AT244" s="6" t="str">
        <f>HYPERLINK("http://www.worldcat.org/oclc/30971976","WorldCat Record")</f>
        <v>WorldCat Record</v>
      </c>
      <c r="AU244" s="3" t="s">
        <v>3206</v>
      </c>
      <c r="AV244" s="3" t="s">
        <v>3207</v>
      </c>
      <c r="AW244" s="3" t="s">
        <v>3208</v>
      </c>
      <c r="AX244" s="3" t="s">
        <v>3208</v>
      </c>
      <c r="AY244" s="3" t="s">
        <v>3209</v>
      </c>
      <c r="AZ244" s="3" t="s">
        <v>75</v>
      </c>
      <c r="BB244" s="3" t="s">
        <v>3210</v>
      </c>
      <c r="BC244" s="3" t="s">
        <v>3211</v>
      </c>
      <c r="BD244" s="3" t="s">
        <v>3212</v>
      </c>
    </row>
    <row r="245" spans="1:56" ht="48" customHeight="1" x14ac:dyDescent="0.25">
      <c r="A245" s="7" t="s">
        <v>59</v>
      </c>
      <c r="B245" s="2" t="s">
        <v>3213</v>
      </c>
      <c r="C245" s="2" t="s">
        <v>3214</v>
      </c>
      <c r="D245" s="2" t="s">
        <v>3215</v>
      </c>
      <c r="F245" s="3" t="s">
        <v>59</v>
      </c>
      <c r="G245" s="3" t="s">
        <v>60</v>
      </c>
      <c r="H245" s="3" t="s">
        <v>70</v>
      </c>
      <c r="I245" s="3" t="s">
        <v>59</v>
      </c>
      <c r="J245" s="3" t="s">
        <v>61</v>
      </c>
      <c r="K245" s="2" t="s">
        <v>882</v>
      </c>
      <c r="L245" s="2" t="s">
        <v>3216</v>
      </c>
      <c r="M245" s="3" t="s">
        <v>519</v>
      </c>
      <c r="O245" s="3" t="s">
        <v>64</v>
      </c>
      <c r="P245" s="3" t="s">
        <v>191</v>
      </c>
      <c r="R245" s="3" t="s">
        <v>67</v>
      </c>
      <c r="S245" s="4">
        <v>5</v>
      </c>
      <c r="T245" s="4">
        <v>10</v>
      </c>
      <c r="U245" s="5" t="s">
        <v>3193</v>
      </c>
      <c r="V245" s="5" t="s">
        <v>3193</v>
      </c>
      <c r="W245" s="5" t="s">
        <v>3217</v>
      </c>
      <c r="X245" s="5" t="s">
        <v>3217</v>
      </c>
      <c r="Y245" s="4">
        <v>297</v>
      </c>
      <c r="Z245" s="4">
        <v>232</v>
      </c>
      <c r="AA245" s="4">
        <v>255</v>
      </c>
      <c r="AB245" s="4">
        <v>4</v>
      </c>
      <c r="AC245" s="4">
        <v>4</v>
      </c>
      <c r="AD245" s="4">
        <v>10</v>
      </c>
      <c r="AE245" s="4">
        <v>10</v>
      </c>
      <c r="AF245" s="4">
        <v>3</v>
      </c>
      <c r="AG245" s="4">
        <v>3</v>
      </c>
      <c r="AH245" s="4">
        <v>3</v>
      </c>
      <c r="AI245" s="4">
        <v>3</v>
      </c>
      <c r="AJ245" s="4">
        <v>3</v>
      </c>
      <c r="AK245" s="4">
        <v>3</v>
      </c>
      <c r="AL245" s="4">
        <v>2</v>
      </c>
      <c r="AM245" s="4">
        <v>2</v>
      </c>
      <c r="AN245" s="4">
        <v>0</v>
      </c>
      <c r="AO245" s="4">
        <v>0</v>
      </c>
      <c r="AP245" s="3" t="s">
        <v>59</v>
      </c>
      <c r="AQ245" s="3" t="s">
        <v>59</v>
      </c>
      <c r="AS245" s="6" t="str">
        <f>HYPERLINK("https://creighton-primo.hosted.exlibrisgroup.com/primo-explore/search?tab=default_tab&amp;search_scope=EVERYTHING&amp;vid=01CRU&amp;lang=en_US&amp;offset=0&amp;query=any,contains,991001798079702656","Catalog Record")</f>
        <v>Catalog Record</v>
      </c>
      <c r="AT245" s="6" t="str">
        <f>HYPERLINK("http://www.worldcat.org/oclc/29908628","WorldCat Record")</f>
        <v>WorldCat Record</v>
      </c>
      <c r="AU245" s="3" t="s">
        <v>3218</v>
      </c>
      <c r="AV245" s="3" t="s">
        <v>3219</v>
      </c>
      <c r="AW245" s="3" t="s">
        <v>3220</v>
      </c>
      <c r="AX245" s="3" t="s">
        <v>3220</v>
      </c>
      <c r="AY245" s="3" t="s">
        <v>3221</v>
      </c>
      <c r="AZ245" s="3" t="s">
        <v>75</v>
      </c>
      <c r="BB245" s="3" t="s">
        <v>3222</v>
      </c>
      <c r="BC245" s="3" t="s">
        <v>3223</v>
      </c>
      <c r="BD245" s="3" t="s">
        <v>3224</v>
      </c>
    </row>
    <row r="246" spans="1:56" ht="48" customHeight="1" x14ac:dyDescent="0.25">
      <c r="A246" s="7" t="s">
        <v>59</v>
      </c>
      <c r="B246" s="2" t="s">
        <v>3225</v>
      </c>
      <c r="C246" s="2" t="s">
        <v>3226</v>
      </c>
      <c r="D246" s="2" t="s">
        <v>3227</v>
      </c>
      <c r="F246" s="3" t="s">
        <v>59</v>
      </c>
      <c r="G246" s="3" t="s">
        <v>60</v>
      </c>
      <c r="H246" s="3" t="s">
        <v>70</v>
      </c>
      <c r="I246" s="3" t="s">
        <v>59</v>
      </c>
      <c r="J246" s="3" t="s">
        <v>61</v>
      </c>
      <c r="K246" s="2" t="s">
        <v>3228</v>
      </c>
      <c r="L246" s="2" t="s">
        <v>3229</v>
      </c>
      <c r="M246" s="3" t="s">
        <v>417</v>
      </c>
      <c r="O246" s="3" t="s">
        <v>64</v>
      </c>
      <c r="P246" s="3" t="s">
        <v>130</v>
      </c>
      <c r="R246" s="3" t="s">
        <v>67</v>
      </c>
      <c r="S246" s="4">
        <v>4</v>
      </c>
      <c r="T246" s="4">
        <v>4</v>
      </c>
      <c r="U246" s="5" t="s">
        <v>3230</v>
      </c>
      <c r="V246" s="5" t="s">
        <v>3230</v>
      </c>
      <c r="W246" s="5" t="s">
        <v>2773</v>
      </c>
      <c r="X246" s="5" t="s">
        <v>2773</v>
      </c>
      <c r="Y246" s="4">
        <v>532</v>
      </c>
      <c r="Z246" s="4">
        <v>442</v>
      </c>
      <c r="AA246" s="4">
        <v>448</v>
      </c>
      <c r="AB246" s="4">
        <v>5</v>
      </c>
      <c r="AC246" s="4">
        <v>5</v>
      </c>
      <c r="AD246" s="4">
        <v>17</v>
      </c>
      <c r="AE246" s="4">
        <v>17</v>
      </c>
      <c r="AF246" s="4">
        <v>6</v>
      </c>
      <c r="AG246" s="4">
        <v>6</v>
      </c>
      <c r="AH246" s="4">
        <v>5</v>
      </c>
      <c r="AI246" s="4">
        <v>5</v>
      </c>
      <c r="AJ246" s="4">
        <v>8</v>
      </c>
      <c r="AK246" s="4">
        <v>8</v>
      </c>
      <c r="AL246" s="4">
        <v>3</v>
      </c>
      <c r="AM246" s="4">
        <v>3</v>
      </c>
      <c r="AN246" s="4">
        <v>0</v>
      </c>
      <c r="AO246" s="4">
        <v>0</v>
      </c>
      <c r="AP246" s="3" t="s">
        <v>59</v>
      </c>
      <c r="AQ246" s="3" t="s">
        <v>70</v>
      </c>
      <c r="AR246" s="6" t="str">
        <f>HYPERLINK("http://catalog.hathitrust.org/Record/000770573","HathiTrust Record")</f>
        <v>HathiTrust Record</v>
      </c>
      <c r="AS246" s="6" t="str">
        <f>HYPERLINK("https://creighton-primo.hosted.exlibrisgroup.com/primo-explore/search?tab=default_tab&amp;search_scope=EVERYTHING&amp;vid=01CRU&amp;lang=en_US&amp;offset=0&amp;query=any,contains,991000028329702656","Catalog Record")</f>
        <v>Catalog Record</v>
      </c>
      <c r="AT246" s="6" t="str">
        <f>HYPERLINK("http://www.worldcat.org/oclc/8590488","WorldCat Record")</f>
        <v>WorldCat Record</v>
      </c>
      <c r="AU246" s="3" t="s">
        <v>3231</v>
      </c>
      <c r="AV246" s="3" t="s">
        <v>3232</v>
      </c>
      <c r="AW246" s="3" t="s">
        <v>3233</v>
      </c>
      <c r="AX246" s="3" t="s">
        <v>3233</v>
      </c>
      <c r="AY246" s="3" t="s">
        <v>3234</v>
      </c>
      <c r="AZ246" s="3" t="s">
        <v>75</v>
      </c>
      <c r="BB246" s="3" t="s">
        <v>3235</v>
      </c>
      <c r="BC246" s="3" t="s">
        <v>3236</v>
      </c>
      <c r="BD246" s="3" t="s">
        <v>3237</v>
      </c>
    </row>
    <row r="247" spans="1:56" ht="48" customHeight="1" x14ac:dyDescent="0.25">
      <c r="A247" s="7" t="s">
        <v>59</v>
      </c>
      <c r="B247" s="2" t="s">
        <v>3238</v>
      </c>
      <c r="C247" s="2" t="s">
        <v>3239</v>
      </c>
      <c r="D247" s="2" t="s">
        <v>3240</v>
      </c>
      <c r="F247" s="3" t="s">
        <v>59</v>
      </c>
      <c r="G247" s="3" t="s">
        <v>60</v>
      </c>
      <c r="H247" s="3" t="s">
        <v>59</v>
      </c>
      <c r="I247" s="3" t="s">
        <v>59</v>
      </c>
      <c r="J247" s="3" t="s">
        <v>61</v>
      </c>
      <c r="L247" s="2" t="s">
        <v>3241</v>
      </c>
      <c r="M247" s="3" t="s">
        <v>190</v>
      </c>
      <c r="O247" s="3" t="s">
        <v>64</v>
      </c>
      <c r="P247" s="3" t="s">
        <v>674</v>
      </c>
      <c r="R247" s="3" t="s">
        <v>67</v>
      </c>
      <c r="S247" s="4">
        <v>9</v>
      </c>
      <c r="T247" s="4">
        <v>9</v>
      </c>
      <c r="U247" s="5" t="s">
        <v>2470</v>
      </c>
      <c r="V247" s="5" t="s">
        <v>2470</v>
      </c>
      <c r="W247" s="5" t="s">
        <v>2773</v>
      </c>
      <c r="X247" s="5" t="s">
        <v>2773</v>
      </c>
      <c r="Y247" s="4">
        <v>416</v>
      </c>
      <c r="Z247" s="4">
        <v>307</v>
      </c>
      <c r="AA247" s="4">
        <v>312</v>
      </c>
      <c r="AB247" s="4">
        <v>3</v>
      </c>
      <c r="AC247" s="4">
        <v>3</v>
      </c>
      <c r="AD247" s="4">
        <v>9</v>
      </c>
      <c r="AE247" s="4">
        <v>9</v>
      </c>
      <c r="AF247" s="4">
        <v>5</v>
      </c>
      <c r="AG247" s="4">
        <v>5</v>
      </c>
      <c r="AH247" s="4">
        <v>1</v>
      </c>
      <c r="AI247" s="4">
        <v>1</v>
      </c>
      <c r="AJ247" s="4">
        <v>1</v>
      </c>
      <c r="AK247" s="4">
        <v>1</v>
      </c>
      <c r="AL247" s="4">
        <v>2</v>
      </c>
      <c r="AM247" s="4">
        <v>2</v>
      </c>
      <c r="AN247" s="4">
        <v>0</v>
      </c>
      <c r="AO247" s="4">
        <v>0</v>
      </c>
      <c r="AP247" s="3" t="s">
        <v>59</v>
      </c>
      <c r="AQ247" s="3" t="s">
        <v>59</v>
      </c>
      <c r="AS247" s="6" t="str">
        <f>HYPERLINK("https://creighton-primo.hosted.exlibrisgroup.com/primo-explore/search?tab=default_tab&amp;search_scope=EVERYTHING&amp;vid=01CRU&amp;lang=en_US&amp;offset=0&amp;query=any,contains,991000774829702656","Catalog Record")</f>
        <v>Catalog Record</v>
      </c>
      <c r="AT247" s="6" t="str">
        <f>HYPERLINK("http://www.worldcat.org/oclc/13063099","WorldCat Record")</f>
        <v>WorldCat Record</v>
      </c>
      <c r="AU247" s="3" t="s">
        <v>3242</v>
      </c>
      <c r="AV247" s="3" t="s">
        <v>3243</v>
      </c>
      <c r="AW247" s="3" t="s">
        <v>3244</v>
      </c>
      <c r="AX247" s="3" t="s">
        <v>3244</v>
      </c>
      <c r="AY247" s="3" t="s">
        <v>3245</v>
      </c>
      <c r="AZ247" s="3" t="s">
        <v>75</v>
      </c>
      <c r="BB247" s="3" t="s">
        <v>3246</v>
      </c>
      <c r="BC247" s="3" t="s">
        <v>3247</v>
      </c>
      <c r="BD247" s="3" t="s">
        <v>3248</v>
      </c>
    </row>
    <row r="248" spans="1:56" ht="48" customHeight="1" x14ac:dyDescent="0.25">
      <c r="A248" s="7" t="s">
        <v>59</v>
      </c>
      <c r="B248" s="2" t="s">
        <v>3249</v>
      </c>
      <c r="C248" s="2" t="s">
        <v>3250</v>
      </c>
      <c r="D248" s="2" t="s">
        <v>3251</v>
      </c>
      <c r="F248" s="3" t="s">
        <v>59</v>
      </c>
      <c r="G248" s="3" t="s">
        <v>60</v>
      </c>
      <c r="H248" s="3" t="s">
        <v>59</v>
      </c>
      <c r="I248" s="3" t="s">
        <v>59</v>
      </c>
      <c r="J248" s="3" t="s">
        <v>61</v>
      </c>
      <c r="K248" s="2" t="s">
        <v>3252</v>
      </c>
      <c r="L248" s="2" t="s">
        <v>3253</v>
      </c>
      <c r="M248" s="3" t="s">
        <v>129</v>
      </c>
      <c r="O248" s="3" t="s">
        <v>64</v>
      </c>
      <c r="P248" s="3" t="s">
        <v>65</v>
      </c>
      <c r="R248" s="3" t="s">
        <v>67</v>
      </c>
      <c r="S248" s="4">
        <v>5</v>
      </c>
      <c r="T248" s="4">
        <v>5</v>
      </c>
      <c r="U248" s="5" t="s">
        <v>3193</v>
      </c>
      <c r="V248" s="5" t="s">
        <v>3193</v>
      </c>
      <c r="W248" s="5" t="s">
        <v>3254</v>
      </c>
      <c r="X248" s="5" t="s">
        <v>3254</v>
      </c>
      <c r="Y248" s="4">
        <v>299</v>
      </c>
      <c r="Z248" s="4">
        <v>221</v>
      </c>
      <c r="AA248" s="4">
        <v>228</v>
      </c>
      <c r="AB248" s="4">
        <v>2</v>
      </c>
      <c r="AC248" s="4">
        <v>2</v>
      </c>
      <c r="AD248" s="4">
        <v>11</v>
      </c>
      <c r="AE248" s="4">
        <v>11</v>
      </c>
      <c r="AF248" s="4">
        <v>6</v>
      </c>
      <c r="AG248" s="4">
        <v>6</v>
      </c>
      <c r="AH248" s="4">
        <v>2</v>
      </c>
      <c r="AI248" s="4">
        <v>2</v>
      </c>
      <c r="AJ248" s="4">
        <v>5</v>
      </c>
      <c r="AK248" s="4">
        <v>5</v>
      </c>
      <c r="AL248" s="4">
        <v>1</v>
      </c>
      <c r="AM248" s="4">
        <v>1</v>
      </c>
      <c r="AN248" s="4">
        <v>0</v>
      </c>
      <c r="AO248" s="4">
        <v>0</v>
      </c>
      <c r="AP248" s="3" t="s">
        <v>59</v>
      </c>
      <c r="AQ248" s="3" t="s">
        <v>70</v>
      </c>
      <c r="AR248" s="6" t="str">
        <f>HYPERLINK("http://catalog.hathitrust.org/Record/002549828","HathiTrust Record")</f>
        <v>HathiTrust Record</v>
      </c>
      <c r="AS248" s="6" t="str">
        <f>HYPERLINK("https://creighton-primo.hosted.exlibrisgroup.com/primo-explore/search?tab=default_tab&amp;search_scope=EVERYTHING&amp;vid=01CRU&amp;lang=en_US&amp;offset=0&amp;query=any,contains,991001937639702656","Catalog Record")</f>
        <v>Catalog Record</v>
      </c>
      <c r="AT248" s="6" t="str">
        <f>HYPERLINK("http://www.worldcat.org/oclc/24469256","WorldCat Record")</f>
        <v>WorldCat Record</v>
      </c>
      <c r="AU248" s="3" t="s">
        <v>3255</v>
      </c>
      <c r="AV248" s="3" t="s">
        <v>3256</v>
      </c>
      <c r="AW248" s="3" t="s">
        <v>3257</v>
      </c>
      <c r="AX248" s="3" t="s">
        <v>3257</v>
      </c>
      <c r="AY248" s="3" t="s">
        <v>3258</v>
      </c>
      <c r="AZ248" s="3" t="s">
        <v>75</v>
      </c>
      <c r="BB248" s="3" t="s">
        <v>3259</v>
      </c>
      <c r="BC248" s="3" t="s">
        <v>3260</v>
      </c>
      <c r="BD248" s="3" t="s">
        <v>3261</v>
      </c>
    </row>
    <row r="249" spans="1:56" ht="48" customHeight="1" x14ac:dyDescent="0.25">
      <c r="A249" s="7" t="s">
        <v>59</v>
      </c>
      <c r="B249" s="2" t="s">
        <v>3262</v>
      </c>
      <c r="C249" s="2" t="s">
        <v>3263</v>
      </c>
      <c r="D249" s="2" t="s">
        <v>3264</v>
      </c>
      <c r="F249" s="3" t="s">
        <v>59</v>
      </c>
      <c r="G249" s="3" t="s">
        <v>60</v>
      </c>
      <c r="H249" s="3" t="s">
        <v>59</v>
      </c>
      <c r="I249" s="3" t="s">
        <v>59</v>
      </c>
      <c r="J249" s="3" t="s">
        <v>61</v>
      </c>
      <c r="K249" s="2" t="s">
        <v>3265</v>
      </c>
      <c r="L249" s="2" t="s">
        <v>3166</v>
      </c>
      <c r="M249" s="3" t="s">
        <v>1611</v>
      </c>
      <c r="O249" s="3" t="s">
        <v>64</v>
      </c>
      <c r="P249" s="3" t="s">
        <v>674</v>
      </c>
      <c r="R249" s="3" t="s">
        <v>67</v>
      </c>
      <c r="S249" s="4">
        <v>5</v>
      </c>
      <c r="T249" s="4">
        <v>5</v>
      </c>
      <c r="U249" s="5" t="s">
        <v>177</v>
      </c>
      <c r="V249" s="5" t="s">
        <v>177</v>
      </c>
      <c r="W249" s="5" t="s">
        <v>3168</v>
      </c>
      <c r="X249" s="5" t="s">
        <v>3168</v>
      </c>
      <c r="Y249" s="4">
        <v>614</v>
      </c>
      <c r="Z249" s="4">
        <v>457</v>
      </c>
      <c r="AA249" s="4">
        <v>464</v>
      </c>
      <c r="AB249" s="4">
        <v>4</v>
      </c>
      <c r="AC249" s="4">
        <v>4</v>
      </c>
      <c r="AD249" s="4">
        <v>17</v>
      </c>
      <c r="AE249" s="4">
        <v>17</v>
      </c>
      <c r="AF249" s="4">
        <v>7</v>
      </c>
      <c r="AG249" s="4">
        <v>7</v>
      </c>
      <c r="AH249" s="4">
        <v>3</v>
      </c>
      <c r="AI249" s="4">
        <v>3</v>
      </c>
      <c r="AJ249" s="4">
        <v>7</v>
      </c>
      <c r="AK249" s="4">
        <v>7</v>
      </c>
      <c r="AL249" s="4">
        <v>3</v>
      </c>
      <c r="AM249" s="4">
        <v>3</v>
      </c>
      <c r="AN249" s="4">
        <v>0</v>
      </c>
      <c r="AO249" s="4">
        <v>0</v>
      </c>
      <c r="AP249" s="3" t="s">
        <v>59</v>
      </c>
      <c r="AQ249" s="3" t="s">
        <v>70</v>
      </c>
      <c r="AR249" s="6" t="str">
        <f>HYPERLINK("http://catalog.hathitrust.org/Record/003100607","HathiTrust Record")</f>
        <v>HathiTrust Record</v>
      </c>
      <c r="AS249" s="6" t="str">
        <f>HYPERLINK("https://creighton-primo.hosted.exlibrisgroup.com/primo-explore/search?tab=default_tab&amp;search_scope=EVERYTHING&amp;vid=01CRU&amp;lang=en_US&amp;offset=0&amp;query=any,contains,991002528799702656","Catalog Record")</f>
        <v>Catalog Record</v>
      </c>
      <c r="AT249" s="6" t="str">
        <f>HYPERLINK("http://www.worldcat.org/oclc/32859687","WorldCat Record")</f>
        <v>WorldCat Record</v>
      </c>
      <c r="AU249" s="3" t="s">
        <v>3266</v>
      </c>
      <c r="AV249" s="3" t="s">
        <v>3267</v>
      </c>
      <c r="AW249" s="3" t="s">
        <v>3268</v>
      </c>
      <c r="AX249" s="3" t="s">
        <v>3268</v>
      </c>
      <c r="AY249" s="3" t="s">
        <v>3269</v>
      </c>
      <c r="AZ249" s="3" t="s">
        <v>75</v>
      </c>
      <c r="BB249" s="3" t="s">
        <v>3270</v>
      </c>
      <c r="BC249" s="3" t="s">
        <v>3271</v>
      </c>
      <c r="BD249" s="3" t="s">
        <v>3272</v>
      </c>
    </row>
    <row r="250" spans="1:56" ht="48" customHeight="1" x14ac:dyDescent="0.25">
      <c r="A250" s="7" t="s">
        <v>59</v>
      </c>
      <c r="B250" s="2" t="s">
        <v>3273</v>
      </c>
      <c r="C250" s="2" t="s">
        <v>3274</v>
      </c>
      <c r="D250" s="2" t="s">
        <v>3275</v>
      </c>
      <c r="F250" s="3" t="s">
        <v>59</v>
      </c>
      <c r="G250" s="3" t="s">
        <v>60</v>
      </c>
      <c r="H250" s="3" t="s">
        <v>59</v>
      </c>
      <c r="I250" s="3" t="s">
        <v>59</v>
      </c>
      <c r="J250" s="3" t="s">
        <v>61</v>
      </c>
      <c r="K250" s="2" t="s">
        <v>3276</v>
      </c>
      <c r="L250" s="2" t="s">
        <v>3277</v>
      </c>
      <c r="M250" s="3" t="s">
        <v>319</v>
      </c>
      <c r="O250" s="3" t="s">
        <v>64</v>
      </c>
      <c r="P250" s="3" t="s">
        <v>912</v>
      </c>
      <c r="R250" s="3" t="s">
        <v>67</v>
      </c>
      <c r="S250" s="4">
        <v>3</v>
      </c>
      <c r="T250" s="4">
        <v>3</v>
      </c>
      <c r="U250" s="5" t="s">
        <v>3230</v>
      </c>
      <c r="V250" s="5" t="s">
        <v>3230</v>
      </c>
      <c r="W250" s="5" t="s">
        <v>2773</v>
      </c>
      <c r="X250" s="5" t="s">
        <v>2773</v>
      </c>
      <c r="Y250" s="4">
        <v>660</v>
      </c>
      <c r="Z250" s="4">
        <v>501</v>
      </c>
      <c r="AA250" s="4">
        <v>648</v>
      </c>
      <c r="AB250" s="4">
        <v>4</v>
      </c>
      <c r="AC250" s="4">
        <v>4</v>
      </c>
      <c r="AD250" s="4">
        <v>18</v>
      </c>
      <c r="AE250" s="4">
        <v>30</v>
      </c>
      <c r="AF250" s="4">
        <v>5</v>
      </c>
      <c r="AG250" s="4">
        <v>12</v>
      </c>
      <c r="AH250" s="4">
        <v>3</v>
      </c>
      <c r="AI250" s="4">
        <v>7</v>
      </c>
      <c r="AJ250" s="4">
        <v>9</v>
      </c>
      <c r="AK250" s="4">
        <v>15</v>
      </c>
      <c r="AL250" s="4">
        <v>3</v>
      </c>
      <c r="AM250" s="4">
        <v>3</v>
      </c>
      <c r="AN250" s="4">
        <v>0</v>
      </c>
      <c r="AO250" s="4">
        <v>0</v>
      </c>
      <c r="AP250" s="3" t="s">
        <v>59</v>
      </c>
      <c r="AQ250" s="3" t="s">
        <v>59</v>
      </c>
      <c r="AS250" s="6" t="str">
        <f>HYPERLINK("https://creighton-primo.hosted.exlibrisgroup.com/primo-explore/search?tab=default_tab&amp;search_scope=EVERYTHING&amp;vid=01CRU&amp;lang=en_US&amp;offset=0&amp;query=any,contains,991000127429702656","Catalog Record")</f>
        <v>Catalog Record</v>
      </c>
      <c r="AT250" s="6" t="str">
        <f>HYPERLINK("http://www.worldcat.org/oclc/9084571","WorldCat Record")</f>
        <v>WorldCat Record</v>
      </c>
      <c r="AU250" s="3" t="s">
        <v>3278</v>
      </c>
      <c r="AV250" s="3" t="s">
        <v>3279</v>
      </c>
      <c r="AW250" s="3" t="s">
        <v>3280</v>
      </c>
      <c r="AX250" s="3" t="s">
        <v>3280</v>
      </c>
      <c r="AY250" s="3" t="s">
        <v>3281</v>
      </c>
      <c r="AZ250" s="3" t="s">
        <v>75</v>
      </c>
      <c r="BB250" s="3" t="s">
        <v>3282</v>
      </c>
      <c r="BC250" s="3" t="s">
        <v>3283</v>
      </c>
      <c r="BD250" s="3" t="s">
        <v>3284</v>
      </c>
    </row>
    <row r="251" spans="1:56" ht="48" customHeight="1" x14ac:dyDescent="0.25">
      <c r="A251" s="7" t="s">
        <v>59</v>
      </c>
      <c r="B251" s="2" t="s">
        <v>3285</v>
      </c>
      <c r="C251" s="2" t="s">
        <v>3286</v>
      </c>
      <c r="D251" s="2" t="s">
        <v>3287</v>
      </c>
      <c r="F251" s="3" t="s">
        <v>59</v>
      </c>
      <c r="G251" s="3" t="s">
        <v>60</v>
      </c>
      <c r="H251" s="3" t="s">
        <v>59</v>
      </c>
      <c r="I251" s="3" t="s">
        <v>59</v>
      </c>
      <c r="J251" s="3" t="s">
        <v>61</v>
      </c>
      <c r="L251" s="2" t="s">
        <v>3288</v>
      </c>
      <c r="M251" s="3" t="s">
        <v>500</v>
      </c>
      <c r="O251" s="3" t="s">
        <v>64</v>
      </c>
      <c r="P251" s="3" t="s">
        <v>65</v>
      </c>
      <c r="R251" s="3" t="s">
        <v>67</v>
      </c>
      <c r="S251" s="4">
        <v>1</v>
      </c>
      <c r="T251" s="4">
        <v>1</v>
      </c>
      <c r="U251" s="5" t="s">
        <v>3230</v>
      </c>
      <c r="V251" s="5" t="s">
        <v>3230</v>
      </c>
      <c r="W251" s="5" t="s">
        <v>3289</v>
      </c>
      <c r="X251" s="5" t="s">
        <v>3289</v>
      </c>
      <c r="Y251" s="4">
        <v>106</v>
      </c>
      <c r="Z251" s="4">
        <v>97</v>
      </c>
      <c r="AA251" s="4">
        <v>155</v>
      </c>
      <c r="AB251" s="4">
        <v>1</v>
      </c>
      <c r="AC251" s="4">
        <v>2</v>
      </c>
      <c r="AD251" s="4">
        <v>2</v>
      </c>
      <c r="AE251" s="4">
        <v>3</v>
      </c>
      <c r="AF251" s="4">
        <v>1</v>
      </c>
      <c r="AG251" s="4">
        <v>1</v>
      </c>
      <c r="AH251" s="4">
        <v>0</v>
      </c>
      <c r="AI251" s="4">
        <v>0</v>
      </c>
      <c r="AJ251" s="4">
        <v>1</v>
      </c>
      <c r="AK251" s="4">
        <v>1</v>
      </c>
      <c r="AL251" s="4">
        <v>0</v>
      </c>
      <c r="AM251" s="4">
        <v>1</v>
      </c>
      <c r="AN251" s="4">
        <v>0</v>
      </c>
      <c r="AO251" s="4">
        <v>0</v>
      </c>
      <c r="AP251" s="3" t="s">
        <v>59</v>
      </c>
      <c r="AQ251" s="3" t="s">
        <v>59</v>
      </c>
      <c r="AS251" s="6" t="str">
        <f>HYPERLINK("https://creighton-primo.hosted.exlibrisgroup.com/primo-explore/search?tab=default_tab&amp;search_scope=EVERYTHING&amp;vid=01CRU&amp;lang=en_US&amp;offset=0&amp;query=any,contains,991005265749702656","Catalog Record")</f>
        <v>Catalog Record</v>
      </c>
      <c r="AT251" s="6" t="str">
        <f>HYPERLINK("http://www.worldcat.org/oclc/92541","WorldCat Record")</f>
        <v>WorldCat Record</v>
      </c>
      <c r="AU251" s="3" t="s">
        <v>3290</v>
      </c>
      <c r="AV251" s="3" t="s">
        <v>3291</v>
      </c>
      <c r="AW251" s="3" t="s">
        <v>3292</v>
      </c>
      <c r="AX251" s="3" t="s">
        <v>3292</v>
      </c>
      <c r="AY251" s="3" t="s">
        <v>3293</v>
      </c>
      <c r="AZ251" s="3" t="s">
        <v>75</v>
      </c>
      <c r="BC251" s="3" t="s">
        <v>3294</v>
      </c>
      <c r="BD251" s="3" t="s">
        <v>3295</v>
      </c>
    </row>
    <row r="252" spans="1:56" ht="48" customHeight="1" x14ac:dyDescent="0.25">
      <c r="A252" s="7" t="s">
        <v>59</v>
      </c>
      <c r="B252" s="2" t="s">
        <v>3296</v>
      </c>
      <c r="C252" s="2" t="s">
        <v>3297</v>
      </c>
      <c r="D252" s="2" t="s">
        <v>3298</v>
      </c>
      <c r="F252" s="3" t="s">
        <v>59</v>
      </c>
      <c r="G252" s="3" t="s">
        <v>60</v>
      </c>
      <c r="H252" s="3" t="s">
        <v>59</v>
      </c>
      <c r="I252" s="3" t="s">
        <v>59</v>
      </c>
      <c r="J252" s="3" t="s">
        <v>61</v>
      </c>
      <c r="K252" s="2" t="s">
        <v>3299</v>
      </c>
      <c r="L252" s="2" t="s">
        <v>3300</v>
      </c>
      <c r="M252" s="3" t="s">
        <v>549</v>
      </c>
      <c r="O252" s="3" t="s">
        <v>64</v>
      </c>
      <c r="P252" s="3" t="s">
        <v>130</v>
      </c>
      <c r="R252" s="3" t="s">
        <v>67</v>
      </c>
      <c r="S252" s="4">
        <v>1</v>
      </c>
      <c r="T252" s="4">
        <v>1</v>
      </c>
      <c r="U252" s="5" t="s">
        <v>3230</v>
      </c>
      <c r="V252" s="5" t="s">
        <v>3230</v>
      </c>
      <c r="W252" s="5" t="s">
        <v>3301</v>
      </c>
      <c r="X252" s="5" t="s">
        <v>3301</v>
      </c>
      <c r="Y252" s="4">
        <v>264</v>
      </c>
      <c r="Z252" s="4">
        <v>177</v>
      </c>
      <c r="AA252" s="4">
        <v>180</v>
      </c>
      <c r="AB252" s="4">
        <v>2</v>
      </c>
      <c r="AC252" s="4">
        <v>2</v>
      </c>
      <c r="AD252" s="4">
        <v>4</v>
      </c>
      <c r="AE252" s="4">
        <v>4</v>
      </c>
      <c r="AF252" s="4">
        <v>0</v>
      </c>
      <c r="AG252" s="4">
        <v>0</v>
      </c>
      <c r="AH252" s="4">
        <v>0</v>
      </c>
      <c r="AI252" s="4">
        <v>0</v>
      </c>
      <c r="AJ252" s="4">
        <v>3</v>
      </c>
      <c r="AK252" s="4">
        <v>3</v>
      </c>
      <c r="AL252" s="4">
        <v>1</v>
      </c>
      <c r="AM252" s="4">
        <v>1</v>
      </c>
      <c r="AN252" s="4">
        <v>0</v>
      </c>
      <c r="AO252" s="4">
        <v>0</v>
      </c>
      <c r="AP252" s="3" t="s">
        <v>59</v>
      </c>
      <c r="AQ252" s="3" t="s">
        <v>70</v>
      </c>
      <c r="AR252" s="6" t="str">
        <f>HYPERLINK("http://catalog.hathitrust.org/Record/001554468","HathiTrust Record")</f>
        <v>HathiTrust Record</v>
      </c>
      <c r="AS252" s="6" t="str">
        <f>HYPERLINK("https://creighton-primo.hosted.exlibrisgroup.com/primo-explore/search?tab=default_tab&amp;search_scope=EVERYTHING&amp;vid=01CRU&amp;lang=en_US&amp;offset=0&amp;query=any,contains,991004040989702656","Catalog Record")</f>
        <v>Catalog Record</v>
      </c>
      <c r="AT252" s="6" t="str">
        <f>HYPERLINK("http://www.worldcat.org/oclc/2188405","WorldCat Record")</f>
        <v>WorldCat Record</v>
      </c>
      <c r="AU252" s="3" t="s">
        <v>3302</v>
      </c>
      <c r="AV252" s="3" t="s">
        <v>3303</v>
      </c>
      <c r="AW252" s="3" t="s">
        <v>3304</v>
      </c>
      <c r="AX252" s="3" t="s">
        <v>3304</v>
      </c>
      <c r="AY252" s="3" t="s">
        <v>3305</v>
      </c>
      <c r="AZ252" s="3" t="s">
        <v>75</v>
      </c>
      <c r="BB252" s="3" t="s">
        <v>3306</v>
      </c>
      <c r="BC252" s="3" t="s">
        <v>3307</v>
      </c>
      <c r="BD252" s="3" t="s">
        <v>3308</v>
      </c>
    </row>
    <row r="253" spans="1:56" ht="48" customHeight="1" x14ac:dyDescent="0.25">
      <c r="A253" s="7" t="s">
        <v>59</v>
      </c>
      <c r="B253" s="2" t="s">
        <v>3309</v>
      </c>
      <c r="C253" s="2" t="s">
        <v>3310</v>
      </c>
      <c r="D253" s="2" t="s">
        <v>3311</v>
      </c>
      <c r="F253" s="3" t="s">
        <v>59</v>
      </c>
      <c r="G253" s="3" t="s">
        <v>60</v>
      </c>
      <c r="H253" s="3" t="s">
        <v>59</v>
      </c>
      <c r="I253" s="3" t="s">
        <v>59</v>
      </c>
      <c r="J253" s="3" t="s">
        <v>61</v>
      </c>
      <c r="K253" s="2" t="s">
        <v>3312</v>
      </c>
      <c r="L253" s="2" t="s">
        <v>3313</v>
      </c>
      <c r="M253" s="3" t="s">
        <v>604</v>
      </c>
      <c r="O253" s="3" t="s">
        <v>64</v>
      </c>
      <c r="P253" s="3" t="s">
        <v>674</v>
      </c>
      <c r="Q253" s="2" t="s">
        <v>3314</v>
      </c>
      <c r="R253" s="3" t="s">
        <v>67</v>
      </c>
      <c r="S253" s="4">
        <v>6</v>
      </c>
      <c r="T253" s="4">
        <v>6</v>
      </c>
      <c r="U253" s="5" t="s">
        <v>2016</v>
      </c>
      <c r="V253" s="5" t="s">
        <v>2016</v>
      </c>
      <c r="W253" s="5" t="s">
        <v>3315</v>
      </c>
      <c r="X253" s="5" t="s">
        <v>3315</v>
      </c>
      <c r="Y253" s="4">
        <v>305</v>
      </c>
      <c r="Z253" s="4">
        <v>189</v>
      </c>
      <c r="AA253" s="4">
        <v>191</v>
      </c>
      <c r="AB253" s="4">
        <v>1</v>
      </c>
      <c r="AC253" s="4">
        <v>1</v>
      </c>
      <c r="AD253" s="4">
        <v>6</v>
      </c>
      <c r="AE253" s="4">
        <v>6</v>
      </c>
      <c r="AF253" s="4">
        <v>4</v>
      </c>
      <c r="AG253" s="4">
        <v>4</v>
      </c>
      <c r="AH253" s="4">
        <v>2</v>
      </c>
      <c r="AI253" s="4">
        <v>2</v>
      </c>
      <c r="AJ253" s="4">
        <v>3</v>
      </c>
      <c r="AK253" s="4">
        <v>3</v>
      </c>
      <c r="AL253" s="4">
        <v>0</v>
      </c>
      <c r="AM253" s="4">
        <v>0</v>
      </c>
      <c r="AN253" s="4">
        <v>0</v>
      </c>
      <c r="AO253" s="4">
        <v>0</v>
      </c>
      <c r="AP253" s="3" t="s">
        <v>59</v>
      </c>
      <c r="AQ253" s="3" t="s">
        <v>70</v>
      </c>
      <c r="AR253" s="6" t="str">
        <f>HYPERLINK("http://catalog.hathitrust.org/Record/002916199","HathiTrust Record")</f>
        <v>HathiTrust Record</v>
      </c>
      <c r="AS253" s="6" t="str">
        <f>HYPERLINK("https://creighton-primo.hosted.exlibrisgroup.com/primo-explore/search?tab=default_tab&amp;search_scope=EVERYTHING&amp;vid=01CRU&amp;lang=en_US&amp;offset=0&amp;query=any,contains,991002347179702656","Catalog Record")</f>
        <v>Catalog Record</v>
      </c>
      <c r="AT253" s="6" t="str">
        <f>HYPERLINK("http://www.worldcat.org/oclc/30548074","WorldCat Record")</f>
        <v>WorldCat Record</v>
      </c>
      <c r="AU253" s="3" t="s">
        <v>3316</v>
      </c>
      <c r="AV253" s="3" t="s">
        <v>3317</v>
      </c>
      <c r="AW253" s="3" t="s">
        <v>3318</v>
      </c>
      <c r="AX253" s="3" t="s">
        <v>3318</v>
      </c>
      <c r="AY253" s="3" t="s">
        <v>3319</v>
      </c>
      <c r="AZ253" s="3" t="s">
        <v>75</v>
      </c>
      <c r="BB253" s="3" t="s">
        <v>3320</v>
      </c>
      <c r="BC253" s="3" t="s">
        <v>3321</v>
      </c>
      <c r="BD253" s="3" t="s">
        <v>3322</v>
      </c>
    </row>
    <row r="254" spans="1:56" ht="48" customHeight="1" x14ac:dyDescent="0.25">
      <c r="A254" s="7" t="s">
        <v>59</v>
      </c>
      <c r="B254" s="2" t="s">
        <v>3323</v>
      </c>
      <c r="C254" s="2" t="s">
        <v>3324</v>
      </c>
      <c r="D254" s="2" t="s">
        <v>3325</v>
      </c>
      <c r="F254" s="3" t="s">
        <v>59</v>
      </c>
      <c r="G254" s="3" t="s">
        <v>60</v>
      </c>
      <c r="H254" s="3" t="s">
        <v>59</v>
      </c>
      <c r="I254" s="3" t="s">
        <v>59</v>
      </c>
      <c r="J254" s="3" t="s">
        <v>61</v>
      </c>
      <c r="K254" s="2" t="s">
        <v>3326</v>
      </c>
      <c r="L254" s="2" t="s">
        <v>3327</v>
      </c>
      <c r="M254" s="3" t="s">
        <v>363</v>
      </c>
      <c r="N254" s="2" t="s">
        <v>2003</v>
      </c>
      <c r="O254" s="3" t="s">
        <v>64</v>
      </c>
      <c r="P254" s="3" t="s">
        <v>130</v>
      </c>
      <c r="R254" s="3" t="s">
        <v>67</v>
      </c>
      <c r="S254" s="4">
        <v>17</v>
      </c>
      <c r="T254" s="4">
        <v>17</v>
      </c>
      <c r="U254" s="5" t="s">
        <v>3328</v>
      </c>
      <c r="V254" s="5" t="s">
        <v>3328</v>
      </c>
      <c r="W254" s="5" t="s">
        <v>1217</v>
      </c>
      <c r="X254" s="5" t="s">
        <v>1217</v>
      </c>
      <c r="Y254" s="4">
        <v>318</v>
      </c>
      <c r="Z254" s="4">
        <v>170</v>
      </c>
      <c r="AA254" s="4">
        <v>701</v>
      </c>
      <c r="AB254" s="4">
        <v>3</v>
      </c>
      <c r="AC254" s="4">
        <v>7</v>
      </c>
      <c r="AD254" s="4">
        <v>7</v>
      </c>
      <c r="AE254" s="4">
        <v>22</v>
      </c>
      <c r="AF254" s="4">
        <v>3</v>
      </c>
      <c r="AG254" s="4">
        <v>9</v>
      </c>
      <c r="AH254" s="4">
        <v>2</v>
      </c>
      <c r="AI254" s="4">
        <v>5</v>
      </c>
      <c r="AJ254" s="4">
        <v>3</v>
      </c>
      <c r="AK254" s="4">
        <v>9</v>
      </c>
      <c r="AL254" s="4">
        <v>2</v>
      </c>
      <c r="AM254" s="4">
        <v>6</v>
      </c>
      <c r="AN254" s="4">
        <v>0</v>
      </c>
      <c r="AO254" s="4">
        <v>0</v>
      </c>
      <c r="AP254" s="3" t="s">
        <v>59</v>
      </c>
      <c r="AQ254" s="3" t="s">
        <v>70</v>
      </c>
      <c r="AR254" s="6" t="str">
        <f>HYPERLINK("http://catalog.hathitrust.org/Record/008331238","HathiTrust Record")</f>
        <v>HathiTrust Record</v>
      </c>
      <c r="AS254" s="6" t="str">
        <f>HYPERLINK("https://creighton-primo.hosted.exlibrisgroup.com/primo-explore/search?tab=default_tab&amp;search_scope=EVERYTHING&amp;vid=01CRU&amp;lang=en_US&amp;offset=0&amp;query=any,contains,991005128939702656","Catalog Record")</f>
        <v>Catalog Record</v>
      </c>
      <c r="AT254" s="6" t="str">
        <f>HYPERLINK("http://www.worldcat.org/oclc/7555741","WorldCat Record")</f>
        <v>WorldCat Record</v>
      </c>
      <c r="AU254" s="3" t="s">
        <v>3329</v>
      </c>
      <c r="AV254" s="3" t="s">
        <v>3330</v>
      </c>
      <c r="AW254" s="3" t="s">
        <v>3331</v>
      </c>
      <c r="AX254" s="3" t="s">
        <v>3331</v>
      </c>
      <c r="AY254" s="3" t="s">
        <v>3332</v>
      </c>
      <c r="AZ254" s="3" t="s">
        <v>75</v>
      </c>
      <c r="BB254" s="3" t="s">
        <v>3333</v>
      </c>
      <c r="BC254" s="3" t="s">
        <v>3334</v>
      </c>
      <c r="BD254" s="3" t="s">
        <v>3335</v>
      </c>
    </row>
    <row r="255" spans="1:56" ht="48" customHeight="1" x14ac:dyDescent="0.25">
      <c r="A255" s="7" t="s">
        <v>59</v>
      </c>
      <c r="B255" s="2" t="s">
        <v>3336</v>
      </c>
      <c r="C255" s="2" t="s">
        <v>3337</v>
      </c>
      <c r="D255" s="2" t="s">
        <v>3338</v>
      </c>
      <c r="F255" s="3" t="s">
        <v>59</v>
      </c>
      <c r="G255" s="3" t="s">
        <v>60</v>
      </c>
      <c r="H255" s="3" t="s">
        <v>59</v>
      </c>
      <c r="I255" s="3" t="s">
        <v>59</v>
      </c>
      <c r="J255" s="3" t="s">
        <v>61</v>
      </c>
      <c r="K255" s="2" t="s">
        <v>3339</v>
      </c>
      <c r="L255" s="2" t="s">
        <v>3340</v>
      </c>
      <c r="M255" s="3" t="s">
        <v>417</v>
      </c>
      <c r="N255" s="2" t="s">
        <v>926</v>
      </c>
      <c r="O255" s="3" t="s">
        <v>64</v>
      </c>
      <c r="P255" s="3" t="s">
        <v>912</v>
      </c>
      <c r="R255" s="3" t="s">
        <v>67</v>
      </c>
      <c r="S255" s="4">
        <v>14</v>
      </c>
      <c r="T255" s="4">
        <v>14</v>
      </c>
      <c r="U255" s="5" t="s">
        <v>3341</v>
      </c>
      <c r="V255" s="5" t="s">
        <v>3341</v>
      </c>
      <c r="W255" s="5" t="s">
        <v>2631</v>
      </c>
      <c r="X255" s="5" t="s">
        <v>2631</v>
      </c>
      <c r="Y255" s="4">
        <v>282</v>
      </c>
      <c r="Z255" s="4">
        <v>188</v>
      </c>
      <c r="AA255" s="4">
        <v>740</v>
      </c>
      <c r="AB255" s="4">
        <v>2</v>
      </c>
      <c r="AC255" s="4">
        <v>5</v>
      </c>
      <c r="AD255" s="4">
        <v>7</v>
      </c>
      <c r="AE255" s="4">
        <v>25</v>
      </c>
      <c r="AF255" s="4">
        <v>3</v>
      </c>
      <c r="AG255" s="4">
        <v>10</v>
      </c>
      <c r="AH255" s="4">
        <v>3</v>
      </c>
      <c r="AI255" s="4">
        <v>6</v>
      </c>
      <c r="AJ255" s="4">
        <v>3</v>
      </c>
      <c r="AK255" s="4">
        <v>12</v>
      </c>
      <c r="AL255" s="4">
        <v>1</v>
      </c>
      <c r="AM255" s="4">
        <v>4</v>
      </c>
      <c r="AN255" s="4">
        <v>0</v>
      </c>
      <c r="AO255" s="4">
        <v>0</v>
      </c>
      <c r="AP255" s="3" t="s">
        <v>59</v>
      </c>
      <c r="AQ255" s="3" t="s">
        <v>70</v>
      </c>
      <c r="AR255" s="6" t="str">
        <f>HYPERLINK("http://catalog.hathitrust.org/Record/007471586","HathiTrust Record")</f>
        <v>HathiTrust Record</v>
      </c>
      <c r="AS255" s="6" t="str">
        <f>HYPERLINK("https://creighton-primo.hosted.exlibrisgroup.com/primo-explore/search?tab=default_tab&amp;search_scope=EVERYTHING&amp;vid=01CRU&amp;lang=en_US&amp;offset=0&amp;query=any,contains,991000130599702656","Catalog Record")</f>
        <v>Catalog Record</v>
      </c>
      <c r="AT255" s="6" t="str">
        <f>HYPERLINK("http://www.worldcat.org/oclc/9111125","WorldCat Record")</f>
        <v>WorldCat Record</v>
      </c>
      <c r="AU255" s="3" t="s">
        <v>3342</v>
      </c>
      <c r="AV255" s="3" t="s">
        <v>3343</v>
      </c>
      <c r="AW255" s="3" t="s">
        <v>3344</v>
      </c>
      <c r="AX255" s="3" t="s">
        <v>3344</v>
      </c>
      <c r="AY255" s="3" t="s">
        <v>3345</v>
      </c>
      <c r="AZ255" s="3" t="s">
        <v>75</v>
      </c>
      <c r="BB255" s="3" t="s">
        <v>3346</v>
      </c>
      <c r="BC255" s="3" t="s">
        <v>3347</v>
      </c>
      <c r="BD255" s="3" t="s">
        <v>3348</v>
      </c>
    </row>
    <row r="256" spans="1:56" ht="48" customHeight="1" x14ac:dyDescent="0.25">
      <c r="A256" s="7" t="s">
        <v>59</v>
      </c>
      <c r="B256" s="2" t="s">
        <v>3349</v>
      </c>
      <c r="C256" s="2" t="s">
        <v>3350</v>
      </c>
      <c r="D256" s="2" t="s">
        <v>3351</v>
      </c>
      <c r="F256" s="3" t="s">
        <v>59</v>
      </c>
      <c r="G256" s="3" t="s">
        <v>60</v>
      </c>
      <c r="H256" s="3" t="s">
        <v>59</v>
      </c>
      <c r="I256" s="3" t="s">
        <v>59</v>
      </c>
      <c r="J256" s="3" t="s">
        <v>61</v>
      </c>
      <c r="K256" s="2" t="s">
        <v>3352</v>
      </c>
      <c r="L256" s="2" t="s">
        <v>3353</v>
      </c>
      <c r="M256" s="3" t="s">
        <v>175</v>
      </c>
      <c r="O256" s="3" t="s">
        <v>64</v>
      </c>
      <c r="P256" s="3" t="s">
        <v>130</v>
      </c>
      <c r="R256" s="3" t="s">
        <v>67</v>
      </c>
      <c r="S256" s="4">
        <v>1</v>
      </c>
      <c r="T256" s="4">
        <v>1</v>
      </c>
      <c r="U256" s="5" t="s">
        <v>3354</v>
      </c>
      <c r="V256" s="5" t="s">
        <v>3354</v>
      </c>
      <c r="W256" s="5" t="s">
        <v>3355</v>
      </c>
      <c r="X256" s="5" t="s">
        <v>3355</v>
      </c>
      <c r="Y256" s="4">
        <v>68</v>
      </c>
      <c r="Z256" s="4">
        <v>52</v>
      </c>
      <c r="AA256" s="4">
        <v>828</v>
      </c>
      <c r="AB256" s="4">
        <v>1</v>
      </c>
      <c r="AC256" s="4">
        <v>3</v>
      </c>
      <c r="AD256" s="4">
        <v>0</v>
      </c>
      <c r="AE256" s="4">
        <v>25</v>
      </c>
      <c r="AF256" s="4">
        <v>0</v>
      </c>
      <c r="AG256" s="4">
        <v>11</v>
      </c>
      <c r="AH256" s="4">
        <v>0</v>
      </c>
      <c r="AI256" s="4">
        <v>6</v>
      </c>
      <c r="AJ256" s="4">
        <v>0</v>
      </c>
      <c r="AK256" s="4">
        <v>16</v>
      </c>
      <c r="AL256" s="4">
        <v>0</v>
      </c>
      <c r="AM256" s="4">
        <v>2</v>
      </c>
      <c r="AN256" s="4">
        <v>0</v>
      </c>
      <c r="AO256" s="4">
        <v>0</v>
      </c>
      <c r="AP256" s="3" t="s">
        <v>59</v>
      </c>
      <c r="AQ256" s="3" t="s">
        <v>59</v>
      </c>
      <c r="AS256" s="6" t="str">
        <f>HYPERLINK("https://creighton-primo.hosted.exlibrisgroup.com/primo-explore/search?tab=default_tab&amp;search_scope=EVERYTHING&amp;vid=01CRU&amp;lang=en_US&amp;offset=0&amp;query=any,contains,991003667749702656","Catalog Record")</f>
        <v>Catalog Record</v>
      </c>
      <c r="AT256" s="6" t="str">
        <f>HYPERLINK("http://www.worldcat.org/oclc/43906425","WorldCat Record")</f>
        <v>WorldCat Record</v>
      </c>
      <c r="AU256" s="3" t="s">
        <v>3356</v>
      </c>
      <c r="AV256" s="3" t="s">
        <v>3357</v>
      </c>
      <c r="AW256" s="3" t="s">
        <v>3358</v>
      </c>
      <c r="AX256" s="3" t="s">
        <v>3358</v>
      </c>
      <c r="AY256" s="3" t="s">
        <v>3359</v>
      </c>
      <c r="AZ256" s="3" t="s">
        <v>75</v>
      </c>
      <c r="BB256" s="3" t="s">
        <v>3360</v>
      </c>
      <c r="BC256" s="3" t="s">
        <v>3361</v>
      </c>
      <c r="BD256" s="3" t="s">
        <v>3362</v>
      </c>
    </row>
    <row r="257" spans="1:56" ht="48" customHeight="1" x14ac:dyDescent="0.25">
      <c r="A257" s="7" t="s">
        <v>59</v>
      </c>
      <c r="B257" s="2" t="s">
        <v>3363</v>
      </c>
      <c r="C257" s="2" t="s">
        <v>3364</v>
      </c>
      <c r="D257" s="2" t="s">
        <v>3365</v>
      </c>
      <c r="F257" s="3" t="s">
        <v>59</v>
      </c>
      <c r="G257" s="3" t="s">
        <v>60</v>
      </c>
      <c r="H257" s="3" t="s">
        <v>59</v>
      </c>
      <c r="I257" s="3" t="s">
        <v>59</v>
      </c>
      <c r="J257" s="3" t="s">
        <v>61</v>
      </c>
      <c r="K257" s="2" t="s">
        <v>3366</v>
      </c>
      <c r="L257" s="2" t="s">
        <v>3367</v>
      </c>
      <c r="M257" s="3" t="s">
        <v>129</v>
      </c>
      <c r="O257" s="3" t="s">
        <v>64</v>
      </c>
      <c r="P257" s="3" t="s">
        <v>1129</v>
      </c>
      <c r="R257" s="3" t="s">
        <v>67</v>
      </c>
      <c r="S257" s="4">
        <v>39</v>
      </c>
      <c r="T257" s="4">
        <v>39</v>
      </c>
      <c r="U257" s="5" t="s">
        <v>3368</v>
      </c>
      <c r="V257" s="5" t="s">
        <v>3368</v>
      </c>
      <c r="W257" s="5" t="s">
        <v>2484</v>
      </c>
      <c r="X257" s="5" t="s">
        <v>2484</v>
      </c>
      <c r="Y257" s="4">
        <v>284</v>
      </c>
      <c r="Z257" s="4">
        <v>145</v>
      </c>
      <c r="AA257" s="4">
        <v>148</v>
      </c>
      <c r="AB257" s="4">
        <v>1</v>
      </c>
      <c r="AC257" s="4">
        <v>1</v>
      </c>
      <c r="AD257" s="4">
        <v>3</v>
      </c>
      <c r="AE257" s="4">
        <v>3</v>
      </c>
      <c r="AF257" s="4">
        <v>1</v>
      </c>
      <c r="AG257" s="4">
        <v>1</v>
      </c>
      <c r="AH257" s="4">
        <v>2</v>
      </c>
      <c r="AI257" s="4">
        <v>2</v>
      </c>
      <c r="AJ257" s="4">
        <v>3</v>
      </c>
      <c r="AK257" s="4">
        <v>3</v>
      </c>
      <c r="AL257" s="4">
        <v>0</v>
      </c>
      <c r="AM257" s="4">
        <v>0</v>
      </c>
      <c r="AN257" s="4">
        <v>0</v>
      </c>
      <c r="AO257" s="4">
        <v>0</v>
      </c>
      <c r="AP257" s="3" t="s">
        <v>59</v>
      </c>
      <c r="AQ257" s="3" t="s">
        <v>70</v>
      </c>
      <c r="AR257" s="6" t="str">
        <f>HYPERLINK("http://catalog.hathitrust.org/Record/003131123","HathiTrust Record")</f>
        <v>HathiTrust Record</v>
      </c>
      <c r="AS257" s="6" t="str">
        <f>HYPERLINK("https://creighton-primo.hosted.exlibrisgroup.com/primo-explore/search?tab=default_tab&amp;search_scope=EVERYTHING&amp;vid=01CRU&amp;lang=en_US&amp;offset=0&amp;query=any,contains,991002028389702656","Catalog Record")</f>
        <v>Catalog Record</v>
      </c>
      <c r="AT257" s="6" t="str">
        <f>HYPERLINK("http://www.worldcat.org/oclc/25820894","WorldCat Record")</f>
        <v>WorldCat Record</v>
      </c>
      <c r="AU257" s="3" t="s">
        <v>3369</v>
      </c>
      <c r="AV257" s="3" t="s">
        <v>3370</v>
      </c>
      <c r="AW257" s="3" t="s">
        <v>3371</v>
      </c>
      <c r="AX257" s="3" t="s">
        <v>3371</v>
      </c>
      <c r="AY257" s="3" t="s">
        <v>3372</v>
      </c>
      <c r="AZ257" s="3" t="s">
        <v>75</v>
      </c>
      <c r="BB257" s="3" t="s">
        <v>3373</v>
      </c>
      <c r="BC257" s="3" t="s">
        <v>3374</v>
      </c>
      <c r="BD257" s="3" t="s">
        <v>3375</v>
      </c>
    </row>
    <row r="258" spans="1:56" ht="48" customHeight="1" x14ac:dyDescent="0.25">
      <c r="A258" s="7" t="s">
        <v>59</v>
      </c>
      <c r="B258" s="2" t="s">
        <v>3376</v>
      </c>
      <c r="C258" s="2" t="s">
        <v>3377</v>
      </c>
      <c r="D258" s="2" t="s">
        <v>3378</v>
      </c>
      <c r="F258" s="3" t="s">
        <v>59</v>
      </c>
      <c r="G258" s="3" t="s">
        <v>60</v>
      </c>
      <c r="H258" s="3" t="s">
        <v>59</v>
      </c>
      <c r="I258" s="3" t="s">
        <v>59</v>
      </c>
      <c r="J258" s="3" t="s">
        <v>61</v>
      </c>
      <c r="K258" s="2" t="s">
        <v>3379</v>
      </c>
      <c r="L258" s="2" t="s">
        <v>3380</v>
      </c>
      <c r="M258" s="3" t="s">
        <v>485</v>
      </c>
      <c r="O258" s="3" t="s">
        <v>64</v>
      </c>
      <c r="P258" s="3" t="s">
        <v>3381</v>
      </c>
      <c r="R258" s="3" t="s">
        <v>67</v>
      </c>
      <c r="S258" s="4">
        <v>4</v>
      </c>
      <c r="T258" s="4">
        <v>4</v>
      </c>
      <c r="U258" s="5" t="s">
        <v>3382</v>
      </c>
      <c r="V258" s="5" t="s">
        <v>3382</v>
      </c>
      <c r="W258" s="5" t="s">
        <v>2950</v>
      </c>
      <c r="X258" s="5" t="s">
        <v>2950</v>
      </c>
      <c r="Y258" s="4">
        <v>180</v>
      </c>
      <c r="Z258" s="4">
        <v>113</v>
      </c>
      <c r="AA258" s="4">
        <v>114</v>
      </c>
      <c r="AB258" s="4">
        <v>2</v>
      </c>
      <c r="AC258" s="4">
        <v>2</v>
      </c>
      <c r="AD258" s="4">
        <v>3</v>
      </c>
      <c r="AE258" s="4">
        <v>3</v>
      </c>
      <c r="AF258" s="4">
        <v>0</v>
      </c>
      <c r="AG258" s="4">
        <v>0</v>
      </c>
      <c r="AH258" s="4">
        <v>1</v>
      </c>
      <c r="AI258" s="4">
        <v>1</v>
      </c>
      <c r="AJ258" s="4">
        <v>2</v>
      </c>
      <c r="AK258" s="4">
        <v>2</v>
      </c>
      <c r="AL258" s="4">
        <v>1</v>
      </c>
      <c r="AM258" s="4">
        <v>1</v>
      </c>
      <c r="AN258" s="4">
        <v>0</v>
      </c>
      <c r="AO258" s="4">
        <v>0</v>
      </c>
      <c r="AP258" s="3" t="s">
        <v>59</v>
      </c>
      <c r="AQ258" s="3" t="s">
        <v>70</v>
      </c>
      <c r="AR258" s="6" t="str">
        <f>HYPERLINK("http://catalog.hathitrust.org/Record/009083785","HathiTrust Record")</f>
        <v>HathiTrust Record</v>
      </c>
      <c r="AS258" s="6" t="str">
        <f>HYPERLINK("https://creighton-primo.hosted.exlibrisgroup.com/primo-explore/search?tab=default_tab&amp;search_scope=EVERYTHING&amp;vid=01CRU&amp;lang=en_US&amp;offset=0&amp;query=any,contains,991005014989702656","Catalog Record")</f>
        <v>Catalog Record</v>
      </c>
      <c r="AT258" s="6" t="str">
        <f>HYPERLINK("http://www.worldcat.org/oclc/28999374","WorldCat Record")</f>
        <v>WorldCat Record</v>
      </c>
      <c r="AU258" s="3" t="s">
        <v>3383</v>
      </c>
      <c r="AV258" s="3" t="s">
        <v>3384</v>
      </c>
      <c r="AW258" s="3" t="s">
        <v>3385</v>
      </c>
      <c r="AX258" s="3" t="s">
        <v>3385</v>
      </c>
      <c r="AY258" s="3" t="s">
        <v>3386</v>
      </c>
      <c r="AZ258" s="3" t="s">
        <v>75</v>
      </c>
      <c r="BB258" s="3" t="s">
        <v>3387</v>
      </c>
      <c r="BC258" s="3" t="s">
        <v>3388</v>
      </c>
      <c r="BD258" s="3" t="s">
        <v>3389</v>
      </c>
    </row>
    <row r="259" spans="1:56" ht="48" customHeight="1" x14ac:dyDescent="0.25">
      <c r="A259" s="7" t="s">
        <v>59</v>
      </c>
      <c r="B259" s="2" t="s">
        <v>3390</v>
      </c>
      <c r="C259" s="2" t="s">
        <v>3391</v>
      </c>
      <c r="D259" s="2" t="s">
        <v>3392</v>
      </c>
      <c r="F259" s="3" t="s">
        <v>59</v>
      </c>
      <c r="G259" s="3" t="s">
        <v>60</v>
      </c>
      <c r="H259" s="3" t="s">
        <v>59</v>
      </c>
      <c r="I259" s="3" t="s">
        <v>59</v>
      </c>
      <c r="J259" s="3" t="s">
        <v>61</v>
      </c>
      <c r="L259" s="2" t="s">
        <v>3393</v>
      </c>
      <c r="M259" s="3" t="s">
        <v>113</v>
      </c>
      <c r="O259" s="3" t="s">
        <v>64</v>
      </c>
      <c r="P259" s="3" t="s">
        <v>3394</v>
      </c>
      <c r="Q259" s="2" t="s">
        <v>3395</v>
      </c>
      <c r="R259" s="3" t="s">
        <v>67</v>
      </c>
      <c r="S259" s="4">
        <v>4</v>
      </c>
      <c r="T259" s="4">
        <v>4</v>
      </c>
      <c r="U259" s="5" t="s">
        <v>3396</v>
      </c>
      <c r="V259" s="5" t="s">
        <v>3396</v>
      </c>
      <c r="W259" s="5" t="s">
        <v>2950</v>
      </c>
      <c r="X259" s="5" t="s">
        <v>2950</v>
      </c>
      <c r="Y259" s="4">
        <v>223</v>
      </c>
      <c r="Z259" s="4">
        <v>147</v>
      </c>
      <c r="AA259" s="4">
        <v>147</v>
      </c>
      <c r="AB259" s="4">
        <v>1</v>
      </c>
      <c r="AC259" s="4">
        <v>1</v>
      </c>
      <c r="AD259" s="4">
        <v>6</v>
      </c>
      <c r="AE259" s="4">
        <v>6</v>
      </c>
      <c r="AF259" s="4">
        <v>2</v>
      </c>
      <c r="AG259" s="4">
        <v>2</v>
      </c>
      <c r="AH259" s="4">
        <v>1</v>
      </c>
      <c r="AI259" s="4">
        <v>1</v>
      </c>
      <c r="AJ259" s="4">
        <v>4</v>
      </c>
      <c r="AK259" s="4">
        <v>4</v>
      </c>
      <c r="AL259" s="4">
        <v>0</v>
      </c>
      <c r="AM259" s="4">
        <v>0</v>
      </c>
      <c r="AN259" s="4">
        <v>0</v>
      </c>
      <c r="AO259" s="4">
        <v>0</v>
      </c>
      <c r="AP259" s="3" t="s">
        <v>59</v>
      </c>
      <c r="AQ259" s="3" t="s">
        <v>59</v>
      </c>
      <c r="AS259" s="6" t="str">
        <f>HYPERLINK("https://creighton-primo.hosted.exlibrisgroup.com/primo-explore/search?tab=default_tab&amp;search_scope=EVERYTHING&amp;vid=01CRU&amp;lang=en_US&amp;offset=0&amp;query=any,contains,991001182639702656","Catalog Record")</f>
        <v>Catalog Record</v>
      </c>
      <c r="AT259" s="6" t="str">
        <f>HYPERLINK("http://www.worldcat.org/oclc/18781452","WorldCat Record")</f>
        <v>WorldCat Record</v>
      </c>
      <c r="AU259" s="3" t="s">
        <v>3397</v>
      </c>
      <c r="AV259" s="3" t="s">
        <v>3398</v>
      </c>
      <c r="AW259" s="3" t="s">
        <v>3399</v>
      </c>
      <c r="AX259" s="3" t="s">
        <v>3399</v>
      </c>
      <c r="AY259" s="3" t="s">
        <v>3400</v>
      </c>
      <c r="AZ259" s="3" t="s">
        <v>75</v>
      </c>
      <c r="BB259" s="3" t="s">
        <v>3401</v>
      </c>
      <c r="BC259" s="3" t="s">
        <v>3402</v>
      </c>
      <c r="BD259" s="3" t="s">
        <v>3403</v>
      </c>
    </row>
    <row r="260" spans="1:56" ht="48" customHeight="1" x14ac:dyDescent="0.25">
      <c r="A260" s="7" t="s">
        <v>59</v>
      </c>
      <c r="B260" s="2" t="s">
        <v>3404</v>
      </c>
      <c r="C260" s="2" t="s">
        <v>3405</v>
      </c>
      <c r="D260" s="2" t="s">
        <v>3406</v>
      </c>
      <c r="F260" s="3" t="s">
        <v>59</v>
      </c>
      <c r="G260" s="3" t="s">
        <v>60</v>
      </c>
      <c r="H260" s="3" t="s">
        <v>59</v>
      </c>
      <c r="I260" s="3" t="s">
        <v>70</v>
      </c>
      <c r="J260" s="3" t="s">
        <v>61</v>
      </c>
      <c r="K260" s="2" t="s">
        <v>3407</v>
      </c>
      <c r="L260" s="2" t="s">
        <v>3166</v>
      </c>
      <c r="M260" s="3" t="s">
        <v>1611</v>
      </c>
      <c r="O260" s="3" t="s">
        <v>64</v>
      </c>
      <c r="P260" s="3" t="s">
        <v>674</v>
      </c>
      <c r="R260" s="3" t="s">
        <v>67</v>
      </c>
      <c r="S260" s="4">
        <v>5</v>
      </c>
      <c r="T260" s="4">
        <v>5</v>
      </c>
      <c r="U260" s="5" t="s">
        <v>3408</v>
      </c>
      <c r="V260" s="5" t="s">
        <v>3408</v>
      </c>
      <c r="W260" s="5" t="s">
        <v>193</v>
      </c>
      <c r="X260" s="5" t="s">
        <v>193</v>
      </c>
      <c r="Y260" s="4">
        <v>446</v>
      </c>
      <c r="Z260" s="4">
        <v>316</v>
      </c>
      <c r="AA260" s="4">
        <v>513</v>
      </c>
      <c r="AB260" s="4">
        <v>1</v>
      </c>
      <c r="AC260" s="4">
        <v>6</v>
      </c>
      <c r="AD260" s="4">
        <v>8</v>
      </c>
      <c r="AE260" s="4">
        <v>20</v>
      </c>
      <c r="AF260" s="4">
        <v>5</v>
      </c>
      <c r="AG260" s="4">
        <v>10</v>
      </c>
      <c r="AH260" s="4">
        <v>0</v>
      </c>
      <c r="AI260" s="4">
        <v>2</v>
      </c>
      <c r="AJ260" s="4">
        <v>6</v>
      </c>
      <c r="AK260" s="4">
        <v>9</v>
      </c>
      <c r="AL260" s="4">
        <v>0</v>
      </c>
      <c r="AM260" s="4">
        <v>5</v>
      </c>
      <c r="AN260" s="4">
        <v>0</v>
      </c>
      <c r="AO260" s="4">
        <v>0</v>
      </c>
      <c r="AP260" s="3" t="s">
        <v>59</v>
      </c>
      <c r="AQ260" s="3" t="s">
        <v>70</v>
      </c>
      <c r="AR260" s="6" t="str">
        <f>HYPERLINK("http://catalog.hathitrust.org/Record/003036349","HathiTrust Record")</f>
        <v>HathiTrust Record</v>
      </c>
      <c r="AS260" s="6" t="str">
        <f>HYPERLINK("https://creighton-primo.hosted.exlibrisgroup.com/primo-explore/search?tab=default_tab&amp;search_scope=EVERYTHING&amp;vid=01CRU&amp;lang=en_US&amp;offset=0&amp;query=any,contains,991002527019702656","Catalog Record")</f>
        <v>Catalog Record</v>
      </c>
      <c r="AT260" s="6" t="str">
        <f>HYPERLINK("http://www.worldcat.org/oclc/32855043","WorldCat Record")</f>
        <v>WorldCat Record</v>
      </c>
      <c r="AU260" s="3" t="s">
        <v>3409</v>
      </c>
      <c r="AV260" s="3" t="s">
        <v>3410</v>
      </c>
      <c r="AW260" s="3" t="s">
        <v>3411</v>
      </c>
      <c r="AX260" s="3" t="s">
        <v>3411</v>
      </c>
      <c r="AY260" s="3" t="s">
        <v>3412</v>
      </c>
      <c r="AZ260" s="3" t="s">
        <v>75</v>
      </c>
      <c r="BB260" s="3" t="s">
        <v>3413</v>
      </c>
      <c r="BC260" s="3" t="s">
        <v>3414</v>
      </c>
      <c r="BD260" s="3" t="s">
        <v>3415</v>
      </c>
    </row>
    <row r="261" spans="1:56" ht="48" customHeight="1" x14ac:dyDescent="0.25">
      <c r="A261" s="7" t="s">
        <v>59</v>
      </c>
      <c r="B261" s="2" t="s">
        <v>3416</v>
      </c>
      <c r="C261" s="2" t="s">
        <v>3417</v>
      </c>
      <c r="D261" s="2" t="s">
        <v>3418</v>
      </c>
      <c r="F261" s="3" t="s">
        <v>59</v>
      </c>
      <c r="G261" s="3" t="s">
        <v>60</v>
      </c>
      <c r="H261" s="3" t="s">
        <v>59</v>
      </c>
      <c r="I261" s="3" t="s">
        <v>59</v>
      </c>
      <c r="J261" s="3" t="s">
        <v>61</v>
      </c>
      <c r="K261" s="2" t="s">
        <v>3419</v>
      </c>
      <c r="L261" s="2" t="s">
        <v>3420</v>
      </c>
      <c r="M261" s="3" t="s">
        <v>1338</v>
      </c>
      <c r="O261" s="3" t="s">
        <v>64</v>
      </c>
      <c r="P261" s="3" t="s">
        <v>1257</v>
      </c>
      <c r="R261" s="3" t="s">
        <v>67</v>
      </c>
      <c r="S261" s="4">
        <v>2</v>
      </c>
      <c r="T261" s="4">
        <v>2</v>
      </c>
      <c r="U261" s="5" t="s">
        <v>3421</v>
      </c>
      <c r="V261" s="5" t="s">
        <v>3421</v>
      </c>
      <c r="W261" s="5" t="s">
        <v>501</v>
      </c>
      <c r="X261" s="5" t="s">
        <v>501</v>
      </c>
      <c r="Y261" s="4">
        <v>334</v>
      </c>
      <c r="Z261" s="4">
        <v>243</v>
      </c>
      <c r="AA261" s="4">
        <v>247</v>
      </c>
      <c r="AB261" s="4">
        <v>3</v>
      </c>
      <c r="AC261" s="4">
        <v>3</v>
      </c>
      <c r="AD261" s="4">
        <v>6</v>
      </c>
      <c r="AE261" s="4">
        <v>6</v>
      </c>
      <c r="AF261" s="4">
        <v>2</v>
      </c>
      <c r="AG261" s="4">
        <v>2</v>
      </c>
      <c r="AH261" s="4">
        <v>1</v>
      </c>
      <c r="AI261" s="4">
        <v>1</v>
      </c>
      <c r="AJ261" s="4">
        <v>2</v>
      </c>
      <c r="AK261" s="4">
        <v>2</v>
      </c>
      <c r="AL261" s="4">
        <v>2</v>
      </c>
      <c r="AM261" s="4">
        <v>2</v>
      </c>
      <c r="AN261" s="4">
        <v>0</v>
      </c>
      <c r="AO261" s="4">
        <v>0</v>
      </c>
      <c r="AP261" s="3" t="s">
        <v>59</v>
      </c>
      <c r="AQ261" s="3" t="s">
        <v>70</v>
      </c>
      <c r="AR261" s="6" t="str">
        <f>HYPERLINK("http://catalog.hathitrust.org/Record/001554482","HathiTrust Record")</f>
        <v>HathiTrust Record</v>
      </c>
      <c r="AS261" s="6" t="str">
        <f>HYPERLINK("https://creighton-primo.hosted.exlibrisgroup.com/primo-explore/search?tab=default_tab&amp;search_scope=EVERYTHING&amp;vid=01CRU&amp;lang=en_US&amp;offset=0&amp;query=any,contains,991003377539702656","Catalog Record")</f>
        <v>Catalog Record</v>
      </c>
      <c r="AT261" s="6" t="str">
        <f>HYPERLINK("http://www.worldcat.org/oclc/914289","WorldCat Record")</f>
        <v>WorldCat Record</v>
      </c>
      <c r="AU261" s="3" t="s">
        <v>3422</v>
      </c>
      <c r="AV261" s="3" t="s">
        <v>3423</v>
      </c>
      <c r="AW261" s="3" t="s">
        <v>3424</v>
      </c>
      <c r="AX261" s="3" t="s">
        <v>3424</v>
      </c>
      <c r="AY261" s="3" t="s">
        <v>3425</v>
      </c>
      <c r="AZ261" s="3" t="s">
        <v>75</v>
      </c>
      <c r="BC261" s="3" t="s">
        <v>3426</v>
      </c>
      <c r="BD261" s="3" t="s">
        <v>3427</v>
      </c>
    </row>
    <row r="262" spans="1:56" ht="48" customHeight="1" x14ac:dyDescent="0.25">
      <c r="A262" s="7" t="s">
        <v>59</v>
      </c>
      <c r="B262" s="2" t="s">
        <v>3428</v>
      </c>
      <c r="C262" s="2" t="s">
        <v>3429</v>
      </c>
      <c r="D262" s="2" t="s">
        <v>3430</v>
      </c>
      <c r="F262" s="3" t="s">
        <v>59</v>
      </c>
      <c r="G262" s="3" t="s">
        <v>60</v>
      </c>
      <c r="H262" s="3" t="s">
        <v>70</v>
      </c>
      <c r="I262" s="3" t="s">
        <v>59</v>
      </c>
      <c r="J262" s="3" t="s">
        <v>61</v>
      </c>
      <c r="K262" s="2" t="s">
        <v>3431</v>
      </c>
      <c r="L262" s="2" t="s">
        <v>3432</v>
      </c>
      <c r="M262" s="3" t="s">
        <v>925</v>
      </c>
      <c r="N262" s="2" t="s">
        <v>731</v>
      </c>
      <c r="O262" s="3" t="s">
        <v>64</v>
      </c>
      <c r="P262" s="3" t="s">
        <v>130</v>
      </c>
      <c r="R262" s="3" t="s">
        <v>67</v>
      </c>
      <c r="S262" s="4">
        <v>0</v>
      </c>
      <c r="T262" s="4">
        <v>6</v>
      </c>
      <c r="V262" s="5" t="s">
        <v>3433</v>
      </c>
      <c r="W262" s="5" t="s">
        <v>3434</v>
      </c>
      <c r="X262" s="5" t="s">
        <v>3435</v>
      </c>
      <c r="Y262" s="4">
        <v>1082</v>
      </c>
      <c r="Z262" s="4">
        <v>983</v>
      </c>
      <c r="AA262" s="4">
        <v>1092</v>
      </c>
      <c r="AB262" s="4">
        <v>10</v>
      </c>
      <c r="AC262" s="4">
        <v>11</v>
      </c>
      <c r="AD262" s="4">
        <v>31</v>
      </c>
      <c r="AE262" s="4">
        <v>33</v>
      </c>
      <c r="AF262" s="4">
        <v>13</v>
      </c>
      <c r="AG262" s="4">
        <v>13</v>
      </c>
      <c r="AH262" s="4">
        <v>10</v>
      </c>
      <c r="AI262" s="4">
        <v>10</v>
      </c>
      <c r="AJ262" s="4">
        <v>13</v>
      </c>
      <c r="AK262" s="4">
        <v>15</v>
      </c>
      <c r="AL262" s="4">
        <v>3</v>
      </c>
      <c r="AM262" s="4">
        <v>3</v>
      </c>
      <c r="AN262" s="4">
        <v>0</v>
      </c>
      <c r="AO262" s="4">
        <v>0</v>
      </c>
      <c r="AP262" s="3" t="s">
        <v>59</v>
      </c>
      <c r="AQ262" s="3" t="s">
        <v>70</v>
      </c>
      <c r="AR262" s="6" t="str">
        <f>HYPERLINK("http://catalog.hathitrust.org/Record/003980471","HathiTrust Record")</f>
        <v>HathiTrust Record</v>
      </c>
      <c r="AS262" s="6" t="str">
        <f>HYPERLINK("https://creighton-primo.hosted.exlibrisgroup.com/primo-explore/search?tab=default_tab&amp;search_scope=EVERYTHING&amp;vid=01CRU&amp;lang=en_US&amp;offset=0&amp;query=any,contains,991001692959702656","Catalog Record")</f>
        <v>Catalog Record</v>
      </c>
      <c r="AT262" s="6" t="str">
        <f>HYPERLINK("http://www.worldcat.org/oclc/38016564","WorldCat Record")</f>
        <v>WorldCat Record</v>
      </c>
      <c r="AU262" s="3" t="s">
        <v>3436</v>
      </c>
      <c r="AV262" s="3" t="s">
        <v>3437</v>
      </c>
      <c r="AW262" s="3" t="s">
        <v>3438</v>
      </c>
      <c r="AX262" s="3" t="s">
        <v>3438</v>
      </c>
      <c r="AY262" s="3" t="s">
        <v>3439</v>
      </c>
      <c r="AZ262" s="3" t="s">
        <v>75</v>
      </c>
      <c r="BB262" s="3" t="s">
        <v>3440</v>
      </c>
      <c r="BC262" s="3" t="s">
        <v>3441</v>
      </c>
      <c r="BD262" s="3" t="s">
        <v>3442</v>
      </c>
    </row>
    <row r="263" spans="1:56" ht="48" customHeight="1" x14ac:dyDescent="0.25">
      <c r="A263" s="7" t="s">
        <v>59</v>
      </c>
      <c r="B263" s="2" t="s">
        <v>3443</v>
      </c>
      <c r="C263" s="2" t="s">
        <v>3444</v>
      </c>
      <c r="D263" s="2" t="s">
        <v>3445</v>
      </c>
      <c r="F263" s="3" t="s">
        <v>59</v>
      </c>
      <c r="G263" s="3" t="s">
        <v>60</v>
      </c>
      <c r="H263" s="3" t="s">
        <v>59</v>
      </c>
      <c r="I263" s="3" t="s">
        <v>59</v>
      </c>
      <c r="J263" s="3" t="s">
        <v>61</v>
      </c>
      <c r="K263" s="2" t="s">
        <v>3446</v>
      </c>
      <c r="L263" s="2" t="s">
        <v>3447</v>
      </c>
      <c r="M263" s="3" t="s">
        <v>2962</v>
      </c>
      <c r="N263" s="2" t="s">
        <v>3448</v>
      </c>
      <c r="O263" s="3" t="s">
        <v>64</v>
      </c>
      <c r="P263" s="3" t="s">
        <v>674</v>
      </c>
      <c r="R263" s="3" t="s">
        <v>67</v>
      </c>
      <c r="S263" s="4">
        <v>1</v>
      </c>
      <c r="T263" s="4">
        <v>1</v>
      </c>
      <c r="U263" s="5" t="s">
        <v>3449</v>
      </c>
      <c r="V263" s="5" t="s">
        <v>3449</v>
      </c>
      <c r="W263" s="5" t="s">
        <v>1704</v>
      </c>
      <c r="X263" s="5" t="s">
        <v>1704</v>
      </c>
      <c r="Y263" s="4">
        <v>616</v>
      </c>
      <c r="Z263" s="4">
        <v>566</v>
      </c>
      <c r="AA263" s="4">
        <v>973</v>
      </c>
      <c r="AB263" s="4">
        <v>4</v>
      </c>
      <c r="AC263" s="4">
        <v>6</v>
      </c>
      <c r="AD263" s="4">
        <v>24</v>
      </c>
      <c r="AE263" s="4">
        <v>35</v>
      </c>
      <c r="AF263" s="4">
        <v>8</v>
      </c>
      <c r="AG263" s="4">
        <v>12</v>
      </c>
      <c r="AH263" s="4">
        <v>5</v>
      </c>
      <c r="AI263" s="4">
        <v>7</v>
      </c>
      <c r="AJ263" s="4">
        <v>11</v>
      </c>
      <c r="AK263" s="4">
        <v>12</v>
      </c>
      <c r="AL263" s="4">
        <v>3</v>
      </c>
      <c r="AM263" s="4">
        <v>3</v>
      </c>
      <c r="AN263" s="4">
        <v>1</v>
      </c>
      <c r="AO263" s="4">
        <v>6</v>
      </c>
      <c r="AP263" s="3" t="s">
        <v>59</v>
      </c>
      <c r="AQ263" s="3" t="s">
        <v>70</v>
      </c>
      <c r="AR263" s="6" t="str">
        <f>HYPERLINK("http://catalog.hathitrust.org/Record/001553239","HathiTrust Record")</f>
        <v>HathiTrust Record</v>
      </c>
      <c r="AS263" s="6" t="str">
        <f>HYPERLINK("https://creighton-primo.hosted.exlibrisgroup.com/primo-explore/search?tab=default_tab&amp;search_scope=EVERYTHING&amp;vid=01CRU&amp;lang=en_US&amp;offset=0&amp;query=any,contains,991002986509702656","Catalog Record")</f>
        <v>Catalog Record</v>
      </c>
      <c r="AT263" s="6" t="str">
        <f>HYPERLINK("http://www.worldcat.org/oclc/557848","WorldCat Record")</f>
        <v>WorldCat Record</v>
      </c>
      <c r="AU263" s="3" t="s">
        <v>3450</v>
      </c>
      <c r="AV263" s="3" t="s">
        <v>3451</v>
      </c>
      <c r="AW263" s="3" t="s">
        <v>3452</v>
      </c>
      <c r="AX263" s="3" t="s">
        <v>3452</v>
      </c>
      <c r="AY263" s="3" t="s">
        <v>3453</v>
      </c>
      <c r="AZ263" s="3" t="s">
        <v>75</v>
      </c>
      <c r="BC263" s="3" t="s">
        <v>3454</v>
      </c>
      <c r="BD263" s="3" t="s">
        <v>3455</v>
      </c>
    </row>
    <row r="264" spans="1:56" ht="48" customHeight="1" x14ac:dyDescent="0.25">
      <c r="A264" s="7" t="s">
        <v>59</v>
      </c>
      <c r="B264" s="2" t="s">
        <v>3456</v>
      </c>
      <c r="C264" s="2" t="s">
        <v>3457</v>
      </c>
      <c r="D264" s="2" t="s">
        <v>3458</v>
      </c>
      <c r="F264" s="3" t="s">
        <v>59</v>
      </c>
      <c r="G264" s="3" t="s">
        <v>60</v>
      </c>
      <c r="H264" s="3" t="s">
        <v>59</v>
      </c>
      <c r="I264" s="3" t="s">
        <v>59</v>
      </c>
      <c r="J264" s="3" t="s">
        <v>61</v>
      </c>
      <c r="K264" s="2" t="s">
        <v>3459</v>
      </c>
      <c r="L264" s="2" t="s">
        <v>3460</v>
      </c>
      <c r="M264" s="3" t="s">
        <v>500</v>
      </c>
      <c r="N264" s="2" t="s">
        <v>1945</v>
      </c>
      <c r="O264" s="3" t="s">
        <v>64</v>
      </c>
      <c r="P264" s="3" t="s">
        <v>65</v>
      </c>
      <c r="R264" s="3" t="s">
        <v>67</v>
      </c>
      <c r="S264" s="4">
        <v>4</v>
      </c>
      <c r="T264" s="4">
        <v>4</v>
      </c>
      <c r="U264" s="5" t="s">
        <v>3461</v>
      </c>
      <c r="V264" s="5" t="s">
        <v>3461</v>
      </c>
      <c r="W264" s="5" t="s">
        <v>649</v>
      </c>
      <c r="X264" s="5" t="s">
        <v>649</v>
      </c>
      <c r="Y264" s="4">
        <v>132</v>
      </c>
      <c r="Z264" s="4">
        <v>108</v>
      </c>
      <c r="AA264" s="4">
        <v>485</v>
      </c>
      <c r="AB264" s="4">
        <v>1</v>
      </c>
      <c r="AC264" s="4">
        <v>3</v>
      </c>
      <c r="AD264" s="4">
        <v>4</v>
      </c>
      <c r="AE264" s="4">
        <v>14</v>
      </c>
      <c r="AF264" s="4">
        <v>2</v>
      </c>
      <c r="AG264" s="4">
        <v>5</v>
      </c>
      <c r="AH264" s="4">
        <v>2</v>
      </c>
      <c r="AI264" s="4">
        <v>5</v>
      </c>
      <c r="AJ264" s="4">
        <v>1</v>
      </c>
      <c r="AK264" s="4">
        <v>6</v>
      </c>
      <c r="AL264" s="4">
        <v>0</v>
      </c>
      <c r="AM264" s="4">
        <v>2</v>
      </c>
      <c r="AN264" s="4">
        <v>0</v>
      </c>
      <c r="AO264" s="4">
        <v>0</v>
      </c>
      <c r="AP264" s="3" t="s">
        <v>59</v>
      </c>
      <c r="AQ264" s="3" t="s">
        <v>59</v>
      </c>
      <c r="AS264" s="6" t="str">
        <f>HYPERLINK("https://creighton-primo.hosted.exlibrisgroup.com/primo-explore/search?tab=default_tab&amp;search_scope=EVERYTHING&amp;vid=01CRU&amp;lang=en_US&amp;offset=0&amp;query=any,contains,991000775209702656","Catalog Record")</f>
        <v>Catalog Record</v>
      </c>
      <c r="AT264" s="6" t="str">
        <f>HYPERLINK("http://www.worldcat.org/oclc/132361","WorldCat Record")</f>
        <v>WorldCat Record</v>
      </c>
      <c r="AU264" s="3" t="s">
        <v>3462</v>
      </c>
      <c r="AV264" s="3" t="s">
        <v>3463</v>
      </c>
      <c r="AW264" s="3" t="s">
        <v>3464</v>
      </c>
      <c r="AX264" s="3" t="s">
        <v>3464</v>
      </c>
      <c r="AY264" s="3" t="s">
        <v>3465</v>
      </c>
      <c r="AZ264" s="3" t="s">
        <v>75</v>
      </c>
      <c r="BB264" s="3" t="s">
        <v>3466</v>
      </c>
      <c r="BC264" s="3" t="s">
        <v>3467</v>
      </c>
      <c r="BD264" s="3" t="s">
        <v>3468</v>
      </c>
    </row>
    <row r="265" spans="1:56" ht="48" customHeight="1" x14ac:dyDescent="0.25">
      <c r="A265" s="7" t="s">
        <v>59</v>
      </c>
      <c r="B265" s="2" t="s">
        <v>3469</v>
      </c>
      <c r="C265" s="2" t="s">
        <v>3470</v>
      </c>
      <c r="D265" s="2" t="s">
        <v>3471</v>
      </c>
      <c r="F265" s="3" t="s">
        <v>59</v>
      </c>
      <c r="G265" s="3" t="s">
        <v>60</v>
      </c>
      <c r="H265" s="3" t="s">
        <v>59</v>
      </c>
      <c r="I265" s="3" t="s">
        <v>70</v>
      </c>
      <c r="J265" s="3" t="s">
        <v>61</v>
      </c>
      <c r="K265" s="2" t="s">
        <v>3472</v>
      </c>
      <c r="L265" s="2" t="s">
        <v>3473</v>
      </c>
      <c r="M265" s="3" t="s">
        <v>319</v>
      </c>
      <c r="N265" s="2" t="s">
        <v>536</v>
      </c>
      <c r="O265" s="3" t="s">
        <v>64</v>
      </c>
      <c r="P265" s="3" t="s">
        <v>2140</v>
      </c>
      <c r="R265" s="3" t="s">
        <v>67</v>
      </c>
      <c r="S265" s="4">
        <v>13</v>
      </c>
      <c r="T265" s="4">
        <v>13</v>
      </c>
      <c r="U265" s="5" t="s">
        <v>177</v>
      </c>
      <c r="V265" s="5" t="s">
        <v>177</v>
      </c>
      <c r="W265" s="5" t="s">
        <v>3474</v>
      </c>
      <c r="X265" s="5" t="s">
        <v>3474</v>
      </c>
      <c r="Y265" s="4">
        <v>233</v>
      </c>
      <c r="Z265" s="4">
        <v>185</v>
      </c>
      <c r="AA265" s="4">
        <v>1337</v>
      </c>
      <c r="AB265" s="4">
        <v>2</v>
      </c>
      <c r="AC265" s="4">
        <v>11</v>
      </c>
      <c r="AD265" s="4">
        <v>4</v>
      </c>
      <c r="AE265" s="4">
        <v>22</v>
      </c>
      <c r="AF265" s="4">
        <v>0</v>
      </c>
      <c r="AG265" s="4">
        <v>5</v>
      </c>
      <c r="AH265" s="4">
        <v>1</v>
      </c>
      <c r="AI265" s="4">
        <v>3</v>
      </c>
      <c r="AJ265" s="4">
        <v>2</v>
      </c>
      <c r="AK265" s="4">
        <v>8</v>
      </c>
      <c r="AL265" s="4">
        <v>1</v>
      </c>
      <c r="AM265" s="4">
        <v>7</v>
      </c>
      <c r="AN265" s="4">
        <v>1</v>
      </c>
      <c r="AO265" s="4">
        <v>1</v>
      </c>
      <c r="AP265" s="3" t="s">
        <v>59</v>
      </c>
      <c r="AQ265" s="3" t="s">
        <v>59</v>
      </c>
      <c r="AS265" s="6" t="str">
        <f>HYPERLINK("https://creighton-primo.hosted.exlibrisgroup.com/primo-explore/search?tab=default_tab&amp;search_scope=EVERYTHING&amp;vid=01CRU&amp;lang=en_US&amp;offset=0&amp;query=any,contains,991000192939702656","Catalog Record")</f>
        <v>Catalog Record</v>
      </c>
      <c r="AT265" s="6" t="str">
        <f>HYPERLINK("http://www.worldcat.org/oclc/9413613","WorldCat Record")</f>
        <v>WorldCat Record</v>
      </c>
      <c r="AU265" s="3" t="s">
        <v>3475</v>
      </c>
      <c r="AV265" s="3" t="s">
        <v>3476</v>
      </c>
      <c r="AW265" s="3" t="s">
        <v>3477</v>
      </c>
      <c r="AX265" s="3" t="s">
        <v>3477</v>
      </c>
      <c r="AY265" s="3" t="s">
        <v>3478</v>
      </c>
      <c r="AZ265" s="3" t="s">
        <v>75</v>
      </c>
      <c r="BB265" s="3" t="s">
        <v>3479</v>
      </c>
      <c r="BC265" s="3" t="s">
        <v>3480</v>
      </c>
      <c r="BD265" s="3" t="s">
        <v>3481</v>
      </c>
    </row>
    <row r="266" spans="1:56" ht="48" customHeight="1" x14ac:dyDescent="0.25">
      <c r="A266" s="7" t="s">
        <v>59</v>
      </c>
      <c r="B266" s="2" t="s">
        <v>3482</v>
      </c>
      <c r="C266" s="2" t="s">
        <v>3483</v>
      </c>
      <c r="D266" s="2" t="s">
        <v>3484</v>
      </c>
      <c r="F266" s="3" t="s">
        <v>59</v>
      </c>
      <c r="G266" s="3" t="s">
        <v>60</v>
      </c>
      <c r="H266" s="3" t="s">
        <v>70</v>
      </c>
      <c r="I266" s="3" t="s">
        <v>59</v>
      </c>
      <c r="J266" s="3" t="s">
        <v>61</v>
      </c>
      <c r="L266" s="2" t="s">
        <v>3485</v>
      </c>
      <c r="M266" s="3" t="s">
        <v>363</v>
      </c>
      <c r="N266" s="2" t="s">
        <v>114</v>
      </c>
      <c r="O266" s="3" t="s">
        <v>64</v>
      </c>
      <c r="P266" s="3" t="s">
        <v>264</v>
      </c>
      <c r="R266" s="3" t="s">
        <v>67</v>
      </c>
      <c r="S266" s="4">
        <v>9</v>
      </c>
      <c r="T266" s="4">
        <v>66</v>
      </c>
      <c r="U266" s="5" t="s">
        <v>3486</v>
      </c>
      <c r="V266" s="5" t="s">
        <v>3487</v>
      </c>
      <c r="W266" s="5" t="s">
        <v>3488</v>
      </c>
      <c r="X266" s="5" t="s">
        <v>3488</v>
      </c>
      <c r="Y266" s="4">
        <v>223</v>
      </c>
      <c r="Z266" s="4">
        <v>173</v>
      </c>
      <c r="AA266" s="4">
        <v>306</v>
      </c>
      <c r="AB266" s="4">
        <v>3</v>
      </c>
      <c r="AC266" s="4">
        <v>5</v>
      </c>
      <c r="AD266" s="4">
        <v>4</v>
      </c>
      <c r="AE266" s="4">
        <v>13</v>
      </c>
      <c r="AF266" s="4">
        <v>1</v>
      </c>
      <c r="AG266" s="4">
        <v>2</v>
      </c>
      <c r="AH266" s="4">
        <v>1</v>
      </c>
      <c r="AI266" s="4">
        <v>2</v>
      </c>
      <c r="AJ266" s="4">
        <v>3</v>
      </c>
      <c r="AK266" s="4">
        <v>8</v>
      </c>
      <c r="AL266" s="4">
        <v>1</v>
      </c>
      <c r="AM266" s="4">
        <v>3</v>
      </c>
      <c r="AN266" s="4">
        <v>0</v>
      </c>
      <c r="AO266" s="4">
        <v>0</v>
      </c>
      <c r="AP266" s="3" t="s">
        <v>59</v>
      </c>
      <c r="AQ266" s="3" t="s">
        <v>70</v>
      </c>
      <c r="AR266" s="6" t="str">
        <f>HYPERLINK("http://catalog.hathitrust.org/Record/000225730","HathiTrust Record")</f>
        <v>HathiTrust Record</v>
      </c>
      <c r="AS266" s="6" t="str">
        <f>HYPERLINK("https://creighton-primo.hosted.exlibrisgroup.com/primo-explore/search?tab=default_tab&amp;search_scope=EVERYTHING&amp;vid=01CRU&amp;lang=en_US&amp;offset=0&amp;query=any,contains,991001760619702656","Catalog Record")</f>
        <v>Catalog Record</v>
      </c>
      <c r="AT266" s="6" t="str">
        <f>HYPERLINK("http://www.worldcat.org/oclc/8030748","WorldCat Record")</f>
        <v>WorldCat Record</v>
      </c>
      <c r="AU266" s="3" t="s">
        <v>3489</v>
      </c>
      <c r="AV266" s="3" t="s">
        <v>3490</v>
      </c>
      <c r="AW266" s="3" t="s">
        <v>3491</v>
      </c>
      <c r="AX266" s="3" t="s">
        <v>3491</v>
      </c>
      <c r="AY266" s="3" t="s">
        <v>3492</v>
      </c>
      <c r="AZ266" s="3" t="s">
        <v>75</v>
      </c>
      <c r="BB266" s="3" t="s">
        <v>3493</v>
      </c>
      <c r="BC266" s="3" t="s">
        <v>3494</v>
      </c>
      <c r="BD266" s="3" t="s">
        <v>3495</v>
      </c>
    </row>
    <row r="267" spans="1:56" ht="48" customHeight="1" x14ac:dyDescent="0.25">
      <c r="A267" s="7" t="s">
        <v>59</v>
      </c>
      <c r="B267" s="2" t="s">
        <v>3496</v>
      </c>
      <c r="C267" s="2" t="s">
        <v>3497</v>
      </c>
      <c r="D267" s="2" t="s">
        <v>3498</v>
      </c>
      <c r="F267" s="3" t="s">
        <v>59</v>
      </c>
      <c r="G267" s="3" t="s">
        <v>60</v>
      </c>
      <c r="H267" s="3" t="s">
        <v>59</v>
      </c>
      <c r="I267" s="3" t="s">
        <v>59</v>
      </c>
      <c r="J267" s="3" t="s">
        <v>61</v>
      </c>
      <c r="K267" s="2" t="s">
        <v>3499</v>
      </c>
      <c r="L267" s="2" t="s">
        <v>3500</v>
      </c>
      <c r="M267" s="3" t="s">
        <v>319</v>
      </c>
      <c r="O267" s="3" t="s">
        <v>64</v>
      </c>
      <c r="P267" s="3" t="s">
        <v>130</v>
      </c>
      <c r="Q267" s="2" t="s">
        <v>3501</v>
      </c>
      <c r="R267" s="3" t="s">
        <v>67</v>
      </c>
      <c r="S267" s="4">
        <v>17</v>
      </c>
      <c r="T267" s="4">
        <v>17</v>
      </c>
      <c r="U267" s="5" t="s">
        <v>3502</v>
      </c>
      <c r="V267" s="5" t="s">
        <v>3502</v>
      </c>
      <c r="W267" s="5" t="s">
        <v>2950</v>
      </c>
      <c r="X267" s="5" t="s">
        <v>2950</v>
      </c>
      <c r="Y267" s="4">
        <v>1210</v>
      </c>
      <c r="Z267" s="4">
        <v>1027</v>
      </c>
      <c r="AA267" s="4">
        <v>1050</v>
      </c>
      <c r="AB267" s="4">
        <v>6</v>
      </c>
      <c r="AC267" s="4">
        <v>6</v>
      </c>
      <c r="AD267" s="4">
        <v>43</v>
      </c>
      <c r="AE267" s="4">
        <v>43</v>
      </c>
      <c r="AF267" s="4">
        <v>18</v>
      </c>
      <c r="AG267" s="4">
        <v>18</v>
      </c>
      <c r="AH267" s="4">
        <v>9</v>
      </c>
      <c r="AI267" s="4">
        <v>9</v>
      </c>
      <c r="AJ267" s="4">
        <v>22</v>
      </c>
      <c r="AK267" s="4">
        <v>22</v>
      </c>
      <c r="AL267" s="4">
        <v>5</v>
      </c>
      <c r="AM267" s="4">
        <v>5</v>
      </c>
      <c r="AN267" s="4">
        <v>0</v>
      </c>
      <c r="AO267" s="4">
        <v>0</v>
      </c>
      <c r="AP267" s="3" t="s">
        <v>59</v>
      </c>
      <c r="AQ267" s="3" t="s">
        <v>70</v>
      </c>
      <c r="AR267" s="6" t="str">
        <f>HYPERLINK("http://catalog.hathitrust.org/Record/000320404","HathiTrust Record")</f>
        <v>HathiTrust Record</v>
      </c>
      <c r="AS267" s="6" t="str">
        <f>HYPERLINK("https://creighton-primo.hosted.exlibrisgroup.com/primo-explore/search?tab=default_tab&amp;search_scope=EVERYTHING&amp;vid=01CRU&amp;lang=en_US&amp;offset=0&amp;query=any,contains,991000307989702656","Catalog Record")</f>
        <v>Catalog Record</v>
      </c>
      <c r="AT267" s="6" t="str">
        <f>HYPERLINK("http://www.worldcat.org/oclc/10072698","WorldCat Record")</f>
        <v>WorldCat Record</v>
      </c>
      <c r="AU267" s="3" t="s">
        <v>3503</v>
      </c>
      <c r="AV267" s="3" t="s">
        <v>3504</v>
      </c>
      <c r="AW267" s="3" t="s">
        <v>3505</v>
      </c>
      <c r="AX267" s="3" t="s">
        <v>3505</v>
      </c>
      <c r="AY267" s="3" t="s">
        <v>3506</v>
      </c>
      <c r="AZ267" s="3" t="s">
        <v>75</v>
      </c>
      <c r="BB267" s="3" t="s">
        <v>3507</v>
      </c>
      <c r="BC267" s="3" t="s">
        <v>3508</v>
      </c>
      <c r="BD267" s="3" t="s">
        <v>3509</v>
      </c>
    </row>
    <row r="268" spans="1:56" ht="48" customHeight="1" x14ac:dyDescent="0.25">
      <c r="A268" s="7" t="s">
        <v>59</v>
      </c>
      <c r="B268" s="2" t="s">
        <v>3510</v>
      </c>
      <c r="C268" s="2" t="s">
        <v>3511</v>
      </c>
      <c r="D268" s="2" t="s">
        <v>3512</v>
      </c>
      <c r="F268" s="3" t="s">
        <v>59</v>
      </c>
      <c r="G268" s="3" t="s">
        <v>60</v>
      </c>
      <c r="H268" s="3" t="s">
        <v>59</v>
      </c>
      <c r="I268" s="3" t="s">
        <v>59</v>
      </c>
      <c r="J268" s="3" t="s">
        <v>61</v>
      </c>
      <c r="K268" s="2" t="s">
        <v>3513</v>
      </c>
      <c r="L268" s="2" t="s">
        <v>1816</v>
      </c>
      <c r="M268" s="3" t="s">
        <v>1817</v>
      </c>
      <c r="O268" s="3" t="s">
        <v>64</v>
      </c>
      <c r="P268" s="3" t="s">
        <v>264</v>
      </c>
      <c r="R268" s="3" t="s">
        <v>67</v>
      </c>
      <c r="S268" s="4">
        <v>4</v>
      </c>
      <c r="T268" s="4">
        <v>4</v>
      </c>
      <c r="U268" s="5" t="s">
        <v>3514</v>
      </c>
      <c r="V268" s="5" t="s">
        <v>3514</v>
      </c>
      <c r="W268" s="5" t="s">
        <v>3515</v>
      </c>
      <c r="X268" s="5" t="s">
        <v>3515</v>
      </c>
      <c r="Y268" s="4">
        <v>116</v>
      </c>
      <c r="Z268" s="4">
        <v>94</v>
      </c>
      <c r="AA268" s="4">
        <v>156</v>
      </c>
      <c r="AB268" s="4">
        <v>1</v>
      </c>
      <c r="AC268" s="4">
        <v>1</v>
      </c>
      <c r="AD268" s="4">
        <v>2</v>
      </c>
      <c r="AE268" s="4">
        <v>3</v>
      </c>
      <c r="AF268" s="4">
        <v>1</v>
      </c>
      <c r="AG268" s="4">
        <v>2</v>
      </c>
      <c r="AH268" s="4">
        <v>1</v>
      </c>
      <c r="AI268" s="4">
        <v>1</v>
      </c>
      <c r="AJ268" s="4">
        <v>1</v>
      </c>
      <c r="AK268" s="4">
        <v>2</v>
      </c>
      <c r="AL268" s="4">
        <v>0</v>
      </c>
      <c r="AM268" s="4">
        <v>0</v>
      </c>
      <c r="AN268" s="4">
        <v>0</v>
      </c>
      <c r="AO268" s="4">
        <v>0</v>
      </c>
      <c r="AP268" s="3" t="s">
        <v>59</v>
      </c>
      <c r="AQ268" s="3" t="s">
        <v>70</v>
      </c>
      <c r="AR268" s="6" t="str">
        <f>HYPERLINK("http://catalog.hathitrust.org/Record/004305718","HathiTrust Record")</f>
        <v>HathiTrust Record</v>
      </c>
      <c r="AS268" s="6" t="str">
        <f>HYPERLINK("https://creighton-primo.hosted.exlibrisgroup.com/primo-explore/search?tab=default_tab&amp;search_scope=EVERYTHING&amp;vid=01CRU&amp;lang=en_US&amp;offset=0&amp;query=any,contains,991004089269702656","Catalog Record")</f>
        <v>Catalog Record</v>
      </c>
      <c r="AT268" s="6" t="str">
        <f>HYPERLINK("http://www.worldcat.org/oclc/51009593","WorldCat Record")</f>
        <v>WorldCat Record</v>
      </c>
      <c r="AU268" s="3" t="s">
        <v>3516</v>
      </c>
      <c r="AV268" s="3" t="s">
        <v>3517</v>
      </c>
      <c r="AW268" s="3" t="s">
        <v>3518</v>
      </c>
      <c r="AX268" s="3" t="s">
        <v>3518</v>
      </c>
      <c r="AY268" s="3" t="s">
        <v>3519</v>
      </c>
      <c r="AZ268" s="3" t="s">
        <v>75</v>
      </c>
      <c r="BB268" s="3" t="s">
        <v>3520</v>
      </c>
      <c r="BC268" s="3" t="s">
        <v>3521</v>
      </c>
      <c r="BD268" s="3" t="s">
        <v>3522</v>
      </c>
    </row>
    <row r="269" spans="1:56" ht="48" customHeight="1" x14ac:dyDescent="0.25">
      <c r="A269" s="7" t="s">
        <v>59</v>
      </c>
      <c r="B269" s="2" t="s">
        <v>3523</v>
      </c>
      <c r="C269" s="2" t="s">
        <v>3524</v>
      </c>
      <c r="D269" s="2" t="s">
        <v>3525</v>
      </c>
      <c r="F269" s="3" t="s">
        <v>59</v>
      </c>
      <c r="G269" s="3" t="s">
        <v>60</v>
      </c>
      <c r="H269" s="3" t="s">
        <v>59</v>
      </c>
      <c r="I269" s="3" t="s">
        <v>59</v>
      </c>
      <c r="J269" s="3" t="s">
        <v>61</v>
      </c>
      <c r="K269" s="2" t="s">
        <v>3526</v>
      </c>
      <c r="L269" s="2" t="s">
        <v>3527</v>
      </c>
      <c r="M269" s="3" t="s">
        <v>1351</v>
      </c>
      <c r="O269" s="3" t="s">
        <v>64</v>
      </c>
      <c r="P269" s="3" t="s">
        <v>264</v>
      </c>
      <c r="R269" s="3" t="s">
        <v>67</v>
      </c>
      <c r="S269" s="4">
        <v>2</v>
      </c>
      <c r="T269" s="4">
        <v>2</v>
      </c>
      <c r="U269" s="5" t="s">
        <v>3528</v>
      </c>
      <c r="V269" s="5" t="s">
        <v>3528</v>
      </c>
      <c r="W269" s="5" t="s">
        <v>3529</v>
      </c>
      <c r="X269" s="5" t="s">
        <v>3529</v>
      </c>
      <c r="Y269" s="4">
        <v>159</v>
      </c>
      <c r="Z269" s="4">
        <v>117</v>
      </c>
      <c r="AA269" s="4">
        <v>117</v>
      </c>
      <c r="AB269" s="4">
        <v>3</v>
      </c>
      <c r="AC269" s="4">
        <v>3</v>
      </c>
      <c r="AD269" s="4">
        <v>5</v>
      </c>
      <c r="AE269" s="4">
        <v>5</v>
      </c>
      <c r="AF269" s="4">
        <v>1</v>
      </c>
      <c r="AG269" s="4">
        <v>1</v>
      </c>
      <c r="AH269" s="4">
        <v>1</v>
      </c>
      <c r="AI269" s="4">
        <v>1</v>
      </c>
      <c r="AJ269" s="4">
        <v>2</v>
      </c>
      <c r="AK269" s="4">
        <v>2</v>
      </c>
      <c r="AL269" s="4">
        <v>2</v>
      </c>
      <c r="AM269" s="4">
        <v>2</v>
      </c>
      <c r="AN269" s="4">
        <v>0</v>
      </c>
      <c r="AO269" s="4">
        <v>0</v>
      </c>
      <c r="AP269" s="3" t="s">
        <v>59</v>
      </c>
      <c r="AQ269" s="3" t="s">
        <v>59</v>
      </c>
      <c r="AS269" s="6" t="str">
        <f>HYPERLINK("https://creighton-primo.hosted.exlibrisgroup.com/primo-explore/search?tab=default_tab&amp;search_scope=EVERYTHING&amp;vid=01CRU&amp;lang=en_US&amp;offset=0&amp;query=any,contains,991004190509702656","Catalog Record")</f>
        <v>Catalog Record</v>
      </c>
      <c r="AT269" s="6" t="str">
        <f>HYPERLINK("http://www.worldcat.org/oclc/51266018","WorldCat Record")</f>
        <v>WorldCat Record</v>
      </c>
      <c r="AU269" s="3" t="s">
        <v>3530</v>
      </c>
      <c r="AV269" s="3" t="s">
        <v>3531</v>
      </c>
      <c r="AW269" s="3" t="s">
        <v>3532</v>
      </c>
      <c r="AX269" s="3" t="s">
        <v>3532</v>
      </c>
      <c r="AY269" s="3" t="s">
        <v>3533</v>
      </c>
      <c r="AZ269" s="3" t="s">
        <v>75</v>
      </c>
      <c r="BB269" s="3" t="s">
        <v>3534</v>
      </c>
      <c r="BC269" s="3" t="s">
        <v>3535</v>
      </c>
      <c r="BD269" s="3" t="s">
        <v>3536</v>
      </c>
    </row>
    <row r="270" spans="1:56" ht="48" customHeight="1" x14ac:dyDescent="0.25">
      <c r="A270" s="7" t="s">
        <v>59</v>
      </c>
      <c r="B270" s="2" t="s">
        <v>3537</v>
      </c>
      <c r="C270" s="2" t="s">
        <v>3538</v>
      </c>
      <c r="D270" s="2" t="s">
        <v>3539</v>
      </c>
      <c r="F270" s="3" t="s">
        <v>59</v>
      </c>
      <c r="G270" s="3" t="s">
        <v>60</v>
      </c>
      <c r="H270" s="3" t="s">
        <v>59</v>
      </c>
      <c r="I270" s="3" t="s">
        <v>59</v>
      </c>
      <c r="J270" s="3" t="s">
        <v>61</v>
      </c>
      <c r="K270" s="2" t="s">
        <v>3540</v>
      </c>
      <c r="L270" s="2" t="s">
        <v>3541</v>
      </c>
      <c r="M270" s="3" t="s">
        <v>333</v>
      </c>
      <c r="O270" s="3" t="s">
        <v>64</v>
      </c>
      <c r="P270" s="3" t="s">
        <v>115</v>
      </c>
      <c r="R270" s="3" t="s">
        <v>67</v>
      </c>
      <c r="S270" s="4">
        <v>6</v>
      </c>
      <c r="T270" s="4">
        <v>6</v>
      </c>
      <c r="U270" s="5" t="s">
        <v>3542</v>
      </c>
      <c r="V270" s="5" t="s">
        <v>3542</v>
      </c>
      <c r="W270" s="5" t="s">
        <v>335</v>
      </c>
      <c r="X270" s="5" t="s">
        <v>335</v>
      </c>
      <c r="Y270" s="4">
        <v>159</v>
      </c>
      <c r="Z270" s="4">
        <v>101</v>
      </c>
      <c r="AA270" s="4">
        <v>102</v>
      </c>
      <c r="AB270" s="4">
        <v>1</v>
      </c>
      <c r="AC270" s="4">
        <v>1</v>
      </c>
      <c r="AD270" s="4">
        <v>4</v>
      </c>
      <c r="AE270" s="4">
        <v>4</v>
      </c>
      <c r="AF270" s="4">
        <v>0</v>
      </c>
      <c r="AG270" s="4">
        <v>0</v>
      </c>
      <c r="AH270" s="4">
        <v>3</v>
      </c>
      <c r="AI270" s="4">
        <v>3</v>
      </c>
      <c r="AJ270" s="4">
        <v>2</v>
      </c>
      <c r="AK270" s="4">
        <v>2</v>
      </c>
      <c r="AL270" s="4">
        <v>0</v>
      </c>
      <c r="AM270" s="4">
        <v>0</v>
      </c>
      <c r="AN270" s="4">
        <v>0</v>
      </c>
      <c r="AO270" s="4">
        <v>0</v>
      </c>
      <c r="AP270" s="3" t="s">
        <v>59</v>
      </c>
      <c r="AQ270" s="3" t="s">
        <v>59</v>
      </c>
      <c r="AS270" s="6" t="str">
        <f>HYPERLINK("https://creighton-primo.hosted.exlibrisgroup.com/primo-explore/search?tab=default_tab&amp;search_scope=EVERYTHING&amp;vid=01CRU&amp;lang=en_US&amp;offset=0&amp;query=any,contains,991000436129702656","Catalog Record")</f>
        <v>Catalog Record</v>
      </c>
      <c r="AT270" s="6" t="str">
        <f>HYPERLINK("http://www.worldcat.org/oclc/10799011","WorldCat Record")</f>
        <v>WorldCat Record</v>
      </c>
      <c r="AU270" s="3" t="s">
        <v>3543</v>
      </c>
      <c r="AV270" s="3" t="s">
        <v>3544</v>
      </c>
      <c r="AW270" s="3" t="s">
        <v>3545</v>
      </c>
      <c r="AX270" s="3" t="s">
        <v>3545</v>
      </c>
      <c r="AY270" s="3" t="s">
        <v>3546</v>
      </c>
      <c r="AZ270" s="3" t="s">
        <v>75</v>
      </c>
      <c r="BB270" s="3" t="s">
        <v>3547</v>
      </c>
      <c r="BC270" s="3" t="s">
        <v>3548</v>
      </c>
      <c r="BD270" s="3" t="s">
        <v>3549</v>
      </c>
    </row>
    <row r="271" spans="1:56" ht="48" customHeight="1" x14ac:dyDescent="0.25">
      <c r="A271" s="7" t="s">
        <v>59</v>
      </c>
      <c r="B271" s="2" t="s">
        <v>3550</v>
      </c>
      <c r="C271" s="2" t="s">
        <v>3551</v>
      </c>
      <c r="D271" s="2" t="s">
        <v>3552</v>
      </c>
      <c r="F271" s="3" t="s">
        <v>59</v>
      </c>
      <c r="G271" s="3" t="s">
        <v>60</v>
      </c>
      <c r="H271" s="3" t="s">
        <v>59</v>
      </c>
      <c r="I271" s="3" t="s">
        <v>70</v>
      </c>
      <c r="J271" s="3" t="s">
        <v>61</v>
      </c>
      <c r="K271" s="2" t="s">
        <v>3540</v>
      </c>
      <c r="L271" s="2" t="s">
        <v>3553</v>
      </c>
      <c r="M271" s="3" t="s">
        <v>113</v>
      </c>
      <c r="N271" s="2" t="s">
        <v>2003</v>
      </c>
      <c r="O271" s="3" t="s">
        <v>64</v>
      </c>
      <c r="P271" s="3" t="s">
        <v>115</v>
      </c>
      <c r="R271" s="3" t="s">
        <v>67</v>
      </c>
      <c r="S271" s="4">
        <v>41</v>
      </c>
      <c r="T271" s="4">
        <v>41</v>
      </c>
      <c r="U271" s="5" t="s">
        <v>3554</v>
      </c>
      <c r="V271" s="5" t="s">
        <v>3554</v>
      </c>
      <c r="W271" s="5" t="s">
        <v>3555</v>
      </c>
      <c r="X271" s="5" t="s">
        <v>3555</v>
      </c>
      <c r="Y271" s="4">
        <v>365</v>
      </c>
      <c r="Z271" s="4">
        <v>257</v>
      </c>
      <c r="AA271" s="4">
        <v>929</v>
      </c>
      <c r="AB271" s="4">
        <v>2</v>
      </c>
      <c r="AC271" s="4">
        <v>6</v>
      </c>
      <c r="AD271" s="4">
        <v>7</v>
      </c>
      <c r="AE271" s="4">
        <v>30</v>
      </c>
      <c r="AF271" s="4">
        <v>1</v>
      </c>
      <c r="AG271" s="4">
        <v>12</v>
      </c>
      <c r="AH271" s="4">
        <v>3</v>
      </c>
      <c r="AI271" s="4">
        <v>10</v>
      </c>
      <c r="AJ271" s="4">
        <v>4</v>
      </c>
      <c r="AK271" s="4">
        <v>18</v>
      </c>
      <c r="AL271" s="4">
        <v>1</v>
      </c>
      <c r="AM271" s="4">
        <v>3</v>
      </c>
      <c r="AN271" s="4">
        <v>0</v>
      </c>
      <c r="AO271" s="4">
        <v>0</v>
      </c>
      <c r="AP271" s="3" t="s">
        <v>59</v>
      </c>
      <c r="AQ271" s="3" t="s">
        <v>59</v>
      </c>
      <c r="AS271" s="6" t="str">
        <f>HYPERLINK("https://creighton-primo.hosted.exlibrisgroup.com/primo-explore/search?tab=default_tab&amp;search_scope=EVERYTHING&amp;vid=01CRU&amp;lang=en_US&amp;offset=0&amp;query=any,contains,991005253119702656","Catalog Record")</f>
        <v>Catalog Record</v>
      </c>
      <c r="AT271" s="6" t="str">
        <f>HYPERLINK("http://www.worldcat.org/oclc/13822038","WorldCat Record")</f>
        <v>WorldCat Record</v>
      </c>
      <c r="AU271" s="3" t="s">
        <v>3556</v>
      </c>
      <c r="AV271" s="3" t="s">
        <v>3557</v>
      </c>
      <c r="AW271" s="3" t="s">
        <v>3558</v>
      </c>
      <c r="AX271" s="3" t="s">
        <v>3558</v>
      </c>
      <c r="AY271" s="3" t="s">
        <v>3559</v>
      </c>
      <c r="AZ271" s="3" t="s">
        <v>75</v>
      </c>
      <c r="BB271" s="3" t="s">
        <v>3560</v>
      </c>
      <c r="BC271" s="3" t="s">
        <v>3561</v>
      </c>
      <c r="BD271" s="3" t="s">
        <v>3562</v>
      </c>
    </row>
    <row r="272" spans="1:56" ht="48" customHeight="1" x14ac:dyDescent="0.25">
      <c r="A272" s="7" t="s">
        <v>59</v>
      </c>
      <c r="B272" s="2" t="s">
        <v>3563</v>
      </c>
      <c r="C272" s="2" t="s">
        <v>3564</v>
      </c>
      <c r="D272" s="2" t="s">
        <v>3565</v>
      </c>
      <c r="F272" s="3" t="s">
        <v>59</v>
      </c>
      <c r="G272" s="3" t="s">
        <v>60</v>
      </c>
      <c r="H272" s="3" t="s">
        <v>59</v>
      </c>
      <c r="I272" s="3" t="s">
        <v>70</v>
      </c>
      <c r="J272" s="3" t="s">
        <v>61</v>
      </c>
      <c r="K272" s="2" t="s">
        <v>3540</v>
      </c>
      <c r="L272" s="2" t="s">
        <v>3566</v>
      </c>
      <c r="M272" s="3" t="s">
        <v>485</v>
      </c>
      <c r="N272" s="2" t="s">
        <v>2933</v>
      </c>
      <c r="O272" s="3" t="s">
        <v>64</v>
      </c>
      <c r="P272" s="3" t="s">
        <v>115</v>
      </c>
      <c r="R272" s="3" t="s">
        <v>67</v>
      </c>
      <c r="S272" s="4">
        <v>16</v>
      </c>
      <c r="T272" s="4">
        <v>16</v>
      </c>
      <c r="U272" s="5" t="s">
        <v>3567</v>
      </c>
      <c r="V272" s="5" t="s">
        <v>3567</v>
      </c>
      <c r="W272" s="5" t="s">
        <v>3568</v>
      </c>
      <c r="X272" s="5" t="s">
        <v>3568</v>
      </c>
      <c r="Y272" s="4">
        <v>336</v>
      </c>
      <c r="Z272" s="4">
        <v>222</v>
      </c>
      <c r="AA272" s="4">
        <v>352</v>
      </c>
      <c r="AB272" s="4">
        <v>2</v>
      </c>
      <c r="AC272" s="4">
        <v>2</v>
      </c>
      <c r="AD272" s="4">
        <v>8</v>
      </c>
      <c r="AE272" s="4">
        <v>14</v>
      </c>
      <c r="AF272" s="4">
        <v>2</v>
      </c>
      <c r="AG272" s="4">
        <v>4</v>
      </c>
      <c r="AH272" s="4">
        <v>1</v>
      </c>
      <c r="AI272" s="4">
        <v>4</v>
      </c>
      <c r="AJ272" s="4">
        <v>4</v>
      </c>
      <c r="AK272" s="4">
        <v>6</v>
      </c>
      <c r="AL272" s="4">
        <v>1</v>
      </c>
      <c r="AM272" s="4">
        <v>1</v>
      </c>
      <c r="AN272" s="4">
        <v>0</v>
      </c>
      <c r="AO272" s="4">
        <v>0</v>
      </c>
      <c r="AP272" s="3" t="s">
        <v>59</v>
      </c>
      <c r="AQ272" s="3" t="s">
        <v>70</v>
      </c>
      <c r="AR272" s="6" t="str">
        <f>HYPERLINK("http://catalog.hathitrust.org/Record/000256960","HathiTrust Record")</f>
        <v>HathiTrust Record</v>
      </c>
      <c r="AS272" s="6" t="str">
        <f>HYPERLINK("https://creighton-primo.hosted.exlibrisgroup.com/primo-explore/search?tab=default_tab&amp;search_scope=EVERYTHING&amp;vid=01CRU&amp;lang=en_US&amp;offset=0&amp;query=any,contains,991005253099702656","Catalog Record")</f>
        <v>Catalog Record</v>
      </c>
      <c r="AT272" s="6" t="str">
        <f>HYPERLINK("http://www.worldcat.org/oclc/4500027","WorldCat Record")</f>
        <v>WorldCat Record</v>
      </c>
      <c r="AU272" s="3" t="s">
        <v>3569</v>
      </c>
      <c r="AV272" s="3" t="s">
        <v>3570</v>
      </c>
      <c r="AW272" s="3" t="s">
        <v>3571</v>
      </c>
      <c r="AX272" s="3" t="s">
        <v>3571</v>
      </c>
      <c r="AY272" s="3" t="s">
        <v>3572</v>
      </c>
      <c r="AZ272" s="3" t="s">
        <v>75</v>
      </c>
      <c r="BB272" s="3" t="s">
        <v>3573</v>
      </c>
      <c r="BC272" s="3" t="s">
        <v>3574</v>
      </c>
      <c r="BD272" s="3" t="s">
        <v>3575</v>
      </c>
    </row>
    <row r="273" spans="1:56" ht="48" customHeight="1" x14ac:dyDescent="0.25">
      <c r="A273" s="7" t="s">
        <v>59</v>
      </c>
      <c r="B273" s="2" t="s">
        <v>3576</v>
      </c>
      <c r="C273" s="2" t="s">
        <v>3577</v>
      </c>
      <c r="D273" s="2" t="s">
        <v>3578</v>
      </c>
      <c r="F273" s="3" t="s">
        <v>59</v>
      </c>
      <c r="G273" s="3" t="s">
        <v>60</v>
      </c>
      <c r="H273" s="3" t="s">
        <v>59</v>
      </c>
      <c r="I273" s="3" t="s">
        <v>70</v>
      </c>
      <c r="J273" s="3" t="s">
        <v>61</v>
      </c>
      <c r="K273" s="2" t="s">
        <v>3540</v>
      </c>
      <c r="L273" s="2" t="s">
        <v>3579</v>
      </c>
      <c r="M273" s="3" t="s">
        <v>549</v>
      </c>
      <c r="N273" s="2" t="s">
        <v>2933</v>
      </c>
      <c r="O273" s="3" t="s">
        <v>64</v>
      </c>
      <c r="P273" s="3" t="s">
        <v>115</v>
      </c>
      <c r="R273" s="3" t="s">
        <v>67</v>
      </c>
      <c r="S273" s="4">
        <v>5</v>
      </c>
      <c r="T273" s="4">
        <v>5</v>
      </c>
      <c r="U273" s="5" t="s">
        <v>3580</v>
      </c>
      <c r="V273" s="5" t="s">
        <v>3580</v>
      </c>
      <c r="W273" s="5" t="s">
        <v>133</v>
      </c>
      <c r="X273" s="5" t="s">
        <v>133</v>
      </c>
      <c r="Y273" s="4">
        <v>428</v>
      </c>
      <c r="Z273" s="4">
        <v>326</v>
      </c>
      <c r="AA273" s="4">
        <v>2217</v>
      </c>
      <c r="AB273" s="4">
        <v>2</v>
      </c>
      <c r="AC273" s="4">
        <v>17</v>
      </c>
      <c r="AD273" s="4">
        <v>6</v>
      </c>
      <c r="AE273" s="4">
        <v>56</v>
      </c>
      <c r="AF273" s="4">
        <v>1</v>
      </c>
      <c r="AG273" s="4">
        <v>22</v>
      </c>
      <c r="AH273" s="4">
        <v>2</v>
      </c>
      <c r="AI273" s="4">
        <v>11</v>
      </c>
      <c r="AJ273" s="4">
        <v>5</v>
      </c>
      <c r="AK273" s="4">
        <v>22</v>
      </c>
      <c r="AL273" s="4">
        <v>0</v>
      </c>
      <c r="AM273" s="4">
        <v>10</v>
      </c>
      <c r="AN273" s="4">
        <v>0</v>
      </c>
      <c r="AO273" s="4">
        <v>1</v>
      </c>
      <c r="AP273" s="3" t="s">
        <v>59</v>
      </c>
      <c r="AQ273" s="3" t="s">
        <v>70</v>
      </c>
      <c r="AR273" s="6" t="str">
        <f>HYPERLINK("http://catalog.hathitrust.org/Record/000712239","HathiTrust Record")</f>
        <v>HathiTrust Record</v>
      </c>
      <c r="AS273" s="6" t="str">
        <f>HYPERLINK("https://creighton-primo.hosted.exlibrisgroup.com/primo-explore/search?tab=default_tab&amp;search_scope=EVERYTHING&amp;vid=01CRU&amp;lang=en_US&amp;offset=0&amp;query=any,contains,991003954529702656","Catalog Record")</f>
        <v>Catalog Record</v>
      </c>
      <c r="AT273" s="6" t="str">
        <f>HYPERLINK("http://www.worldcat.org/oclc/1961652","WorldCat Record")</f>
        <v>WorldCat Record</v>
      </c>
      <c r="AU273" s="3" t="s">
        <v>3581</v>
      </c>
      <c r="AV273" s="3" t="s">
        <v>3582</v>
      </c>
      <c r="AW273" s="3" t="s">
        <v>3583</v>
      </c>
      <c r="AX273" s="3" t="s">
        <v>3583</v>
      </c>
      <c r="AY273" s="3" t="s">
        <v>3584</v>
      </c>
      <c r="AZ273" s="3" t="s">
        <v>75</v>
      </c>
      <c r="BB273" s="3" t="s">
        <v>3585</v>
      </c>
      <c r="BC273" s="3" t="s">
        <v>3586</v>
      </c>
      <c r="BD273" s="3" t="s">
        <v>3587</v>
      </c>
    </row>
    <row r="274" spans="1:56" ht="48" customHeight="1" x14ac:dyDescent="0.25">
      <c r="A274" s="7" t="s">
        <v>59</v>
      </c>
      <c r="B274" s="2" t="s">
        <v>3588</v>
      </c>
      <c r="C274" s="2" t="s">
        <v>3589</v>
      </c>
      <c r="D274" s="2" t="s">
        <v>3590</v>
      </c>
      <c r="F274" s="3" t="s">
        <v>59</v>
      </c>
      <c r="G274" s="3" t="s">
        <v>60</v>
      </c>
      <c r="H274" s="3" t="s">
        <v>59</v>
      </c>
      <c r="I274" s="3" t="s">
        <v>59</v>
      </c>
      <c r="J274" s="3" t="s">
        <v>61</v>
      </c>
      <c r="K274" s="2" t="s">
        <v>3591</v>
      </c>
      <c r="L274" s="2" t="s">
        <v>3592</v>
      </c>
      <c r="M274" s="3" t="s">
        <v>161</v>
      </c>
      <c r="N274" s="2" t="s">
        <v>2933</v>
      </c>
      <c r="O274" s="3" t="s">
        <v>64</v>
      </c>
      <c r="P274" s="3" t="s">
        <v>130</v>
      </c>
      <c r="R274" s="3" t="s">
        <v>67</v>
      </c>
      <c r="S274" s="4">
        <v>1</v>
      </c>
      <c r="T274" s="4">
        <v>1</v>
      </c>
      <c r="U274" s="5" t="s">
        <v>3593</v>
      </c>
      <c r="V274" s="5" t="s">
        <v>3593</v>
      </c>
      <c r="W274" s="5" t="s">
        <v>3555</v>
      </c>
      <c r="X274" s="5" t="s">
        <v>3555</v>
      </c>
      <c r="Y274" s="4">
        <v>222</v>
      </c>
      <c r="Z274" s="4">
        <v>166</v>
      </c>
      <c r="AA274" s="4">
        <v>506</v>
      </c>
      <c r="AB274" s="4">
        <v>2</v>
      </c>
      <c r="AC274" s="4">
        <v>2</v>
      </c>
      <c r="AD274" s="4">
        <v>1</v>
      </c>
      <c r="AE274" s="4">
        <v>13</v>
      </c>
      <c r="AF274" s="4">
        <v>0</v>
      </c>
      <c r="AG274" s="4">
        <v>5</v>
      </c>
      <c r="AH274" s="4">
        <v>0</v>
      </c>
      <c r="AI274" s="4">
        <v>4</v>
      </c>
      <c r="AJ274" s="4">
        <v>0</v>
      </c>
      <c r="AK274" s="4">
        <v>7</v>
      </c>
      <c r="AL274" s="4">
        <v>1</v>
      </c>
      <c r="AM274" s="4">
        <v>1</v>
      </c>
      <c r="AN274" s="4">
        <v>0</v>
      </c>
      <c r="AO274" s="4">
        <v>0</v>
      </c>
      <c r="AP274" s="3" t="s">
        <v>59</v>
      </c>
      <c r="AQ274" s="3" t="s">
        <v>70</v>
      </c>
      <c r="AR274" s="6" t="str">
        <f>HYPERLINK("http://catalog.hathitrust.org/Record/000687473","HathiTrust Record")</f>
        <v>HathiTrust Record</v>
      </c>
      <c r="AS274" s="6" t="str">
        <f>HYPERLINK("https://creighton-primo.hosted.exlibrisgroup.com/primo-explore/search?tab=default_tab&amp;search_scope=EVERYTHING&amp;vid=01CRU&amp;lang=en_US&amp;offset=0&amp;query=any,contains,991004817209702656","Catalog Record")</f>
        <v>Catalog Record</v>
      </c>
      <c r="AT274" s="6" t="str">
        <f>HYPERLINK("http://www.worldcat.org/oclc/5310851","WorldCat Record")</f>
        <v>WorldCat Record</v>
      </c>
      <c r="AU274" s="3" t="s">
        <v>3594</v>
      </c>
      <c r="AV274" s="3" t="s">
        <v>3595</v>
      </c>
      <c r="AW274" s="3" t="s">
        <v>3596</v>
      </c>
      <c r="AX274" s="3" t="s">
        <v>3596</v>
      </c>
      <c r="AY274" s="3" t="s">
        <v>3597</v>
      </c>
      <c r="AZ274" s="3" t="s">
        <v>75</v>
      </c>
      <c r="BB274" s="3" t="s">
        <v>3598</v>
      </c>
      <c r="BC274" s="3" t="s">
        <v>3599</v>
      </c>
      <c r="BD274" s="3" t="s">
        <v>3600</v>
      </c>
    </row>
    <row r="275" spans="1:56" ht="48" customHeight="1" x14ac:dyDescent="0.25">
      <c r="A275" s="7" t="s">
        <v>59</v>
      </c>
      <c r="B275" s="2" t="s">
        <v>3601</v>
      </c>
      <c r="C275" s="2" t="s">
        <v>3602</v>
      </c>
      <c r="D275" s="2" t="s">
        <v>3603</v>
      </c>
      <c r="F275" s="3" t="s">
        <v>59</v>
      </c>
      <c r="G275" s="3" t="s">
        <v>60</v>
      </c>
      <c r="H275" s="3" t="s">
        <v>59</v>
      </c>
      <c r="I275" s="3" t="s">
        <v>59</v>
      </c>
      <c r="J275" s="3" t="s">
        <v>61</v>
      </c>
      <c r="K275" s="2" t="s">
        <v>3604</v>
      </c>
      <c r="L275" s="2" t="s">
        <v>3605</v>
      </c>
      <c r="M275" s="3" t="s">
        <v>417</v>
      </c>
      <c r="N275" s="2" t="s">
        <v>114</v>
      </c>
      <c r="O275" s="3" t="s">
        <v>64</v>
      </c>
      <c r="P275" s="3" t="s">
        <v>130</v>
      </c>
      <c r="R275" s="3" t="s">
        <v>67</v>
      </c>
      <c r="S275" s="4">
        <v>19</v>
      </c>
      <c r="T275" s="4">
        <v>19</v>
      </c>
      <c r="U275" s="5" t="s">
        <v>3528</v>
      </c>
      <c r="V275" s="5" t="s">
        <v>3528</v>
      </c>
      <c r="W275" s="5" t="s">
        <v>3606</v>
      </c>
      <c r="X275" s="5" t="s">
        <v>3606</v>
      </c>
      <c r="Y275" s="4">
        <v>137</v>
      </c>
      <c r="Z275" s="4">
        <v>96</v>
      </c>
      <c r="AA275" s="4">
        <v>98</v>
      </c>
      <c r="AB275" s="4">
        <v>1</v>
      </c>
      <c r="AC275" s="4">
        <v>1</v>
      </c>
      <c r="AD275" s="4">
        <v>2</v>
      </c>
      <c r="AE275" s="4">
        <v>2</v>
      </c>
      <c r="AF275" s="4">
        <v>0</v>
      </c>
      <c r="AG275" s="4">
        <v>0</v>
      </c>
      <c r="AH275" s="4">
        <v>2</v>
      </c>
      <c r="AI275" s="4">
        <v>2</v>
      </c>
      <c r="AJ275" s="4">
        <v>1</v>
      </c>
      <c r="AK275" s="4">
        <v>1</v>
      </c>
      <c r="AL275" s="4">
        <v>0</v>
      </c>
      <c r="AM275" s="4">
        <v>0</v>
      </c>
      <c r="AN275" s="4">
        <v>0</v>
      </c>
      <c r="AO275" s="4">
        <v>0</v>
      </c>
      <c r="AP275" s="3" t="s">
        <v>59</v>
      </c>
      <c r="AQ275" s="3" t="s">
        <v>70</v>
      </c>
      <c r="AR275" s="6" t="str">
        <f>HYPERLINK("http://catalog.hathitrust.org/Record/000284094","HathiTrust Record")</f>
        <v>HathiTrust Record</v>
      </c>
      <c r="AS275" s="6" t="str">
        <f>HYPERLINK("https://creighton-primo.hosted.exlibrisgroup.com/primo-explore/search?tab=default_tab&amp;search_scope=EVERYTHING&amp;vid=01CRU&amp;lang=en_US&amp;offset=0&amp;query=any,contains,991000051459702656","Catalog Record")</f>
        <v>Catalog Record</v>
      </c>
      <c r="AT275" s="6" t="str">
        <f>HYPERLINK("http://www.worldcat.org/oclc/8688694","WorldCat Record")</f>
        <v>WorldCat Record</v>
      </c>
      <c r="AU275" s="3" t="s">
        <v>3607</v>
      </c>
      <c r="AV275" s="3" t="s">
        <v>3608</v>
      </c>
      <c r="AW275" s="3" t="s">
        <v>3609</v>
      </c>
      <c r="AX275" s="3" t="s">
        <v>3609</v>
      </c>
      <c r="AY275" s="3" t="s">
        <v>3610</v>
      </c>
      <c r="AZ275" s="3" t="s">
        <v>75</v>
      </c>
      <c r="BB275" s="3" t="s">
        <v>3611</v>
      </c>
      <c r="BC275" s="3" t="s">
        <v>3612</v>
      </c>
      <c r="BD275" s="3" t="s">
        <v>3613</v>
      </c>
    </row>
    <row r="276" spans="1:56" ht="48" customHeight="1" x14ac:dyDescent="0.25">
      <c r="A276" s="7" t="s">
        <v>59</v>
      </c>
      <c r="B276" s="2" t="s">
        <v>3614</v>
      </c>
      <c r="C276" s="2" t="s">
        <v>3615</v>
      </c>
      <c r="D276" s="2" t="s">
        <v>3616</v>
      </c>
      <c r="F276" s="3" t="s">
        <v>59</v>
      </c>
      <c r="G276" s="3" t="s">
        <v>60</v>
      </c>
      <c r="H276" s="3" t="s">
        <v>59</v>
      </c>
      <c r="I276" s="3" t="s">
        <v>59</v>
      </c>
      <c r="J276" s="3" t="s">
        <v>61</v>
      </c>
      <c r="K276" s="2" t="s">
        <v>3617</v>
      </c>
      <c r="L276" s="2" t="s">
        <v>3618</v>
      </c>
      <c r="M276" s="3" t="s">
        <v>234</v>
      </c>
      <c r="N276" s="2" t="s">
        <v>3619</v>
      </c>
      <c r="O276" s="3" t="s">
        <v>64</v>
      </c>
      <c r="P276" s="3" t="s">
        <v>1201</v>
      </c>
      <c r="R276" s="3" t="s">
        <v>67</v>
      </c>
      <c r="S276" s="4">
        <v>29</v>
      </c>
      <c r="T276" s="4">
        <v>29</v>
      </c>
      <c r="U276" s="5" t="s">
        <v>3620</v>
      </c>
      <c r="V276" s="5" t="s">
        <v>3620</v>
      </c>
      <c r="W276" s="5" t="s">
        <v>3621</v>
      </c>
      <c r="X276" s="5" t="s">
        <v>3621</v>
      </c>
      <c r="Y276" s="4">
        <v>231</v>
      </c>
      <c r="Z276" s="4">
        <v>124</v>
      </c>
      <c r="AA276" s="4">
        <v>237</v>
      </c>
      <c r="AB276" s="4">
        <v>3</v>
      </c>
      <c r="AC276" s="4">
        <v>3</v>
      </c>
      <c r="AD276" s="4">
        <v>5</v>
      </c>
      <c r="AE276" s="4">
        <v>7</v>
      </c>
      <c r="AF276" s="4">
        <v>3</v>
      </c>
      <c r="AG276" s="4">
        <v>4</v>
      </c>
      <c r="AH276" s="4">
        <v>1</v>
      </c>
      <c r="AI276" s="4">
        <v>2</v>
      </c>
      <c r="AJ276" s="4">
        <v>1</v>
      </c>
      <c r="AK276" s="4">
        <v>3</v>
      </c>
      <c r="AL276" s="4">
        <v>2</v>
      </c>
      <c r="AM276" s="4">
        <v>2</v>
      </c>
      <c r="AN276" s="4">
        <v>0</v>
      </c>
      <c r="AO276" s="4">
        <v>0</v>
      </c>
      <c r="AP276" s="3" t="s">
        <v>59</v>
      </c>
      <c r="AQ276" s="3" t="s">
        <v>70</v>
      </c>
      <c r="AR276" s="6" t="str">
        <f>HYPERLINK("http://catalog.hathitrust.org/Record/001814512","HathiTrust Record")</f>
        <v>HathiTrust Record</v>
      </c>
      <c r="AS276" s="6" t="str">
        <f>HYPERLINK("https://creighton-primo.hosted.exlibrisgroup.com/primo-explore/search?tab=default_tab&amp;search_scope=EVERYTHING&amp;vid=01CRU&amp;lang=en_US&amp;offset=0&amp;query=any,contains,991001527779702656","Catalog Record")</f>
        <v>Catalog Record</v>
      </c>
      <c r="AT276" s="6" t="str">
        <f>HYPERLINK("http://www.worldcat.org/oclc/20013919","WorldCat Record")</f>
        <v>WorldCat Record</v>
      </c>
      <c r="AU276" s="3" t="s">
        <v>3622</v>
      </c>
      <c r="AV276" s="3" t="s">
        <v>3623</v>
      </c>
      <c r="AW276" s="3" t="s">
        <v>3624</v>
      </c>
      <c r="AX276" s="3" t="s">
        <v>3624</v>
      </c>
      <c r="AY276" s="3" t="s">
        <v>3625</v>
      </c>
      <c r="AZ276" s="3" t="s">
        <v>75</v>
      </c>
      <c r="BB276" s="3" t="s">
        <v>3626</v>
      </c>
      <c r="BC276" s="3" t="s">
        <v>3627</v>
      </c>
      <c r="BD276" s="3" t="s">
        <v>3628</v>
      </c>
    </row>
    <row r="277" spans="1:56" ht="48" customHeight="1" x14ac:dyDescent="0.25">
      <c r="A277" s="7" t="s">
        <v>59</v>
      </c>
      <c r="B277" s="2" t="s">
        <v>3629</v>
      </c>
      <c r="C277" s="2" t="s">
        <v>3630</v>
      </c>
      <c r="D277" s="2" t="s">
        <v>3631</v>
      </c>
      <c r="F277" s="3" t="s">
        <v>59</v>
      </c>
      <c r="G277" s="3" t="s">
        <v>60</v>
      </c>
      <c r="H277" s="3" t="s">
        <v>59</v>
      </c>
      <c r="I277" s="3" t="s">
        <v>59</v>
      </c>
      <c r="J277" s="3" t="s">
        <v>61</v>
      </c>
      <c r="K277" s="2" t="s">
        <v>3632</v>
      </c>
      <c r="L277" s="2" t="s">
        <v>563</v>
      </c>
      <c r="M277" s="3" t="s">
        <v>145</v>
      </c>
      <c r="O277" s="3" t="s">
        <v>64</v>
      </c>
      <c r="P277" s="3" t="s">
        <v>176</v>
      </c>
      <c r="Q277" s="2" t="s">
        <v>3633</v>
      </c>
      <c r="R277" s="3" t="s">
        <v>67</v>
      </c>
      <c r="S277" s="4">
        <v>5</v>
      </c>
      <c r="T277" s="4">
        <v>5</v>
      </c>
      <c r="U277" s="5" t="s">
        <v>3634</v>
      </c>
      <c r="V277" s="5" t="s">
        <v>3634</v>
      </c>
      <c r="W277" s="5" t="s">
        <v>2950</v>
      </c>
      <c r="X277" s="5" t="s">
        <v>2950</v>
      </c>
      <c r="Y277" s="4">
        <v>518</v>
      </c>
      <c r="Z277" s="4">
        <v>408</v>
      </c>
      <c r="AA277" s="4">
        <v>414</v>
      </c>
      <c r="AB277" s="4">
        <v>3</v>
      </c>
      <c r="AC277" s="4">
        <v>3</v>
      </c>
      <c r="AD277" s="4">
        <v>8</v>
      </c>
      <c r="AE277" s="4">
        <v>8</v>
      </c>
      <c r="AF277" s="4">
        <v>2</v>
      </c>
      <c r="AG277" s="4">
        <v>2</v>
      </c>
      <c r="AH277" s="4">
        <v>2</v>
      </c>
      <c r="AI277" s="4">
        <v>2</v>
      </c>
      <c r="AJ277" s="4">
        <v>5</v>
      </c>
      <c r="AK277" s="4">
        <v>5</v>
      </c>
      <c r="AL277" s="4">
        <v>1</v>
      </c>
      <c r="AM277" s="4">
        <v>1</v>
      </c>
      <c r="AN277" s="4">
        <v>0</v>
      </c>
      <c r="AO277" s="4">
        <v>0</v>
      </c>
      <c r="AP277" s="3" t="s">
        <v>59</v>
      </c>
      <c r="AQ277" s="3" t="s">
        <v>59</v>
      </c>
      <c r="AS277" s="6" t="str">
        <f>HYPERLINK("https://creighton-primo.hosted.exlibrisgroup.com/primo-explore/search?tab=default_tab&amp;search_scope=EVERYTHING&amp;vid=01CRU&amp;lang=en_US&amp;offset=0&amp;query=any,contains,991004438189702656","Catalog Record")</f>
        <v>Catalog Record</v>
      </c>
      <c r="AT277" s="6" t="str">
        <f>HYPERLINK("http://www.worldcat.org/oclc/3447372","WorldCat Record")</f>
        <v>WorldCat Record</v>
      </c>
      <c r="AU277" s="3" t="s">
        <v>3635</v>
      </c>
      <c r="AV277" s="3" t="s">
        <v>3636</v>
      </c>
      <c r="AW277" s="3" t="s">
        <v>3637</v>
      </c>
      <c r="AX277" s="3" t="s">
        <v>3637</v>
      </c>
      <c r="AY277" s="3" t="s">
        <v>3638</v>
      </c>
      <c r="AZ277" s="3" t="s">
        <v>75</v>
      </c>
      <c r="BB277" s="3" t="s">
        <v>3639</v>
      </c>
      <c r="BC277" s="3" t="s">
        <v>3640</v>
      </c>
      <c r="BD277" s="3" t="s">
        <v>3641</v>
      </c>
    </row>
    <row r="278" spans="1:56" ht="48" customHeight="1" x14ac:dyDescent="0.25">
      <c r="A278" s="7" t="s">
        <v>59</v>
      </c>
      <c r="B278" s="2" t="s">
        <v>3642</v>
      </c>
      <c r="C278" s="2" t="s">
        <v>3643</v>
      </c>
      <c r="D278" s="2" t="s">
        <v>3644</v>
      </c>
      <c r="F278" s="3" t="s">
        <v>59</v>
      </c>
      <c r="G278" s="3" t="s">
        <v>3645</v>
      </c>
      <c r="H278" s="3" t="s">
        <v>59</v>
      </c>
      <c r="I278" s="3" t="s">
        <v>59</v>
      </c>
      <c r="J278" s="3" t="s">
        <v>61</v>
      </c>
      <c r="K278" s="2" t="s">
        <v>3646</v>
      </c>
      <c r="L278" s="2" t="s">
        <v>3647</v>
      </c>
      <c r="M278" s="3" t="s">
        <v>417</v>
      </c>
      <c r="O278" s="3" t="s">
        <v>64</v>
      </c>
      <c r="P278" s="3" t="s">
        <v>115</v>
      </c>
      <c r="R278" s="3" t="s">
        <v>67</v>
      </c>
      <c r="S278" s="4">
        <v>15</v>
      </c>
      <c r="T278" s="4">
        <v>15</v>
      </c>
      <c r="U278" s="5" t="s">
        <v>3648</v>
      </c>
      <c r="V278" s="5" t="s">
        <v>3648</v>
      </c>
      <c r="W278" s="5" t="s">
        <v>133</v>
      </c>
      <c r="X278" s="5" t="s">
        <v>133</v>
      </c>
      <c r="Y278" s="4">
        <v>162</v>
      </c>
      <c r="Z278" s="4">
        <v>81</v>
      </c>
      <c r="AA278" s="4">
        <v>340</v>
      </c>
      <c r="AB278" s="4">
        <v>1</v>
      </c>
      <c r="AC278" s="4">
        <v>3</v>
      </c>
      <c r="AD278" s="4">
        <v>3</v>
      </c>
      <c r="AE278" s="4">
        <v>10</v>
      </c>
      <c r="AF278" s="4">
        <v>2</v>
      </c>
      <c r="AG278" s="4">
        <v>2</v>
      </c>
      <c r="AH278" s="4">
        <v>0</v>
      </c>
      <c r="AI278" s="4">
        <v>2</v>
      </c>
      <c r="AJ278" s="4">
        <v>1</v>
      </c>
      <c r="AK278" s="4">
        <v>7</v>
      </c>
      <c r="AL278" s="4">
        <v>0</v>
      </c>
      <c r="AM278" s="4">
        <v>1</v>
      </c>
      <c r="AN278" s="4">
        <v>0</v>
      </c>
      <c r="AO278" s="4">
        <v>0</v>
      </c>
      <c r="AP278" s="3" t="s">
        <v>59</v>
      </c>
      <c r="AQ278" s="3" t="s">
        <v>70</v>
      </c>
      <c r="AR278" s="6" t="str">
        <f>HYPERLINK("http://catalog.hathitrust.org/Record/000403672","HathiTrust Record")</f>
        <v>HathiTrust Record</v>
      </c>
      <c r="AS278" s="6" t="str">
        <f>HYPERLINK("https://creighton-primo.hosted.exlibrisgroup.com/primo-explore/search?tab=default_tab&amp;search_scope=EVERYTHING&amp;vid=01CRU&amp;lang=en_US&amp;offset=0&amp;query=any,contains,991000083429702656","Catalog Record")</f>
        <v>Catalog Record</v>
      </c>
      <c r="AT278" s="6" t="str">
        <f>HYPERLINK("http://www.worldcat.org/oclc/8846316","WorldCat Record")</f>
        <v>WorldCat Record</v>
      </c>
      <c r="AU278" s="3" t="s">
        <v>3649</v>
      </c>
      <c r="AV278" s="3" t="s">
        <v>3650</v>
      </c>
      <c r="AW278" s="3" t="s">
        <v>3651</v>
      </c>
      <c r="AX278" s="3" t="s">
        <v>3651</v>
      </c>
      <c r="AY278" s="3" t="s">
        <v>3652</v>
      </c>
      <c r="AZ278" s="3" t="s">
        <v>75</v>
      </c>
      <c r="BB278" s="3" t="s">
        <v>3653</v>
      </c>
      <c r="BC278" s="3" t="s">
        <v>3654</v>
      </c>
      <c r="BD278" s="3" t="s">
        <v>3655</v>
      </c>
    </row>
    <row r="279" spans="1:56" ht="48" customHeight="1" x14ac:dyDescent="0.25">
      <c r="A279" s="7" t="s">
        <v>59</v>
      </c>
      <c r="B279" s="2" t="s">
        <v>3656</v>
      </c>
      <c r="C279" s="2" t="s">
        <v>3657</v>
      </c>
      <c r="D279" s="2" t="s">
        <v>3658</v>
      </c>
      <c r="F279" s="3" t="s">
        <v>59</v>
      </c>
      <c r="G279" s="3" t="s">
        <v>60</v>
      </c>
      <c r="H279" s="3" t="s">
        <v>59</v>
      </c>
      <c r="I279" s="3" t="s">
        <v>59</v>
      </c>
      <c r="J279" s="3" t="s">
        <v>61</v>
      </c>
      <c r="L279" s="2" t="s">
        <v>3659</v>
      </c>
      <c r="M279" s="3" t="s">
        <v>485</v>
      </c>
      <c r="O279" s="3" t="s">
        <v>64</v>
      </c>
      <c r="P279" s="3" t="s">
        <v>264</v>
      </c>
      <c r="R279" s="3" t="s">
        <v>67</v>
      </c>
      <c r="S279" s="4">
        <v>7</v>
      </c>
      <c r="T279" s="4">
        <v>7</v>
      </c>
      <c r="U279" s="5" t="s">
        <v>3502</v>
      </c>
      <c r="V279" s="5" t="s">
        <v>3502</v>
      </c>
      <c r="W279" s="5" t="s">
        <v>2950</v>
      </c>
      <c r="X279" s="5" t="s">
        <v>2950</v>
      </c>
      <c r="Y279" s="4">
        <v>553</v>
      </c>
      <c r="Z279" s="4">
        <v>486</v>
      </c>
      <c r="AA279" s="4">
        <v>508</v>
      </c>
      <c r="AB279" s="4">
        <v>4</v>
      </c>
      <c r="AC279" s="4">
        <v>4</v>
      </c>
      <c r="AD279" s="4">
        <v>23</v>
      </c>
      <c r="AE279" s="4">
        <v>24</v>
      </c>
      <c r="AF279" s="4">
        <v>8</v>
      </c>
      <c r="AG279" s="4">
        <v>9</v>
      </c>
      <c r="AH279" s="4">
        <v>5</v>
      </c>
      <c r="AI279" s="4">
        <v>6</v>
      </c>
      <c r="AJ279" s="4">
        <v>9</v>
      </c>
      <c r="AK279" s="4">
        <v>9</v>
      </c>
      <c r="AL279" s="4">
        <v>3</v>
      </c>
      <c r="AM279" s="4">
        <v>3</v>
      </c>
      <c r="AN279" s="4">
        <v>0</v>
      </c>
      <c r="AO279" s="4">
        <v>0</v>
      </c>
      <c r="AP279" s="3" t="s">
        <v>59</v>
      </c>
      <c r="AQ279" s="3" t="s">
        <v>59</v>
      </c>
      <c r="AS279" s="6" t="str">
        <f>HYPERLINK("https://creighton-primo.hosted.exlibrisgroup.com/primo-explore/search?tab=default_tab&amp;search_scope=EVERYTHING&amp;vid=01CRU&amp;lang=en_US&amp;offset=0&amp;query=any,contains,991004867849702656","Catalog Record")</f>
        <v>Catalog Record</v>
      </c>
      <c r="AT279" s="6" t="str">
        <f>HYPERLINK("http://www.worldcat.org/oclc/4665102","WorldCat Record")</f>
        <v>WorldCat Record</v>
      </c>
      <c r="AU279" s="3" t="s">
        <v>3660</v>
      </c>
      <c r="AV279" s="3" t="s">
        <v>3661</v>
      </c>
      <c r="AW279" s="3" t="s">
        <v>3662</v>
      </c>
      <c r="AX279" s="3" t="s">
        <v>3662</v>
      </c>
      <c r="AY279" s="3" t="s">
        <v>3663</v>
      </c>
      <c r="AZ279" s="3" t="s">
        <v>75</v>
      </c>
      <c r="BB279" s="3" t="s">
        <v>3664</v>
      </c>
      <c r="BC279" s="3" t="s">
        <v>3665</v>
      </c>
      <c r="BD279" s="3" t="s">
        <v>3666</v>
      </c>
    </row>
    <row r="280" spans="1:56" ht="48" customHeight="1" x14ac:dyDescent="0.25">
      <c r="A280" s="7" t="s">
        <v>59</v>
      </c>
      <c r="B280" s="2" t="s">
        <v>3667</v>
      </c>
      <c r="C280" s="2" t="s">
        <v>3668</v>
      </c>
      <c r="D280" s="2" t="s">
        <v>3669</v>
      </c>
      <c r="E280" s="3" t="s">
        <v>713</v>
      </c>
      <c r="F280" s="3" t="s">
        <v>59</v>
      </c>
      <c r="G280" s="3" t="s">
        <v>60</v>
      </c>
      <c r="H280" s="3" t="s">
        <v>59</v>
      </c>
      <c r="I280" s="3" t="s">
        <v>59</v>
      </c>
      <c r="J280" s="3" t="s">
        <v>61</v>
      </c>
      <c r="L280" s="2" t="s">
        <v>3670</v>
      </c>
      <c r="M280" s="3" t="s">
        <v>363</v>
      </c>
      <c r="O280" s="3" t="s">
        <v>64</v>
      </c>
      <c r="P280" s="3" t="s">
        <v>130</v>
      </c>
      <c r="R280" s="3" t="s">
        <v>67</v>
      </c>
      <c r="S280" s="4">
        <v>2</v>
      </c>
      <c r="T280" s="4">
        <v>2</v>
      </c>
      <c r="U280" s="5" t="s">
        <v>3671</v>
      </c>
      <c r="V280" s="5" t="s">
        <v>3671</v>
      </c>
      <c r="W280" s="5" t="s">
        <v>2773</v>
      </c>
      <c r="X280" s="5" t="s">
        <v>2773</v>
      </c>
      <c r="Y280" s="4">
        <v>165</v>
      </c>
      <c r="Z280" s="4">
        <v>133</v>
      </c>
      <c r="AA280" s="4">
        <v>133</v>
      </c>
      <c r="AB280" s="4">
        <v>2</v>
      </c>
      <c r="AC280" s="4">
        <v>2</v>
      </c>
      <c r="AD280" s="4">
        <v>3</v>
      </c>
      <c r="AE280" s="4">
        <v>3</v>
      </c>
      <c r="AF280" s="4">
        <v>0</v>
      </c>
      <c r="AG280" s="4">
        <v>0</v>
      </c>
      <c r="AH280" s="4">
        <v>2</v>
      </c>
      <c r="AI280" s="4">
        <v>2</v>
      </c>
      <c r="AJ280" s="4">
        <v>1</v>
      </c>
      <c r="AK280" s="4">
        <v>1</v>
      </c>
      <c r="AL280" s="4">
        <v>1</v>
      </c>
      <c r="AM280" s="4">
        <v>1</v>
      </c>
      <c r="AN280" s="4">
        <v>0</v>
      </c>
      <c r="AO280" s="4">
        <v>0</v>
      </c>
      <c r="AP280" s="3" t="s">
        <v>59</v>
      </c>
      <c r="AQ280" s="3" t="s">
        <v>70</v>
      </c>
      <c r="AR280" s="6" t="str">
        <f>HYPERLINK("http://catalog.hathitrust.org/Record/010092821","HathiTrust Record")</f>
        <v>HathiTrust Record</v>
      </c>
      <c r="AS280" s="6" t="str">
        <f>HYPERLINK("https://creighton-primo.hosted.exlibrisgroup.com/primo-explore/search?tab=default_tab&amp;search_scope=EVERYTHING&amp;vid=01CRU&amp;lang=en_US&amp;offset=0&amp;query=any,contains,991005133579702656","Catalog Record")</f>
        <v>Catalog Record</v>
      </c>
      <c r="AT280" s="6" t="str">
        <f>HYPERLINK("http://www.worldcat.org/oclc/7574547","WorldCat Record")</f>
        <v>WorldCat Record</v>
      </c>
      <c r="AU280" s="3" t="s">
        <v>3672</v>
      </c>
      <c r="AV280" s="3" t="s">
        <v>3673</v>
      </c>
      <c r="AW280" s="3" t="s">
        <v>3674</v>
      </c>
      <c r="AX280" s="3" t="s">
        <v>3674</v>
      </c>
      <c r="AY280" s="3" t="s">
        <v>3675</v>
      </c>
      <c r="AZ280" s="3" t="s">
        <v>75</v>
      </c>
      <c r="BB280" s="3" t="s">
        <v>3676</v>
      </c>
      <c r="BC280" s="3" t="s">
        <v>3677</v>
      </c>
      <c r="BD280" s="3" t="s">
        <v>3678</v>
      </c>
    </row>
    <row r="281" spans="1:56" ht="48" customHeight="1" x14ac:dyDescent="0.25">
      <c r="A281" s="7" t="s">
        <v>59</v>
      </c>
      <c r="B281" s="2" t="s">
        <v>3679</v>
      </c>
      <c r="C281" s="2" t="s">
        <v>3680</v>
      </c>
      <c r="D281" s="2" t="s">
        <v>3681</v>
      </c>
      <c r="F281" s="3" t="s">
        <v>59</v>
      </c>
      <c r="G281" s="3" t="s">
        <v>60</v>
      </c>
      <c r="H281" s="3" t="s">
        <v>59</v>
      </c>
      <c r="I281" s="3" t="s">
        <v>59</v>
      </c>
      <c r="J281" s="3" t="s">
        <v>61</v>
      </c>
      <c r="K281" s="2" t="s">
        <v>3682</v>
      </c>
      <c r="L281" s="2" t="s">
        <v>3683</v>
      </c>
      <c r="M281" s="3" t="s">
        <v>161</v>
      </c>
      <c r="O281" s="3" t="s">
        <v>64</v>
      </c>
      <c r="P281" s="3" t="s">
        <v>130</v>
      </c>
      <c r="R281" s="3" t="s">
        <v>67</v>
      </c>
      <c r="S281" s="4">
        <v>6</v>
      </c>
      <c r="T281" s="4">
        <v>6</v>
      </c>
      <c r="U281" s="5" t="s">
        <v>3684</v>
      </c>
      <c r="V281" s="5" t="s">
        <v>3684</v>
      </c>
      <c r="W281" s="5" t="s">
        <v>2773</v>
      </c>
      <c r="X281" s="5" t="s">
        <v>2773</v>
      </c>
      <c r="Y281" s="4">
        <v>492</v>
      </c>
      <c r="Z281" s="4">
        <v>383</v>
      </c>
      <c r="AA281" s="4">
        <v>401</v>
      </c>
      <c r="AB281" s="4">
        <v>4</v>
      </c>
      <c r="AC281" s="4">
        <v>4</v>
      </c>
      <c r="AD281" s="4">
        <v>19</v>
      </c>
      <c r="AE281" s="4">
        <v>19</v>
      </c>
      <c r="AF281" s="4">
        <v>7</v>
      </c>
      <c r="AG281" s="4">
        <v>7</v>
      </c>
      <c r="AH281" s="4">
        <v>3</v>
      </c>
      <c r="AI281" s="4">
        <v>3</v>
      </c>
      <c r="AJ281" s="4">
        <v>11</v>
      </c>
      <c r="AK281" s="4">
        <v>11</v>
      </c>
      <c r="AL281" s="4">
        <v>3</v>
      </c>
      <c r="AM281" s="4">
        <v>3</v>
      </c>
      <c r="AN281" s="4">
        <v>0</v>
      </c>
      <c r="AO281" s="4">
        <v>0</v>
      </c>
      <c r="AP281" s="3" t="s">
        <v>59</v>
      </c>
      <c r="AQ281" s="3" t="s">
        <v>70</v>
      </c>
      <c r="AR281" s="6" t="str">
        <f>HYPERLINK("http://catalog.hathitrust.org/Record/000761482","HathiTrust Record")</f>
        <v>HathiTrust Record</v>
      </c>
      <c r="AS281" s="6" t="str">
        <f>HYPERLINK("https://creighton-primo.hosted.exlibrisgroup.com/primo-explore/search?tab=default_tab&amp;search_scope=EVERYTHING&amp;vid=01CRU&amp;lang=en_US&amp;offset=0&amp;query=any,contains,991004955449702656","Catalog Record")</f>
        <v>Catalog Record</v>
      </c>
      <c r="AT281" s="6" t="str">
        <f>HYPERLINK("http://www.worldcat.org/oclc/6278132","WorldCat Record")</f>
        <v>WorldCat Record</v>
      </c>
      <c r="AU281" s="3" t="s">
        <v>3685</v>
      </c>
      <c r="AV281" s="3" t="s">
        <v>3686</v>
      </c>
      <c r="AW281" s="3" t="s">
        <v>3687</v>
      </c>
      <c r="AX281" s="3" t="s">
        <v>3687</v>
      </c>
      <c r="AY281" s="3" t="s">
        <v>3688</v>
      </c>
      <c r="AZ281" s="3" t="s">
        <v>75</v>
      </c>
      <c r="BB281" s="3" t="s">
        <v>3689</v>
      </c>
      <c r="BC281" s="3" t="s">
        <v>3690</v>
      </c>
      <c r="BD281" s="3" t="s">
        <v>3691</v>
      </c>
    </row>
    <row r="282" spans="1:56" ht="48" customHeight="1" x14ac:dyDescent="0.25">
      <c r="A282" s="7" t="s">
        <v>59</v>
      </c>
      <c r="B282" s="2" t="s">
        <v>3692</v>
      </c>
      <c r="C282" s="2" t="s">
        <v>3693</v>
      </c>
      <c r="D282" s="2" t="s">
        <v>3694</v>
      </c>
      <c r="E282" s="3" t="s">
        <v>3695</v>
      </c>
      <c r="F282" s="3" t="s">
        <v>59</v>
      </c>
      <c r="G282" s="3" t="s">
        <v>60</v>
      </c>
      <c r="H282" s="3" t="s">
        <v>59</v>
      </c>
      <c r="I282" s="3" t="s">
        <v>59</v>
      </c>
      <c r="J282" s="3" t="s">
        <v>61</v>
      </c>
      <c r="L282" s="2" t="s">
        <v>3696</v>
      </c>
      <c r="M282" s="3" t="s">
        <v>63</v>
      </c>
      <c r="O282" s="3" t="s">
        <v>64</v>
      </c>
      <c r="P282" s="3" t="s">
        <v>1201</v>
      </c>
      <c r="Q282" s="2" t="s">
        <v>3697</v>
      </c>
      <c r="R282" s="3" t="s">
        <v>67</v>
      </c>
      <c r="S282" s="4">
        <v>5</v>
      </c>
      <c r="T282" s="4">
        <v>5</v>
      </c>
      <c r="U282" s="5" t="s">
        <v>3328</v>
      </c>
      <c r="V282" s="5" t="s">
        <v>3328</v>
      </c>
      <c r="W282" s="5" t="s">
        <v>2773</v>
      </c>
      <c r="X282" s="5" t="s">
        <v>2773</v>
      </c>
      <c r="Y282" s="4">
        <v>321</v>
      </c>
      <c r="Z282" s="4">
        <v>216</v>
      </c>
      <c r="AA282" s="4">
        <v>248</v>
      </c>
      <c r="AB282" s="4">
        <v>2</v>
      </c>
      <c r="AC282" s="4">
        <v>2</v>
      </c>
      <c r="AD282" s="4">
        <v>10</v>
      </c>
      <c r="AE282" s="4">
        <v>10</v>
      </c>
      <c r="AF282" s="4">
        <v>1</v>
      </c>
      <c r="AG282" s="4">
        <v>1</v>
      </c>
      <c r="AH282" s="4">
        <v>5</v>
      </c>
      <c r="AI282" s="4">
        <v>5</v>
      </c>
      <c r="AJ282" s="4">
        <v>6</v>
      </c>
      <c r="AK282" s="4">
        <v>6</v>
      </c>
      <c r="AL282" s="4">
        <v>1</v>
      </c>
      <c r="AM282" s="4">
        <v>1</v>
      </c>
      <c r="AN282" s="4">
        <v>0</v>
      </c>
      <c r="AO282" s="4">
        <v>0</v>
      </c>
      <c r="AP282" s="3" t="s">
        <v>59</v>
      </c>
      <c r="AQ282" s="3" t="s">
        <v>70</v>
      </c>
      <c r="AR282" s="6" t="str">
        <f>HYPERLINK("http://catalog.hathitrust.org/Record/008990440","HathiTrust Record")</f>
        <v>HathiTrust Record</v>
      </c>
      <c r="AS282" s="6" t="str">
        <f>HYPERLINK("https://creighton-primo.hosted.exlibrisgroup.com/primo-explore/search?tab=default_tab&amp;search_scope=EVERYTHING&amp;vid=01CRU&amp;lang=en_US&amp;offset=0&amp;query=any,contains,991004269459702656","Catalog Record")</f>
        <v>Catalog Record</v>
      </c>
      <c r="AT282" s="6" t="str">
        <f>HYPERLINK("http://www.worldcat.org/oclc/2874758","WorldCat Record")</f>
        <v>WorldCat Record</v>
      </c>
      <c r="AU282" s="3" t="s">
        <v>3698</v>
      </c>
      <c r="AV282" s="3" t="s">
        <v>3699</v>
      </c>
      <c r="AW282" s="3" t="s">
        <v>3700</v>
      </c>
      <c r="AX282" s="3" t="s">
        <v>3700</v>
      </c>
      <c r="AY282" s="3" t="s">
        <v>3701</v>
      </c>
      <c r="AZ282" s="3" t="s">
        <v>75</v>
      </c>
      <c r="BB282" s="3" t="s">
        <v>3702</v>
      </c>
      <c r="BC282" s="3" t="s">
        <v>3703</v>
      </c>
      <c r="BD282" s="3" t="s">
        <v>3704</v>
      </c>
    </row>
    <row r="283" spans="1:56" ht="48" customHeight="1" x14ac:dyDescent="0.25">
      <c r="A283" s="7" t="s">
        <v>59</v>
      </c>
      <c r="B283" s="2" t="s">
        <v>3705</v>
      </c>
      <c r="C283" s="2" t="s">
        <v>3706</v>
      </c>
      <c r="D283" s="2" t="s">
        <v>3707</v>
      </c>
      <c r="E283" s="3" t="s">
        <v>3708</v>
      </c>
      <c r="F283" s="3" t="s">
        <v>59</v>
      </c>
      <c r="G283" s="3" t="s">
        <v>60</v>
      </c>
      <c r="H283" s="3" t="s">
        <v>59</v>
      </c>
      <c r="I283" s="3" t="s">
        <v>59</v>
      </c>
      <c r="J283" s="3" t="s">
        <v>61</v>
      </c>
      <c r="L283" s="2" t="s">
        <v>3709</v>
      </c>
      <c r="M283" s="3" t="s">
        <v>145</v>
      </c>
      <c r="O283" s="3" t="s">
        <v>64</v>
      </c>
      <c r="P283" s="3" t="s">
        <v>1201</v>
      </c>
      <c r="Q283" s="2" t="s">
        <v>3710</v>
      </c>
      <c r="R283" s="3" t="s">
        <v>67</v>
      </c>
      <c r="S283" s="4">
        <v>9</v>
      </c>
      <c r="T283" s="4">
        <v>9</v>
      </c>
      <c r="U283" s="5" t="s">
        <v>3711</v>
      </c>
      <c r="V283" s="5" t="s">
        <v>3711</v>
      </c>
      <c r="W283" s="5" t="s">
        <v>2773</v>
      </c>
      <c r="X283" s="5" t="s">
        <v>2773</v>
      </c>
      <c r="Y283" s="4">
        <v>342</v>
      </c>
      <c r="Z283" s="4">
        <v>233</v>
      </c>
      <c r="AA283" s="4">
        <v>257</v>
      </c>
      <c r="AB283" s="4">
        <v>1</v>
      </c>
      <c r="AC283" s="4">
        <v>1</v>
      </c>
      <c r="AD283" s="4">
        <v>9</v>
      </c>
      <c r="AE283" s="4">
        <v>9</v>
      </c>
      <c r="AF283" s="4">
        <v>1</v>
      </c>
      <c r="AG283" s="4">
        <v>1</v>
      </c>
      <c r="AH283" s="4">
        <v>4</v>
      </c>
      <c r="AI283" s="4">
        <v>4</v>
      </c>
      <c r="AJ283" s="4">
        <v>8</v>
      </c>
      <c r="AK283" s="4">
        <v>8</v>
      </c>
      <c r="AL283" s="4">
        <v>0</v>
      </c>
      <c r="AM283" s="4">
        <v>0</v>
      </c>
      <c r="AN283" s="4">
        <v>0</v>
      </c>
      <c r="AO283" s="4">
        <v>0</v>
      </c>
      <c r="AP283" s="3" t="s">
        <v>59</v>
      </c>
      <c r="AQ283" s="3" t="s">
        <v>70</v>
      </c>
      <c r="AR283" s="6" t="str">
        <f>HYPERLINK("http://catalog.hathitrust.org/Record/000135250","HathiTrust Record")</f>
        <v>HathiTrust Record</v>
      </c>
      <c r="AS283" s="6" t="str">
        <f>HYPERLINK("https://creighton-primo.hosted.exlibrisgroup.com/primo-explore/search?tab=default_tab&amp;search_scope=EVERYTHING&amp;vid=01CRU&amp;lang=en_US&amp;offset=0&amp;query=any,contains,991004525899702656","Catalog Record")</f>
        <v>Catalog Record</v>
      </c>
      <c r="AT283" s="6" t="str">
        <f>HYPERLINK("http://www.worldcat.org/oclc/3843494","WorldCat Record")</f>
        <v>WorldCat Record</v>
      </c>
      <c r="AU283" s="3" t="s">
        <v>3712</v>
      </c>
      <c r="AV283" s="3" t="s">
        <v>3713</v>
      </c>
      <c r="AW283" s="3" t="s">
        <v>3714</v>
      </c>
      <c r="AX283" s="3" t="s">
        <v>3714</v>
      </c>
      <c r="AY283" s="3" t="s">
        <v>3715</v>
      </c>
      <c r="AZ283" s="3" t="s">
        <v>75</v>
      </c>
      <c r="BB283" s="3" t="s">
        <v>3716</v>
      </c>
      <c r="BC283" s="3" t="s">
        <v>3717</v>
      </c>
      <c r="BD283" s="3" t="s">
        <v>3718</v>
      </c>
    </row>
    <row r="284" spans="1:56" ht="48" customHeight="1" x14ac:dyDescent="0.25">
      <c r="A284" s="7" t="s">
        <v>59</v>
      </c>
      <c r="B284" s="2" t="s">
        <v>3719</v>
      </c>
      <c r="C284" s="2" t="s">
        <v>3720</v>
      </c>
      <c r="D284" s="2" t="s">
        <v>3721</v>
      </c>
      <c r="F284" s="3" t="s">
        <v>59</v>
      </c>
      <c r="G284" s="3" t="s">
        <v>60</v>
      </c>
      <c r="H284" s="3" t="s">
        <v>59</v>
      </c>
      <c r="I284" s="3" t="s">
        <v>59</v>
      </c>
      <c r="J284" s="3" t="s">
        <v>61</v>
      </c>
      <c r="K284" s="2" t="s">
        <v>3722</v>
      </c>
      <c r="L284" s="2" t="s">
        <v>3723</v>
      </c>
      <c r="M284" s="3" t="s">
        <v>3724</v>
      </c>
      <c r="O284" s="3" t="s">
        <v>64</v>
      </c>
      <c r="P284" s="3" t="s">
        <v>1901</v>
      </c>
      <c r="R284" s="3" t="s">
        <v>67</v>
      </c>
      <c r="S284" s="4">
        <v>2</v>
      </c>
      <c r="T284" s="4">
        <v>2</v>
      </c>
      <c r="U284" s="5" t="s">
        <v>3725</v>
      </c>
      <c r="V284" s="5" t="s">
        <v>3725</v>
      </c>
      <c r="W284" s="5" t="s">
        <v>3726</v>
      </c>
      <c r="X284" s="5" t="s">
        <v>3726</v>
      </c>
      <c r="Y284" s="4">
        <v>708</v>
      </c>
      <c r="Z284" s="4">
        <v>595</v>
      </c>
      <c r="AA284" s="4">
        <v>631</v>
      </c>
      <c r="AB284" s="4">
        <v>7</v>
      </c>
      <c r="AC284" s="4">
        <v>7</v>
      </c>
      <c r="AD284" s="4">
        <v>26</v>
      </c>
      <c r="AE284" s="4">
        <v>27</v>
      </c>
      <c r="AF284" s="4">
        <v>7</v>
      </c>
      <c r="AG284" s="4">
        <v>8</v>
      </c>
      <c r="AH284" s="4">
        <v>6</v>
      </c>
      <c r="AI284" s="4">
        <v>6</v>
      </c>
      <c r="AJ284" s="4">
        <v>11</v>
      </c>
      <c r="AK284" s="4">
        <v>12</v>
      </c>
      <c r="AL284" s="4">
        <v>5</v>
      </c>
      <c r="AM284" s="4">
        <v>5</v>
      </c>
      <c r="AN284" s="4">
        <v>0</v>
      </c>
      <c r="AO284" s="4">
        <v>0</v>
      </c>
      <c r="AP284" s="3" t="s">
        <v>59</v>
      </c>
      <c r="AQ284" s="3" t="s">
        <v>70</v>
      </c>
      <c r="AR284" s="6" t="str">
        <f>HYPERLINK("http://catalog.hathitrust.org/Record/000880156","HathiTrust Record")</f>
        <v>HathiTrust Record</v>
      </c>
      <c r="AS284" s="6" t="str">
        <f>HYPERLINK("https://creighton-primo.hosted.exlibrisgroup.com/primo-explore/search?tab=default_tab&amp;search_scope=EVERYTHING&amp;vid=01CRU&amp;lang=en_US&amp;offset=0&amp;query=any,contains,991005266549702656","Catalog Record")</f>
        <v>Catalog Record</v>
      </c>
      <c r="AT284" s="6" t="str">
        <f>HYPERLINK("http://www.worldcat.org/oclc/556754","WorldCat Record")</f>
        <v>WorldCat Record</v>
      </c>
      <c r="AU284" s="3" t="s">
        <v>3727</v>
      </c>
      <c r="AV284" s="3" t="s">
        <v>3728</v>
      </c>
      <c r="AW284" s="3" t="s">
        <v>3729</v>
      </c>
      <c r="AX284" s="3" t="s">
        <v>3729</v>
      </c>
      <c r="AY284" s="3" t="s">
        <v>3730</v>
      </c>
      <c r="AZ284" s="3" t="s">
        <v>75</v>
      </c>
      <c r="BC284" s="3" t="s">
        <v>3731</v>
      </c>
      <c r="BD284" s="3" t="s">
        <v>3732</v>
      </c>
    </row>
    <row r="285" spans="1:56" ht="48" customHeight="1" x14ac:dyDescent="0.25">
      <c r="A285" s="7" t="s">
        <v>59</v>
      </c>
      <c r="B285" s="2" t="s">
        <v>3733</v>
      </c>
      <c r="C285" s="2" t="s">
        <v>3734</v>
      </c>
      <c r="D285" s="2" t="s">
        <v>3735</v>
      </c>
      <c r="F285" s="3" t="s">
        <v>59</v>
      </c>
      <c r="G285" s="3" t="s">
        <v>60</v>
      </c>
      <c r="H285" s="3" t="s">
        <v>59</v>
      </c>
      <c r="I285" s="3" t="s">
        <v>59</v>
      </c>
      <c r="J285" s="3" t="s">
        <v>61</v>
      </c>
      <c r="K285" s="2" t="s">
        <v>3736</v>
      </c>
      <c r="L285" s="2" t="s">
        <v>3737</v>
      </c>
      <c r="M285" s="3" t="s">
        <v>443</v>
      </c>
      <c r="O285" s="3" t="s">
        <v>64</v>
      </c>
      <c r="P285" s="3" t="s">
        <v>130</v>
      </c>
      <c r="R285" s="3" t="s">
        <v>67</v>
      </c>
      <c r="S285" s="4">
        <v>2</v>
      </c>
      <c r="T285" s="4">
        <v>2</v>
      </c>
      <c r="U285" s="5" t="s">
        <v>3738</v>
      </c>
      <c r="V285" s="5" t="s">
        <v>3738</v>
      </c>
      <c r="W285" s="5" t="s">
        <v>3739</v>
      </c>
      <c r="X285" s="5" t="s">
        <v>3739</v>
      </c>
      <c r="Y285" s="4">
        <v>260</v>
      </c>
      <c r="Z285" s="4">
        <v>201</v>
      </c>
      <c r="AA285" s="4">
        <v>208</v>
      </c>
      <c r="AB285" s="4">
        <v>3</v>
      </c>
      <c r="AC285" s="4">
        <v>3</v>
      </c>
      <c r="AD285" s="4">
        <v>9</v>
      </c>
      <c r="AE285" s="4">
        <v>9</v>
      </c>
      <c r="AF285" s="4">
        <v>1</v>
      </c>
      <c r="AG285" s="4">
        <v>1</v>
      </c>
      <c r="AH285" s="4">
        <v>3</v>
      </c>
      <c r="AI285" s="4">
        <v>3</v>
      </c>
      <c r="AJ285" s="4">
        <v>4</v>
      </c>
      <c r="AK285" s="4">
        <v>4</v>
      </c>
      <c r="AL285" s="4">
        <v>2</v>
      </c>
      <c r="AM285" s="4">
        <v>2</v>
      </c>
      <c r="AN285" s="4">
        <v>0</v>
      </c>
      <c r="AO285" s="4">
        <v>0</v>
      </c>
      <c r="AP285" s="3" t="s">
        <v>59</v>
      </c>
      <c r="AQ285" s="3" t="s">
        <v>70</v>
      </c>
      <c r="AR285" s="6" t="str">
        <f>HYPERLINK("http://catalog.hathitrust.org/Record/001554523","HathiTrust Record")</f>
        <v>HathiTrust Record</v>
      </c>
      <c r="AS285" s="6" t="str">
        <f>HYPERLINK("https://creighton-primo.hosted.exlibrisgroup.com/primo-explore/search?tab=default_tab&amp;search_scope=EVERYTHING&amp;vid=01CRU&amp;lang=en_US&amp;offset=0&amp;query=any,contains,991003074469702656","Catalog Record")</f>
        <v>Catalog Record</v>
      </c>
      <c r="AT285" s="6" t="str">
        <f>HYPERLINK("http://www.worldcat.org/oclc/627945","WorldCat Record")</f>
        <v>WorldCat Record</v>
      </c>
      <c r="AU285" s="3" t="s">
        <v>3740</v>
      </c>
      <c r="AV285" s="3" t="s">
        <v>3741</v>
      </c>
      <c r="AW285" s="3" t="s">
        <v>3742</v>
      </c>
      <c r="AX285" s="3" t="s">
        <v>3742</v>
      </c>
      <c r="AY285" s="3" t="s">
        <v>3743</v>
      </c>
      <c r="AZ285" s="3" t="s">
        <v>75</v>
      </c>
      <c r="BB285" s="3" t="s">
        <v>3744</v>
      </c>
      <c r="BC285" s="3" t="s">
        <v>3745</v>
      </c>
      <c r="BD285" s="3" t="s">
        <v>3746</v>
      </c>
    </row>
    <row r="286" spans="1:56" ht="48" customHeight="1" x14ac:dyDescent="0.25">
      <c r="A286" s="7" t="s">
        <v>59</v>
      </c>
      <c r="B286" s="2" t="s">
        <v>3747</v>
      </c>
      <c r="C286" s="2" t="s">
        <v>3748</v>
      </c>
      <c r="D286" s="2" t="s">
        <v>3749</v>
      </c>
      <c r="F286" s="3" t="s">
        <v>59</v>
      </c>
      <c r="G286" s="3" t="s">
        <v>60</v>
      </c>
      <c r="H286" s="3" t="s">
        <v>59</v>
      </c>
      <c r="I286" s="3" t="s">
        <v>59</v>
      </c>
      <c r="J286" s="3" t="s">
        <v>61</v>
      </c>
      <c r="K286" s="2" t="s">
        <v>3750</v>
      </c>
      <c r="L286" s="2" t="s">
        <v>3751</v>
      </c>
      <c r="M286" s="3" t="s">
        <v>2680</v>
      </c>
      <c r="O286" s="3" t="s">
        <v>64</v>
      </c>
      <c r="P286" s="3" t="s">
        <v>84</v>
      </c>
      <c r="R286" s="3" t="s">
        <v>67</v>
      </c>
      <c r="S286" s="4">
        <v>2</v>
      </c>
      <c r="T286" s="4">
        <v>2</v>
      </c>
      <c r="U286" s="5" t="s">
        <v>3752</v>
      </c>
      <c r="V286" s="5" t="s">
        <v>3752</v>
      </c>
      <c r="W286" s="5" t="s">
        <v>3753</v>
      </c>
      <c r="X286" s="5" t="s">
        <v>3753</v>
      </c>
      <c r="Y286" s="4">
        <v>866</v>
      </c>
      <c r="Z286" s="4">
        <v>739</v>
      </c>
      <c r="AA286" s="4">
        <v>1103</v>
      </c>
      <c r="AB286" s="4">
        <v>9</v>
      </c>
      <c r="AC286" s="4">
        <v>12</v>
      </c>
      <c r="AD286" s="4">
        <v>31</v>
      </c>
      <c r="AE286" s="4">
        <v>43</v>
      </c>
      <c r="AF286" s="4">
        <v>10</v>
      </c>
      <c r="AG286" s="4">
        <v>12</v>
      </c>
      <c r="AH286" s="4">
        <v>7</v>
      </c>
      <c r="AI286" s="4">
        <v>11</v>
      </c>
      <c r="AJ286" s="4">
        <v>11</v>
      </c>
      <c r="AK286" s="4">
        <v>15</v>
      </c>
      <c r="AL286" s="4">
        <v>7</v>
      </c>
      <c r="AM286" s="4">
        <v>10</v>
      </c>
      <c r="AN286" s="4">
        <v>0</v>
      </c>
      <c r="AO286" s="4">
        <v>1</v>
      </c>
      <c r="AP286" s="3" t="s">
        <v>59</v>
      </c>
      <c r="AQ286" s="3" t="s">
        <v>70</v>
      </c>
      <c r="AR286" s="6" t="str">
        <f>HYPERLINK("http://catalog.hathitrust.org/Record/004079665","HathiTrust Record")</f>
        <v>HathiTrust Record</v>
      </c>
      <c r="AS286" s="6" t="str">
        <f>HYPERLINK("https://creighton-primo.hosted.exlibrisgroup.com/primo-explore/search?tab=default_tab&amp;search_scope=EVERYTHING&amp;vid=01CRU&amp;lang=en_US&amp;offset=0&amp;query=any,contains,991003280049702656","Catalog Record")</f>
        <v>Catalog Record</v>
      </c>
      <c r="AT286" s="6" t="str">
        <f>HYPERLINK("http://www.worldcat.org/oclc/40683698","WorldCat Record")</f>
        <v>WorldCat Record</v>
      </c>
      <c r="AU286" s="3" t="s">
        <v>3754</v>
      </c>
      <c r="AV286" s="3" t="s">
        <v>3755</v>
      </c>
      <c r="AW286" s="3" t="s">
        <v>3756</v>
      </c>
      <c r="AX286" s="3" t="s">
        <v>3756</v>
      </c>
      <c r="AY286" s="3" t="s">
        <v>3757</v>
      </c>
      <c r="AZ286" s="3" t="s">
        <v>75</v>
      </c>
      <c r="BB286" s="3" t="s">
        <v>3758</v>
      </c>
      <c r="BC286" s="3" t="s">
        <v>3759</v>
      </c>
      <c r="BD286" s="3" t="s">
        <v>3760</v>
      </c>
    </row>
    <row r="287" spans="1:56" ht="48" customHeight="1" x14ac:dyDescent="0.25">
      <c r="A287" s="7" t="s">
        <v>59</v>
      </c>
      <c r="B287" s="2" t="s">
        <v>3761</v>
      </c>
      <c r="C287" s="2" t="s">
        <v>3762</v>
      </c>
      <c r="D287" s="2" t="s">
        <v>3763</v>
      </c>
      <c r="F287" s="3" t="s">
        <v>59</v>
      </c>
      <c r="G287" s="3" t="s">
        <v>60</v>
      </c>
      <c r="H287" s="3" t="s">
        <v>59</v>
      </c>
      <c r="I287" s="3" t="s">
        <v>59</v>
      </c>
      <c r="J287" s="3" t="s">
        <v>61</v>
      </c>
      <c r="K287" s="2" t="s">
        <v>3764</v>
      </c>
      <c r="L287" s="2" t="s">
        <v>3765</v>
      </c>
      <c r="M287" s="3" t="s">
        <v>1338</v>
      </c>
      <c r="O287" s="3" t="s">
        <v>64</v>
      </c>
      <c r="P287" s="3" t="s">
        <v>130</v>
      </c>
      <c r="R287" s="3" t="s">
        <v>67</v>
      </c>
      <c r="S287" s="4">
        <v>3</v>
      </c>
      <c r="T287" s="4">
        <v>3</v>
      </c>
      <c r="U287" s="5" t="s">
        <v>3766</v>
      </c>
      <c r="V287" s="5" t="s">
        <v>3766</v>
      </c>
      <c r="W287" s="5" t="s">
        <v>3767</v>
      </c>
      <c r="X287" s="5" t="s">
        <v>3767</v>
      </c>
      <c r="Y287" s="4">
        <v>579</v>
      </c>
      <c r="Z287" s="4">
        <v>410</v>
      </c>
      <c r="AA287" s="4">
        <v>420</v>
      </c>
      <c r="AB287" s="4">
        <v>4</v>
      </c>
      <c r="AC287" s="4">
        <v>4</v>
      </c>
      <c r="AD287" s="4">
        <v>17</v>
      </c>
      <c r="AE287" s="4">
        <v>17</v>
      </c>
      <c r="AF287" s="4">
        <v>5</v>
      </c>
      <c r="AG287" s="4">
        <v>5</v>
      </c>
      <c r="AH287" s="4">
        <v>3</v>
      </c>
      <c r="AI287" s="4">
        <v>3</v>
      </c>
      <c r="AJ287" s="4">
        <v>8</v>
      </c>
      <c r="AK287" s="4">
        <v>8</v>
      </c>
      <c r="AL287" s="4">
        <v>3</v>
      </c>
      <c r="AM287" s="4">
        <v>3</v>
      </c>
      <c r="AN287" s="4">
        <v>0</v>
      </c>
      <c r="AO287" s="4">
        <v>0</v>
      </c>
      <c r="AP287" s="3" t="s">
        <v>59</v>
      </c>
      <c r="AQ287" s="3" t="s">
        <v>70</v>
      </c>
      <c r="AR287" s="6" t="str">
        <f>HYPERLINK("http://catalog.hathitrust.org/Record/001554547","HathiTrust Record")</f>
        <v>HathiTrust Record</v>
      </c>
      <c r="AS287" s="6" t="str">
        <f>HYPERLINK("https://creighton-primo.hosted.exlibrisgroup.com/primo-explore/search?tab=default_tab&amp;search_scope=EVERYTHING&amp;vid=01CRU&amp;lang=en_US&amp;offset=0&amp;query=any,contains,991002326159702656","Catalog Record")</f>
        <v>Catalog Record</v>
      </c>
      <c r="AT287" s="6" t="str">
        <f>HYPERLINK("http://www.worldcat.org/oclc/320927","WorldCat Record")</f>
        <v>WorldCat Record</v>
      </c>
      <c r="AU287" s="3" t="s">
        <v>3768</v>
      </c>
      <c r="AV287" s="3" t="s">
        <v>3769</v>
      </c>
      <c r="AW287" s="3" t="s">
        <v>3770</v>
      </c>
      <c r="AX287" s="3" t="s">
        <v>3770</v>
      </c>
      <c r="AY287" s="3" t="s">
        <v>3771</v>
      </c>
      <c r="AZ287" s="3" t="s">
        <v>75</v>
      </c>
      <c r="BC287" s="3" t="s">
        <v>3772</v>
      </c>
      <c r="BD287" s="3" t="s">
        <v>3773</v>
      </c>
    </row>
    <row r="288" spans="1:56" ht="48" customHeight="1" x14ac:dyDescent="0.25">
      <c r="A288" s="7" t="s">
        <v>59</v>
      </c>
      <c r="B288" s="2" t="s">
        <v>3774</v>
      </c>
      <c r="C288" s="2" t="s">
        <v>3775</v>
      </c>
      <c r="D288" s="2" t="s">
        <v>3776</v>
      </c>
      <c r="F288" s="3" t="s">
        <v>59</v>
      </c>
      <c r="G288" s="3" t="s">
        <v>60</v>
      </c>
      <c r="H288" s="3" t="s">
        <v>59</v>
      </c>
      <c r="I288" s="3" t="s">
        <v>59</v>
      </c>
      <c r="J288" s="3" t="s">
        <v>61</v>
      </c>
      <c r="K288" s="2" t="s">
        <v>3777</v>
      </c>
      <c r="L288" s="2" t="s">
        <v>3778</v>
      </c>
      <c r="M288" s="3" t="s">
        <v>911</v>
      </c>
      <c r="N288" s="2" t="s">
        <v>1945</v>
      </c>
      <c r="O288" s="3" t="s">
        <v>64</v>
      </c>
      <c r="P288" s="3" t="s">
        <v>264</v>
      </c>
      <c r="R288" s="3" t="s">
        <v>67</v>
      </c>
      <c r="S288" s="4">
        <v>1</v>
      </c>
      <c r="T288" s="4">
        <v>1</v>
      </c>
      <c r="U288" s="5" t="s">
        <v>3779</v>
      </c>
      <c r="V288" s="5" t="s">
        <v>3779</v>
      </c>
      <c r="W288" s="5" t="s">
        <v>3779</v>
      </c>
      <c r="X288" s="5" t="s">
        <v>3779</v>
      </c>
      <c r="Y288" s="4">
        <v>6</v>
      </c>
      <c r="Z288" s="4">
        <v>6</v>
      </c>
      <c r="AA288" s="4">
        <v>106</v>
      </c>
      <c r="AB288" s="4">
        <v>1</v>
      </c>
      <c r="AC288" s="4">
        <v>1</v>
      </c>
      <c r="AD288" s="4">
        <v>0</v>
      </c>
      <c r="AE288" s="4">
        <v>3</v>
      </c>
      <c r="AF288" s="4">
        <v>0</v>
      </c>
      <c r="AG288" s="4">
        <v>0</v>
      </c>
      <c r="AH288" s="4">
        <v>0</v>
      </c>
      <c r="AI288" s="4">
        <v>1</v>
      </c>
      <c r="AJ288" s="4">
        <v>0</v>
      </c>
      <c r="AK288" s="4">
        <v>3</v>
      </c>
      <c r="AL288" s="4">
        <v>0</v>
      </c>
      <c r="AM288" s="4">
        <v>0</v>
      </c>
      <c r="AN288" s="4">
        <v>0</v>
      </c>
      <c r="AO288" s="4">
        <v>0</v>
      </c>
      <c r="AP288" s="3" t="s">
        <v>59</v>
      </c>
      <c r="AQ288" s="3" t="s">
        <v>59</v>
      </c>
      <c r="AS288" s="6" t="str">
        <f>HYPERLINK("https://creighton-primo.hosted.exlibrisgroup.com/primo-explore/search?tab=default_tab&amp;search_scope=EVERYTHING&amp;vid=01CRU&amp;lang=en_US&amp;offset=0&amp;query=any,contains,991004763219702656","Catalog Record")</f>
        <v>Catalog Record</v>
      </c>
      <c r="AT288" s="6" t="str">
        <f>HYPERLINK("http://www.worldcat.org/oclc/5011830","WorldCat Record")</f>
        <v>WorldCat Record</v>
      </c>
      <c r="AU288" s="3" t="s">
        <v>3780</v>
      </c>
      <c r="AV288" s="3" t="s">
        <v>3781</v>
      </c>
      <c r="AW288" s="3" t="s">
        <v>3782</v>
      </c>
      <c r="AX288" s="3" t="s">
        <v>3782</v>
      </c>
      <c r="AY288" s="3" t="s">
        <v>3783</v>
      </c>
      <c r="AZ288" s="3" t="s">
        <v>75</v>
      </c>
      <c r="BC288" s="3" t="s">
        <v>3784</v>
      </c>
      <c r="BD288" s="3" t="s">
        <v>3785</v>
      </c>
    </row>
    <row r="289" spans="1:56" ht="48" customHeight="1" x14ac:dyDescent="0.25">
      <c r="A289" s="7" t="s">
        <v>59</v>
      </c>
      <c r="B289" s="2" t="s">
        <v>3786</v>
      </c>
      <c r="C289" s="2" t="s">
        <v>3787</v>
      </c>
      <c r="D289" s="2" t="s">
        <v>3788</v>
      </c>
      <c r="F289" s="3" t="s">
        <v>59</v>
      </c>
      <c r="G289" s="3" t="s">
        <v>60</v>
      </c>
      <c r="H289" s="3" t="s">
        <v>59</v>
      </c>
      <c r="I289" s="3" t="s">
        <v>59</v>
      </c>
      <c r="J289" s="3" t="s">
        <v>61</v>
      </c>
      <c r="K289" s="2" t="s">
        <v>3789</v>
      </c>
      <c r="L289" s="2" t="s">
        <v>3790</v>
      </c>
      <c r="M289" s="3" t="s">
        <v>1338</v>
      </c>
      <c r="O289" s="3" t="s">
        <v>64</v>
      </c>
      <c r="P289" s="3" t="s">
        <v>3791</v>
      </c>
      <c r="Q289" s="2" t="s">
        <v>3792</v>
      </c>
      <c r="R289" s="3" t="s">
        <v>67</v>
      </c>
      <c r="S289" s="4">
        <v>1</v>
      </c>
      <c r="T289" s="4">
        <v>1</v>
      </c>
      <c r="U289" s="5" t="s">
        <v>3766</v>
      </c>
      <c r="V289" s="5" t="s">
        <v>3766</v>
      </c>
      <c r="W289" s="5" t="s">
        <v>501</v>
      </c>
      <c r="X289" s="5" t="s">
        <v>501</v>
      </c>
      <c r="Y289" s="4">
        <v>433</v>
      </c>
      <c r="Z289" s="4">
        <v>358</v>
      </c>
      <c r="AA289" s="4">
        <v>367</v>
      </c>
      <c r="AB289" s="4">
        <v>5</v>
      </c>
      <c r="AC289" s="4">
        <v>5</v>
      </c>
      <c r="AD289" s="4">
        <v>17</v>
      </c>
      <c r="AE289" s="4">
        <v>17</v>
      </c>
      <c r="AF289" s="4">
        <v>4</v>
      </c>
      <c r="AG289" s="4">
        <v>4</v>
      </c>
      <c r="AH289" s="4">
        <v>4</v>
      </c>
      <c r="AI289" s="4">
        <v>4</v>
      </c>
      <c r="AJ289" s="4">
        <v>8</v>
      </c>
      <c r="AK289" s="4">
        <v>8</v>
      </c>
      <c r="AL289" s="4">
        <v>4</v>
      </c>
      <c r="AM289" s="4">
        <v>4</v>
      </c>
      <c r="AN289" s="4">
        <v>0</v>
      </c>
      <c r="AO289" s="4">
        <v>0</v>
      </c>
      <c r="AP289" s="3" t="s">
        <v>59</v>
      </c>
      <c r="AQ289" s="3" t="s">
        <v>70</v>
      </c>
      <c r="AR289" s="6" t="str">
        <f>HYPERLINK("http://catalog.hathitrust.org/Record/001554565","HathiTrust Record")</f>
        <v>HathiTrust Record</v>
      </c>
      <c r="AS289" s="6" t="str">
        <f>HYPERLINK("https://creighton-primo.hosted.exlibrisgroup.com/primo-explore/search?tab=default_tab&amp;search_scope=EVERYTHING&amp;vid=01CRU&amp;lang=en_US&amp;offset=0&amp;query=any,contains,991002547609702656","Catalog Record")</f>
        <v>Catalog Record</v>
      </c>
      <c r="AT289" s="6" t="str">
        <f>HYPERLINK("http://www.worldcat.org/oclc/369161","WorldCat Record")</f>
        <v>WorldCat Record</v>
      </c>
      <c r="AU289" s="3" t="s">
        <v>3793</v>
      </c>
      <c r="AV289" s="3" t="s">
        <v>3794</v>
      </c>
      <c r="AW289" s="3" t="s">
        <v>3795</v>
      </c>
      <c r="AX289" s="3" t="s">
        <v>3795</v>
      </c>
      <c r="AY289" s="3" t="s">
        <v>3796</v>
      </c>
      <c r="AZ289" s="3" t="s">
        <v>75</v>
      </c>
      <c r="BC289" s="3" t="s">
        <v>3797</v>
      </c>
      <c r="BD289" s="3" t="s">
        <v>3798</v>
      </c>
    </row>
    <row r="290" spans="1:56" ht="48" customHeight="1" x14ac:dyDescent="0.25">
      <c r="A290" s="7" t="s">
        <v>59</v>
      </c>
      <c r="B290" s="2" t="s">
        <v>3799</v>
      </c>
      <c r="C290" s="2" t="s">
        <v>3800</v>
      </c>
      <c r="D290" s="2" t="s">
        <v>3801</v>
      </c>
      <c r="F290" s="3" t="s">
        <v>59</v>
      </c>
      <c r="G290" s="3" t="s">
        <v>60</v>
      </c>
      <c r="H290" s="3" t="s">
        <v>70</v>
      </c>
      <c r="I290" s="3" t="s">
        <v>59</v>
      </c>
      <c r="J290" s="3" t="s">
        <v>61</v>
      </c>
      <c r="K290" s="2" t="s">
        <v>3802</v>
      </c>
      <c r="L290" s="2" t="s">
        <v>3803</v>
      </c>
      <c r="M290" s="3" t="s">
        <v>519</v>
      </c>
      <c r="N290" s="2" t="s">
        <v>926</v>
      </c>
      <c r="O290" s="3" t="s">
        <v>64</v>
      </c>
      <c r="P290" s="3" t="s">
        <v>130</v>
      </c>
      <c r="R290" s="3" t="s">
        <v>67</v>
      </c>
      <c r="S290" s="4">
        <v>16</v>
      </c>
      <c r="T290" s="4">
        <v>46</v>
      </c>
      <c r="U290" s="5" t="s">
        <v>3766</v>
      </c>
      <c r="V290" s="5" t="s">
        <v>3804</v>
      </c>
      <c r="W290" s="5" t="s">
        <v>3805</v>
      </c>
      <c r="X290" s="5" t="s">
        <v>3805</v>
      </c>
      <c r="Y290" s="4">
        <v>501</v>
      </c>
      <c r="Z290" s="4">
        <v>327</v>
      </c>
      <c r="AA290" s="4">
        <v>811</v>
      </c>
      <c r="AB290" s="4">
        <v>5</v>
      </c>
      <c r="AC290" s="4">
        <v>12</v>
      </c>
      <c r="AD290" s="4">
        <v>18</v>
      </c>
      <c r="AE290" s="4">
        <v>46</v>
      </c>
      <c r="AF290" s="4">
        <v>5</v>
      </c>
      <c r="AG290" s="4">
        <v>14</v>
      </c>
      <c r="AH290" s="4">
        <v>3</v>
      </c>
      <c r="AI290" s="4">
        <v>10</v>
      </c>
      <c r="AJ290" s="4">
        <v>10</v>
      </c>
      <c r="AK290" s="4">
        <v>23</v>
      </c>
      <c r="AL290" s="4">
        <v>3</v>
      </c>
      <c r="AM290" s="4">
        <v>10</v>
      </c>
      <c r="AN290" s="4">
        <v>0</v>
      </c>
      <c r="AO290" s="4">
        <v>0</v>
      </c>
      <c r="AP290" s="3" t="s">
        <v>59</v>
      </c>
      <c r="AQ290" s="3" t="s">
        <v>59</v>
      </c>
      <c r="AS290" s="6" t="str">
        <f>HYPERLINK("https://creighton-primo.hosted.exlibrisgroup.com/primo-explore/search?tab=default_tab&amp;search_scope=EVERYTHING&amp;vid=01CRU&amp;lang=en_US&amp;offset=0&amp;query=any,contains,991001803959702656","Catalog Record")</f>
        <v>Catalog Record</v>
      </c>
      <c r="AT290" s="6" t="str">
        <f>HYPERLINK("http://www.worldcat.org/oclc/29877197","WorldCat Record")</f>
        <v>WorldCat Record</v>
      </c>
      <c r="AU290" s="3" t="s">
        <v>3806</v>
      </c>
      <c r="AV290" s="3" t="s">
        <v>3807</v>
      </c>
      <c r="AW290" s="3" t="s">
        <v>3808</v>
      </c>
      <c r="AX290" s="3" t="s">
        <v>3808</v>
      </c>
      <c r="AY290" s="3" t="s">
        <v>3809</v>
      </c>
      <c r="AZ290" s="3" t="s">
        <v>75</v>
      </c>
      <c r="BB290" s="3" t="s">
        <v>3810</v>
      </c>
      <c r="BC290" s="3" t="s">
        <v>3811</v>
      </c>
      <c r="BD290" s="3" t="s">
        <v>3812</v>
      </c>
    </row>
    <row r="291" spans="1:56" ht="48" customHeight="1" x14ac:dyDescent="0.25">
      <c r="A291" s="7" t="s">
        <v>59</v>
      </c>
      <c r="B291" s="2" t="s">
        <v>3813</v>
      </c>
      <c r="C291" s="2" t="s">
        <v>3814</v>
      </c>
      <c r="D291" s="2" t="s">
        <v>3815</v>
      </c>
      <c r="F291" s="3" t="s">
        <v>59</v>
      </c>
      <c r="G291" s="3" t="s">
        <v>60</v>
      </c>
      <c r="H291" s="3" t="s">
        <v>59</v>
      </c>
      <c r="I291" s="3" t="s">
        <v>59</v>
      </c>
      <c r="J291" s="3" t="s">
        <v>61</v>
      </c>
      <c r="K291" s="2" t="s">
        <v>3816</v>
      </c>
      <c r="L291" s="2" t="s">
        <v>3817</v>
      </c>
      <c r="M291" s="3" t="s">
        <v>190</v>
      </c>
      <c r="O291" s="3" t="s">
        <v>64</v>
      </c>
      <c r="P291" s="3" t="s">
        <v>176</v>
      </c>
      <c r="R291" s="3" t="s">
        <v>67</v>
      </c>
      <c r="S291" s="4">
        <v>3</v>
      </c>
      <c r="T291" s="4">
        <v>3</v>
      </c>
      <c r="U291" s="5" t="s">
        <v>3818</v>
      </c>
      <c r="V291" s="5" t="s">
        <v>3818</v>
      </c>
      <c r="W291" s="5" t="s">
        <v>3819</v>
      </c>
      <c r="X291" s="5" t="s">
        <v>3819</v>
      </c>
      <c r="Y291" s="4">
        <v>184</v>
      </c>
      <c r="Z291" s="4">
        <v>172</v>
      </c>
      <c r="AA291" s="4">
        <v>860</v>
      </c>
      <c r="AB291" s="4">
        <v>3</v>
      </c>
      <c r="AC291" s="4">
        <v>5</v>
      </c>
      <c r="AD291" s="4">
        <v>4</v>
      </c>
      <c r="AE291" s="4">
        <v>28</v>
      </c>
      <c r="AF291" s="4">
        <v>1</v>
      </c>
      <c r="AG291" s="4">
        <v>13</v>
      </c>
      <c r="AH291" s="4">
        <v>0</v>
      </c>
      <c r="AI291" s="4">
        <v>5</v>
      </c>
      <c r="AJ291" s="4">
        <v>2</v>
      </c>
      <c r="AK291" s="4">
        <v>13</v>
      </c>
      <c r="AL291" s="4">
        <v>2</v>
      </c>
      <c r="AM291" s="4">
        <v>4</v>
      </c>
      <c r="AN291" s="4">
        <v>0</v>
      </c>
      <c r="AO291" s="4">
        <v>0</v>
      </c>
      <c r="AP291" s="3" t="s">
        <v>59</v>
      </c>
      <c r="AQ291" s="3" t="s">
        <v>70</v>
      </c>
      <c r="AR291" s="6" t="str">
        <f>HYPERLINK("http://catalog.hathitrust.org/Record/003595034","HathiTrust Record")</f>
        <v>HathiTrust Record</v>
      </c>
      <c r="AS291" s="6" t="str">
        <f>HYPERLINK("https://creighton-primo.hosted.exlibrisgroup.com/primo-explore/search?tab=default_tab&amp;search_scope=EVERYTHING&amp;vid=01CRU&amp;lang=en_US&amp;offset=0&amp;query=any,contains,991001013909702656","Catalog Record")</f>
        <v>Catalog Record</v>
      </c>
      <c r="AT291" s="6" t="str">
        <f>HYPERLINK("http://www.worldcat.org/oclc/15315917","WorldCat Record")</f>
        <v>WorldCat Record</v>
      </c>
      <c r="AU291" s="3" t="s">
        <v>3820</v>
      </c>
      <c r="AV291" s="3" t="s">
        <v>3821</v>
      </c>
      <c r="AW291" s="3" t="s">
        <v>3822</v>
      </c>
      <c r="AX291" s="3" t="s">
        <v>3822</v>
      </c>
      <c r="AY291" s="3" t="s">
        <v>3823</v>
      </c>
      <c r="AZ291" s="3" t="s">
        <v>75</v>
      </c>
      <c r="BB291" s="3" t="s">
        <v>3824</v>
      </c>
      <c r="BC291" s="3" t="s">
        <v>3825</v>
      </c>
      <c r="BD291" s="3" t="s">
        <v>3826</v>
      </c>
    </row>
    <row r="292" spans="1:56" ht="48" customHeight="1" x14ac:dyDescent="0.25">
      <c r="A292" s="7" t="s">
        <v>59</v>
      </c>
      <c r="B292" s="2" t="s">
        <v>3827</v>
      </c>
      <c r="C292" s="2" t="s">
        <v>3828</v>
      </c>
      <c r="D292" s="2" t="s">
        <v>3829</v>
      </c>
      <c r="F292" s="3" t="s">
        <v>59</v>
      </c>
      <c r="G292" s="3" t="s">
        <v>60</v>
      </c>
      <c r="H292" s="3" t="s">
        <v>70</v>
      </c>
      <c r="I292" s="3" t="s">
        <v>59</v>
      </c>
      <c r="J292" s="3" t="s">
        <v>61</v>
      </c>
      <c r="L292" s="2" t="s">
        <v>3830</v>
      </c>
      <c r="M292" s="3" t="s">
        <v>897</v>
      </c>
      <c r="O292" s="3" t="s">
        <v>64</v>
      </c>
      <c r="P292" s="3" t="s">
        <v>84</v>
      </c>
      <c r="Q292" s="2" t="s">
        <v>3831</v>
      </c>
      <c r="R292" s="3" t="s">
        <v>67</v>
      </c>
      <c r="S292" s="4">
        <v>10</v>
      </c>
      <c r="T292" s="4">
        <v>10</v>
      </c>
      <c r="U292" s="5" t="s">
        <v>3832</v>
      </c>
      <c r="V292" s="5" t="s">
        <v>3832</v>
      </c>
      <c r="W292" s="5" t="s">
        <v>3833</v>
      </c>
      <c r="X292" s="5" t="s">
        <v>3833</v>
      </c>
      <c r="Y292" s="4">
        <v>229</v>
      </c>
      <c r="Z292" s="4">
        <v>155</v>
      </c>
      <c r="AA292" s="4">
        <v>156</v>
      </c>
      <c r="AB292" s="4">
        <v>2</v>
      </c>
      <c r="AC292" s="4">
        <v>2</v>
      </c>
      <c r="AD292" s="4">
        <v>3</v>
      </c>
      <c r="AE292" s="4">
        <v>3</v>
      </c>
      <c r="AF292" s="4">
        <v>1</v>
      </c>
      <c r="AG292" s="4">
        <v>1</v>
      </c>
      <c r="AH292" s="4">
        <v>1</v>
      </c>
      <c r="AI292" s="4">
        <v>1</v>
      </c>
      <c r="AJ292" s="4">
        <v>2</v>
      </c>
      <c r="AK292" s="4">
        <v>2</v>
      </c>
      <c r="AL292" s="4">
        <v>0</v>
      </c>
      <c r="AM292" s="4">
        <v>0</v>
      </c>
      <c r="AN292" s="4">
        <v>0</v>
      </c>
      <c r="AO292" s="4">
        <v>0</v>
      </c>
      <c r="AP292" s="3" t="s">
        <v>59</v>
      </c>
      <c r="AQ292" s="3" t="s">
        <v>59</v>
      </c>
      <c r="AS292" s="6" t="str">
        <f>HYPERLINK("https://creighton-primo.hosted.exlibrisgroup.com/primo-explore/search?tab=default_tab&amp;search_scope=EVERYTHING&amp;vid=01CRU&amp;lang=en_US&amp;offset=0&amp;query=any,contains,991001812459702656","Catalog Record")</f>
        <v>Catalog Record</v>
      </c>
      <c r="AT292" s="6" t="str">
        <f>HYPERLINK("http://www.worldcat.org/oclc/22765082","WorldCat Record")</f>
        <v>WorldCat Record</v>
      </c>
      <c r="AU292" s="3" t="s">
        <v>3834</v>
      </c>
      <c r="AV292" s="3" t="s">
        <v>3835</v>
      </c>
      <c r="AW292" s="3" t="s">
        <v>3836</v>
      </c>
      <c r="AX292" s="3" t="s">
        <v>3836</v>
      </c>
      <c r="AY292" s="3" t="s">
        <v>3837</v>
      </c>
      <c r="AZ292" s="3" t="s">
        <v>75</v>
      </c>
      <c r="BB292" s="3" t="s">
        <v>3838</v>
      </c>
      <c r="BC292" s="3" t="s">
        <v>3839</v>
      </c>
      <c r="BD292" s="3" t="s">
        <v>3840</v>
      </c>
    </row>
    <row r="293" spans="1:56" ht="48" customHeight="1" x14ac:dyDescent="0.25">
      <c r="A293" s="7" t="s">
        <v>59</v>
      </c>
      <c r="B293" s="2" t="s">
        <v>3841</v>
      </c>
      <c r="C293" s="2" t="s">
        <v>3842</v>
      </c>
      <c r="D293" s="2" t="s">
        <v>3843</v>
      </c>
      <c r="F293" s="3" t="s">
        <v>59</v>
      </c>
      <c r="G293" s="3" t="s">
        <v>60</v>
      </c>
      <c r="H293" s="3" t="s">
        <v>59</v>
      </c>
      <c r="I293" s="3" t="s">
        <v>59</v>
      </c>
      <c r="J293" s="3" t="s">
        <v>61</v>
      </c>
      <c r="K293" s="2" t="s">
        <v>3844</v>
      </c>
      <c r="L293" s="2" t="s">
        <v>3845</v>
      </c>
      <c r="M293" s="3" t="s">
        <v>1831</v>
      </c>
      <c r="O293" s="3" t="s">
        <v>64</v>
      </c>
      <c r="P293" s="3" t="s">
        <v>130</v>
      </c>
      <c r="R293" s="3" t="s">
        <v>67</v>
      </c>
      <c r="S293" s="4">
        <v>3</v>
      </c>
      <c r="T293" s="4">
        <v>3</v>
      </c>
      <c r="U293" s="5" t="s">
        <v>3846</v>
      </c>
      <c r="V293" s="5" t="s">
        <v>3846</v>
      </c>
      <c r="W293" s="5" t="s">
        <v>3555</v>
      </c>
      <c r="X293" s="5" t="s">
        <v>3555</v>
      </c>
      <c r="Y293" s="4">
        <v>246</v>
      </c>
      <c r="Z293" s="4">
        <v>175</v>
      </c>
      <c r="AA293" s="4">
        <v>224</v>
      </c>
      <c r="AB293" s="4">
        <v>3</v>
      </c>
      <c r="AC293" s="4">
        <v>4</v>
      </c>
      <c r="AD293" s="4">
        <v>4</v>
      </c>
      <c r="AE293" s="4">
        <v>8</v>
      </c>
      <c r="AF293" s="4">
        <v>0</v>
      </c>
      <c r="AG293" s="4">
        <v>2</v>
      </c>
      <c r="AH293" s="4">
        <v>2</v>
      </c>
      <c r="AI293" s="4">
        <v>4</v>
      </c>
      <c r="AJ293" s="4">
        <v>2</v>
      </c>
      <c r="AK293" s="4">
        <v>2</v>
      </c>
      <c r="AL293" s="4">
        <v>1</v>
      </c>
      <c r="AM293" s="4">
        <v>2</v>
      </c>
      <c r="AN293" s="4">
        <v>0</v>
      </c>
      <c r="AO293" s="4">
        <v>0</v>
      </c>
      <c r="AP293" s="3" t="s">
        <v>59</v>
      </c>
      <c r="AQ293" s="3" t="s">
        <v>70</v>
      </c>
      <c r="AR293" s="6" t="str">
        <f>HYPERLINK("http://catalog.hathitrust.org/Record/000022240","HathiTrust Record")</f>
        <v>HathiTrust Record</v>
      </c>
      <c r="AS293" s="6" t="str">
        <f>HYPERLINK("https://creighton-primo.hosted.exlibrisgroup.com/primo-explore/search?tab=default_tab&amp;search_scope=EVERYTHING&amp;vid=01CRU&amp;lang=en_US&amp;offset=0&amp;query=any,contains,991003634949702656","Catalog Record")</f>
        <v>Catalog Record</v>
      </c>
      <c r="AT293" s="6" t="str">
        <f>HYPERLINK("http://www.worldcat.org/oclc/1229559","WorldCat Record")</f>
        <v>WorldCat Record</v>
      </c>
      <c r="AU293" s="3" t="s">
        <v>3847</v>
      </c>
      <c r="AV293" s="3" t="s">
        <v>3848</v>
      </c>
      <c r="AW293" s="3" t="s">
        <v>3849</v>
      </c>
      <c r="AX293" s="3" t="s">
        <v>3849</v>
      </c>
      <c r="AY293" s="3" t="s">
        <v>3850</v>
      </c>
      <c r="AZ293" s="3" t="s">
        <v>75</v>
      </c>
      <c r="BB293" s="3" t="s">
        <v>3851</v>
      </c>
      <c r="BC293" s="3" t="s">
        <v>3852</v>
      </c>
      <c r="BD293" s="3" t="s">
        <v>3853</v>
      </c>
    </row>
    <row r="294" spans="1:56" ht="48" customHeight="1" x14ac:dyDescent="0.25">
      <c r="A294" s="7" t="s">
        <v>59</v>
      </c>
      <c r="B294" s="2" t="s">
        <v>3854</v>
      </c>
      <c r="C294" s="2" t="s">
        <v>3855</v>
      </c>
      <c r="D294" s="2" t="s">
        <v>3856</v>
      </c>
      <c r="F294" s="3" t="s">
        <v>59</v>
      </c>
      <c r="G294" s="3" t="s">
        <v>60</v>
      </c>
      <c r="H294" s="3" t="s">
        <v>59</v>
      </c>
      <c r="I294" s="3" t="s">
        <v>59</v>
      </c>
      <c r="J294" s="3" t="s">
        <v>61</v>
      </c>
      <c r="K294" s="2" t="s">
        <v>3857</v>
      </c>
      <c r="L294" s="2" t="s">
        <v>3858</v>
      </c>
      <c r="M294" s="3" t="s">
        <v>376</v>
      </c>
      <c r="O294" s="3" t="s">
        <v>64</v>
      </c>
      <c r="P294" s="3" t="s">
        <v>130</v>
      </c>
      <c r="R294" s="3" t="s">
        <v>67</v>
      </c>
      <c r="S294" s="4">
        <v>1</v>
      </c>
      <c r="T294" s="4">
        <v>1</v>
      </c>
      <c r="U294" s="5" t="s">
        <v>3859</v>
      </c>
      <c r="V294" s="5" t="s">
        <v>3859</v>
      </c>
      <c r="W294" s="5" t="s">
        <v>501</v>
      </c>
      <c r="X294" s="5" t="s">
        <v>501</v>
      </c>
      <c r="Y294" s="4">
        <v>356</v>
      </c>
      <c r="Z294" s="4">
        <v>263</v>
      </c>
      <c r="AA294" s="4">
        <v>304</v>
      </c>
      <c r="AB294" s="4">
        <v>4</v>
      </c>
      <c r="AC294" s="4">
        <v>4</v>
      </c>
      <c r="AD294" s="4">
        <v>14</v>
      </c>
      <c r="AE294" s="4">
        <v>16</v>
      </c>
      <c r="AF294" s="4">
        <v>4</v>
      </c>
      <c r="AG294" s="4">
        <v>5</v>
      </c>
      <c r="AH294" s="4">
        <v>5</v>
      </c>
      <c r="AI294" s="4">
        <v>7</v>
      </c>
      <c r="AJ294" s="4">
        <v>5</v>
      </c>
      <c r="AK294" s="4">
        <v>5</v>
      </c>
      <c r="AL294" s="4">
        <v>3</v>
      </c>
      <c r="AM294" s="4">
        <v>3</v>
      </c>
      <c r="AN294" s="4">
        <v>0</v>
      </c>
      <c r="AO294" s="4">
        <v>0</v>
      </c>
      <c r="AP294" s="3" t="s">
        <v>59</v>
      </c>
      <c r="AQ294" s="3" t="s">
        <v>70</v>
      </c>
      <c r="AR294" s="6" t="str">
        <f>HYPERLINK("http://catalog.hathitrust.org/Record/001554587","HathiTrust Record")</f>
        <v>HathiTrust Record</v>
      </c>
      <c r="AS294" s="6" t="str">
        <f>HYPERLINK("https://creighton-primo.hosted.exlibrisgroup.com/primo-explore/search?tab=default_tab&amp;search_scope=EVERYTHING&amp;vid=01CRU&amp;lang=en_US&amp;offset=0&amp;query=any,contains,991003032719702656","Catalog Record")</f>
        <v>Catalog Record</v>
      </c>
      <c r="AT294" s="6" t="str">
        <f>HYPERLINK("http://www.worldcat.org/oclc/595338","WorldCat Record")</f>
        <v>WorldCat Record</v>
      </c>
      <c r="AU294" s="3" t="s">
        <v>3860</v>
      </c>
      <c r="AV294" s="3" t="s">
        <v>3861</v>
      </c>
      <c r="AW294" s="3" t="s">
        <v>3862</v>
      </c>
      <c r="AX294" s="3" t="s">
        <v>3862</v>
      </c>
      <c r="AY294" s="3" t="s">
        <v>3863</v>
      </c>
      <c r="AZ294" s="3" t="s">
        <v>75</v>
      </c>
      <c r="BB294" s="3" t="s">
        <v>3864</v>
      </c>
      <c r="BC294" s="3" t="s">
        <v>3865</v>
      </c>
      <c r="BD294" s="3" t="s">
        <v>3866</v>
      </c>
    </row>
    <row r="295" spans="1:56" ht="48" customHeight="1" x14ac:dyDescent="0.25">
      <c r="A295" s="7" t="s">
        <v>59</v>
      </c>
      <c r="B295" s="2" t="s">
        <v>3867</v>
      </c>
      <c r="C295" s="2" t="s">
        <v>3868</v>
      </c>
      <c r="D295" s="2" t="s">
        <v>3869</v>
      </c>
      <c r="F295" s="3" t="s">
        <v>59</v>
      </c>
      <c r="G295" s="3" t="s">
        <v>60</v>
      </c>
      <c r="H295" s="3" t="s">
        <v>59</v>
      </c>
      <c r="I295" s="3" t="s">
        <v>59</v>
      </c>
      <c r="J295" s="3" t="s">
        <v>61</v>
      </c>
      <c r="L295" s="2" t="s">
        <v>3870</v>
      </c>
      <c r="M295" s="3" t="s">
        <v>129</v>
      </c>
      <c r="O295" s="3" t="s">
        <v>64</v>
      </c>
      <c r="P295" s="3" t="s">
        <v>84</v>
      </c>
      <c r="Q295" s="2" t="s">
        <v>3871</v>
      </c>
      <c r="R295" s="3" t="s">
        <v>67</v>
      </c>
      <c r="S295" s="4">
        <v>8</v>
      </c>
      <c r="T295" s="4">
        <v>8</v>
      </c>
      <c r="U295" s="5" t="s">
        <v>3872</v>
      </c>
      <c r="V295" s="5" t="s">
        <v>3872</v>
      </c>
      <c r="W295" s="5" t="s">
        <v>3873</v>
      </c>
      <c r="X295" s="5" t="s">
        <v>3873</v>
      </c>
      <c r="Y295" s="4">
        <v>178</v>
      </c>
      <c r="Z295" s="4">
        <v>108</v>
      </c>
      <c r="AA295" s="4">
        <v>115</v>
      </c>
      <c r="AB295" s="4">
        <v>1</v>
      </c>
      <c r="AC295" s="4">
        <v>1</v>
      </c>
      <c r="AD295" s="4">
        <v>2</v>
      </c>
      <c r="AE295" s="4">
        <v>2</v>
      </c>
      <c r="AF295" s="4">
        <v>0</v>
      </c>
      <c r="AG295" s="4">
        <v>0</v>
      </c>
      <c r="AH295" s="4">
        <v>1</v>
      </c>
      <c r="AI295" s="4">
        <v>1</v>
      </c>
      <c r="AJ295" s="4">
        <v>2</v>
      </c>
      <c r="AK295" s="4">
        <v>2</v>
      </c>
      <c r="AL295" s="4">
        <v>0</v>
      </c>
      <c r="AM295" s="4">
        <v>0</v>
      </c>
      <c r="AN295" s="4">
        <v>0</v>
      </c>
      <c r="AO295" s="4">
        <v>0</v>
      </c>
      <c r="AP295" s="3" t="s">
        <v>59</v>
      </c>
      <c r="AQ295" s="3" t="s">
        <v>70</v>
      </c>
      <c r="AR295" s="6" t="str">
        <f>HYPERLINK("http://catalog.hathitrust.org/Record/002528675","HathiTrust Record")</f>
        <v>HathiTrust Record</v>
      </c>
      <c r="AS295" s="6" t="str">
        <f>HYPERLINK("https://creighton-primo.hosted.exlibrisgroup.com/primo-explore/search?tab=default_tab&amp;search_scope=EVERYTHING&amp;vid=01CRU&amp;lang=en_US&amp;offset=0&amp;query=any,contains,991001920539702656","Catalog Record")</f>
        <v>Catalog Record</v>
      </c>
      <c r="AT295" s="6" t="str">
        <f>HYPERLINK("http://www.worldcat.org/oclc/24246560","WorldCat Record")</f>
        <v>WorldCat Record</v>
      </c>
      <c r="AU295" s="3" t="s">
        <v>3874</v>
      </c>
      <c r="AV295" s="3" t="s">
        <v>3875</v>
      </c>
      <c r="AW295" s="3" t="s">
        <v>3876</v>
      </c>
      <c r="AX295" s="3" t="s">
        <v>3876</v>
      </c>
      <c r="AY295" s="3" t="s">
        <v>3877</v>
      </c>
      <c r="AZ295" s="3" t="s">
        <v>75</v>
      </c>
      <c r="BB295" s="3" t="s">
        <v>3878</v>
      </c>
      <c r="BC295" s="3" t="s">
        <v>3879</v>
      </c>
      <c r="BD295" s="3" t="s">
        <v>3880</v>
      </c>
    </row>
    <row r="296" spans="1:56" ht="48" customHeight="1" x14ac:dyDescent="0.25">
      <c r="A296" s="7" t="s">
        <v>59</v>
      </c>
      <c r="B296" s="2" t="s">
        <v>3881</v>
      </c>
      <c r="C296" s="2" t="s">
        <v>3882</v>
      </c>
      <c r="D296" s="2" t="s">
        <v>3883</v>
      </c>
      <c r="F296" s="3" t="s">
        <v>59</v>
      </c>
      <c r="G296" s="3" t="s">
        <v>60</v>
      </c>
      <c r="H296" s="3" t="s">
        <v>59</v>
      </c>
      <c r="I296" s="3" t="s">
        <v>59</v>
      </c>
      <c r="J296" s="3" t="s">
        <v>61</v>
      </c>
      <c r="L296" s="2" t="s">
        <v>3884</v>
      </c>
      <c r="M296" s="3" t="s">
        <v>219</v>
      </c>
      <c r="O296" s="3" t="s">
        <v>64</v>
      </c>
      <c r="P296" s="3" t="s">
        <v>912</v>
      </c>
      <c r="R296" s="3" t="s">
        <v>67</v>
      </c>
      <c r="S296" s="4">
        <v>4</v>
      </c>
      <c r="T296" s="4">
        <v>4</v>
      </c>
      <c r="U296" s="5" t="s">
        <v>3885</v>
      </c>
      <c r="V296" s="5" t="s">
        <v>3885</v>
      </c>
      <c r="W296" s="5" t="s">
        <v>3886</v>
      </c>
      <c r="X296" s="5" t="s">
        <v>3886</v>
      </c>
      <c r="Y296" s="4">
        <v>352</v>
      </c>
      <c r="Z296" s="4">
        <v>265</v>
      </c>
      <c r="AA296" s="4">
        <v>289</v>
      </c>
      <c r="AB296" s="4">
        <v>3</v>
      </c>
      <c r="AC296" s="4">
        <v>3</v>
      </c>
      <c r="AD296" s="4">
        <v>14</v>
      </c>
      <c r="AE296" s="4">
        <v>14</v>
      </c>
      <c r="AF296" s="4">
        <v>3</v>
      </c>
      <c r="AG296" s="4">
        <v>3</v>
      </c>
      <c r="AH296" s="4">
        <v>5</v>
      </c>
      <c r="AI296" s="4">
        <v>5</v>
      </c>
      <c r="AJ296" s="4">
        <v>10</v>
      </c>
      <c r="AK296" s="4">
        <v>10</v>
      </c>
      <c r="AL296" s="4">
        <v>2</v>
      </c>
      <c r="AM296" s="4">
        <v>2</v>
      </c>
      <c r="AN296" s="4">
        <v>0</v>
      </c>
      <c r="AO296" s="4">
        <v>0</v>
      </c>
      <c r="AP296" s="3" t="s">
        <v>59</v>
      </c>
      <c r="AQ296" s="3" t="s">
        <v>70</v>
      </c>
      <c r="AR296" s="6" t="str">
        <f>HYPERLINK("http://catalog.hathitrust.org/Record/002210014","HathiTrust Record")</f>
        <v>HathiTrust Record</v>
      </c>
      <c r="AS296" s="6" t="str">
        <f>HYPERLINK("https://creighton-primo.hosted.exlibrisgroup.com/primo-explore/search?tab=default_tab&amp;search_scope=EVERYTHING&amp;vid=01CRU&amp;lang=en_US&amp;offset=0&amp;query=any,contains,991001543159702656","Catalog Record")</f>
        <v>Catalog Record</v>
      </c>
      <c r="AT296" s="6" t="str">
        <f>HYPERLINK("http://www.worldcat.org/oclc/20133533","WorldCat Record")</f>
        <v>WorldCat Record</v>
      </c>
      <c r="AU296" s="3" t="s">
        <v>3887</v>
      </c>
      <c r="AV296" s="3" t="s">
        <v>3888</v>
      </c>
      <c r="AW296" s="3" t="s">
        <v>3889</v>
      </c>
      <c r="AX296" s="3" t="s">
        <v>3889</v>
      </c>
      <c r="AY296" s="3" t="s">
        <v>3890</v>
      </c>
      <c r="AZ296" s="3" t="s">
        <v>75</v>
      </c>
      <c r="BB296" s="3" t="s">
        <v>3891</v>
      </c>
      <c r="BC296" s="3" t="s">
        <v>3892</v>
      </c>
      <c r="BD296" s="3" t="s">
        <v>3893</v>
      </c>
    </row>
    <row r="297" spans="1:56" ht="48" customHeight="1" x14ac:dyDescent="0.25">
      <c r="A297" s="7" t="s">
        <v>59</v>
      </c>
      <c r="B297" s="2" t="s">
        <v>3894</v>
      </c>
      <c r="C297" s="2" t="s">
        <v>3895</v>
      </c>
      <c r="D297" s="2" t="s">
        <v>3896</v>
      </c>
      <c r="F297" s="3" t="s">
        <v>59</v>
      </c>
      <c r="G297" s="3" t="s">
        <v>60</v>
      </c>
      <c r="H297" s="3" t="s">
        <v>59</v>
      </c>
      <c r="I297" s="3" t="s">
        <v>59</v>
      </c>
      <c r="J297" s="3" t="s">
        <v>61</v>
      </c>
      <c r="L297" s="2" t="s">
        <v>3897</v>
      </c>
      <c r="M297" s="3" t="s">
        <v>1986</v>
      </c>
      <c r="O297" s="3" t="s">
        <v>64</v>
      </c>
      <c r="P297" s="3" t="s">
        <v>264</v>
      </c>
      <c r="R297" s="3" t="s">
        <v>67</v>
      </c>
      <c r="S297" s="4">
        <v>5</v>
      </c>
      <c r="T297" s="4">
        <v>5</v>
      </c>
      <c r="U297" s="5" t="s">
        <v>3898</v>
      </c>
      <c r="V297" s="5" t="s">
        <v>3898</v>
      </c>
      <c r="W297" s="5" t="s">
        <v>3899</v>
      </c>
      <c r="X297" s="5" t="s">
        <v>3899</v>
      </c>
      <c r="Y297" s="4">
        <v>212</v>
      </c>
      <c r="Z297" s="4">
        <v>136</v>
      </c>
      <c r="AA297" s="4">
        <v>136</v>
      </c>
      <c r="AB297" s="4">
        <v>1</v>
      </c>
      <c r="AC297" s="4">
        <v>1</v>
      </c>
      <c r="AD297" s="4">
        <v>8</v>
      </c>
      <c r="AE297" s="4">
        <v>8</v>
      </c>
      <c r="AF297" s="4">
        <v>2</v>
      </c>
      <c r="AG297" s="4">
        <v>2</v>
      </c>
      <c r="AH297" s="4">
        <v>5</v>
      </c>
      <c r="AI297" s="4">
        <v>5</v>
      </c>
      <c r="AJ297" s="4">
        <v>4</v>
      </c>
      <c r="AK297" s="4">
        <v>4</v>
      </c>
      <c r="AL297" s="4">
        <v>0</v>
      </c>
      <c r="AM297" s="4">
        <v>0</v>
      </c>
      <c r="AN297" s="4">
        <v>0</v>
      </c>
      <c r="AO297" s="4">
        <v>0</v>
      </c>
      <c r="AP297" s="3" t="s">
        <v>59</v>
      </c>
      <c r="AQ297" s="3" t="s">
        <v>59</v>
      </c>
      <c r="AS297" s="6" t="str">
        <f>HYPERLINK("https://creighton-primo.hosted.exlibrisgroup.com/primo-explore/search?tab=default_tab&amp;search_scope=EVERYTHING&amp;vid=01CRU&amp;lang=en_US&amp;offset=0&amp;query=any,contains,991003683519702656","Catalog Record")</f>
        <v>Catalog Record</v>
      </c>
      <c r="AT297" s="6" t="str">
        <f>HYPERLINK("http://www.worldcat.org/oclc/47756432","WorldCat Record")</f>
        <v>WorldCat Record</v>
      </c>
      <c r="AU297" s="3" t="s">
        <v>3900</v>
      </c>
      <c r="AV297" s="3" t="s">
        <v>3901</v>
      </c>
      <c r="AW297" s="3" t="s">
        <v>3902</v>
      </c>
      <c r="AX297" s="3" t="s">
        <v>3902</v>
      </c>
      <c r="AY297" s="3" t="s">
        <v>3903</v>
      </c>
      <c r="AZ297" s="3" t="s">
        <v>75</v>
      </c>
      <c r="BB297" s="3" t="s">
        <v>3904</v>
      </c>
      <c r="BC297" s="3" t="s">
        <v>3905</v>
      </c>
      <c r="BD297" s="3" t="s">
        <v>3906</v>
      </c>
    </row>
    <row r="298" spans="1:56" ht="48" customHeight="1" x14ac:dyDescent="0.25">
      <c r="A298" s="7" t="s">
        <v>59</v>
      </c>
      <c r="B298" s="2" t="s">
        <v>3907</v>
      </c>
      <c r="C298" s="2" t="s">
        <v>3908</v>
      </c>
      <c r="D298" s="2" t="s">
        <v>3909</v>
      </c>
      <c r="F298" s="3" t="s">
        <v>59</v>
      </c>
      <c r="G298" s="3" t="s">
        <v>60</v>
      </c>
      <c r="H298" s="3" t="s">
        <v>59</v>
      </c>
      <c r="I298" s="3" t="s">
        <v>59</v>
      </c>
      <c r="J298" s="3" t="s">
        <v>61</v>
      </c>
      <c r="L298" s="2" t="s">
        <v>3910</v>
      </c>
      <c r="M298" s="3" t="s">
        <v>897</v>
      </c>
      <c r="O298" s="3" t="s">
        <v>64</v>
      </c>
      <c r="P298" s="3" t="s">
        <v>130</v>
      </c>
      <c r="R298" s="3" t="s">
        <v>67</v>
      </c>
      <c r="S298" s="4">
        <v>10</v>
      </c>
      <c r="T298" s="4">
        <v>10</v>
      </c>
      <c r="U298" s="5" t="s">
        <v>3885</v>
      </c>
      <c r="V298" s="5" t="s">
        <v>3885</v>
      </c>
      <c r="W298" s="5" t="s">
        <v>3911</v>
      </c>
      <c r="X298" s="5" t="s">
        <v>3911</v>
      </c>
      <c r="Y298" s="4">
        <v>439</v>
      </c>
      <c r="Z298" s="4">
        <v>318</v>
      </c>
      <c r="AA298" s="4">
        <v>324</v>
      </c>
      <c r="AB298" s="4">
        <v>3</v>
      </c>
      <c r="AC298" s="4">
        <v>3</v>
      </c>
      <c r="AD298" s="4">
        <v>16</v>
      </c>
      <c r="AE298" s="4">
        <v>16</v>
      </c>
      <c r="AF298" s="4">
        <v>4</v>
      </c>
      <c r="AG298" s="4">
        <v>4</v>
      </c>
      <c r="AH298" s="4">
        <v>7</v>
      </c>
      <c r="AI298" s="4">
        <v>7</v>
      </c>
      <c r="AJ298" s="4">
        <v>7</v>
      </c>
      <c r="AK298" s="4">
        <v>7</v>
      </c>
      <c r="AL298" s="4">
        <v>2</v>
      </c>
      <c r="AM298" s="4">
        <v>2</v>
      </c>
      <c r="AN298" s="4">
        <v>0</v>
      </c>
      <c r="AO298" s="4">
        <v>0</v>
      </c>
      <c r="AP298" s="3" t="s">
        <v>59</v>
      </c>
      <c r="AQ298" s="3" t="s">
        <v>70</v>
      </c>
      <c r="AR298" s="6" t="str">
        <f>HYPERLINK("http://catalog.hathitrust.org/Record/002430556","HathiTrust Record")</f>
        <v>HathiTrust Record</v>
      </c>
      <c r="AS298" s="6" t="str">
        <f>HYPERLINK("https://creighton-primo.hosted.exlibrisgroup.com/primo-explore/search?tab=default_tab&amp;search_scope=EVERYTHING&amp;vid=01CRU&amp;lang=en_US&amp;offset=0&amp;query=any,contains,991001822499702656","Catalog Record")</f>
        <v>Catalog Record</v>
      </c>
      <c r="AT298" s="6" t="str">
        <f>HYPERLINK("http://www.worldcat.org/oclc/22906161","WorldCat Record")</f>
        <v>WorldCat Record</v>
      </c>
      <c r="AU298" s="3" t="s">
        <v>3912</v>
      </c>
      <c r="AV298" s="3" t="s">
        <v>3913</v>
      </c>
      <c r="AW298" s="3" t="s">
        <v>3914</v>
      </c>
      <c r="AX298" s="3" t="s">
        <v>3914</v>
      </c>
      <c r="AY298" s="3" t="s">
        <v>3915</v>
      </c>
      <c r="AZ298" s="3" t="s">
        <v>75</v>
      </c>
      <c r="BB298" s="3" t="s">
        <v>3916</v>
      </c>
      <c r="BC298" s="3" t="s">
        <v>3917</v>
      </c>
      <c r="BD298" s="3" t="s">
        <v>3918</v>
      </c>
    </row>
    <row r="299" spans="1:56" ht="48" customHeight="1" x14ac:dyDescent="0.25">
      <c r="A299" s="7" t="s">
        <v>59</v>
      </c>
      <c r="B299" s="2" t="s">
        <v>3919</v>
      </c>
      <c r="C299" s="2" t="s">
        <v>3920</v>
      </c>
      <c r="D299" s="2" t="s">
        <v>3921</v>
      </c>
      <c r="F299" s="3" t="s">
        <v>59</v>
      </c>
      <c r="G299" s="3" t="s">
        <v>60</v>
      </c>
      <c r="H299" s="3" t="s">
        <v>59</v>
      </c>
      <c r="I299" s="3" t="s">
        <v>59</v>
      </c>
      <c r="J299" s="3" t="s">
        <v>61</v>
      </c>
      <c r="L299" s="2" t="s">
        <v>3910</v>
      </c>
      <c r="M299" s="3" t="s">
        <v>897</v>
      </c>
      <c r="O299" s="3" t="s">
        <v>64</v>
      </c>
      <c r="P299" s="3" t="s">
        <v>130</v>
      </c>
      <c r="R299" s="3" t="s">
        <v>67</v>
      </c>
      <c r="S299" s="4">
        <v>40</v>
      </c>
      <c r="T299" s="4">
        <v>40</v>
      </c>
      <c r="U299" s="5" t="s">
        <v>3922</v>
      </c>
      <c r="V299" s="5" t="s">
        <v>3922</v>
      </c>
      <c r="W299" s="5" t="s">
        <v>3923</v>
      </c>
      <c r="X299" s="5" t="s">
        <v>3923</v>
      </c>
      <c r="Y299" s="4">
        <v>469</v>
      </c>
      <c r="Z299" s="4">
        <v>338</v>
      </c>
      <c r="AA299" s="4">
        <v>340</v>
      </c>
      <c r="AB299" s="4">
        <v>3</v>
      </c>
      <c r="AC299" s="4">
        <v>3</v>
      </c>
      <c r="AD299" s="4">
        <v>15</v>
      </c>
      <c r="AE299" s="4">
        <v>15</v>
      </c>
      <c r="AF299" s="4">
        <v>5</v>
      </c>
      <c r="AG299" s="4">
        <v>5</v>
      </c>
      <c r="AH299" s="4">
        <v>6</v>
      </c>
      <c r="AI299" s="4">
        <v>6</v>
      </c>
      <c r="AJ299" s="4">
        <v>7</v>
      </c>
      <c r="AK299" s="4">
        <v>7</v>
      </c>
      <c r="AL299" s="4">
        <v>2</v>
      </c>
      <c r="AM299" s="4">
        <v>2</v>
      </c>
      <c r="AN299" s="4">
        <v>0</v>
      </c>
      <c r="AO299" s="4">
        <v>0</v>
      </c>
      <c r="AP299" s="3" t="s">
        <v>59</v>
      </c>
      <c r="AQ299" s="3" t="s">
        <v>70</v>
      </c>
      <c r="AR299" s="6" t="str">
        <f>HYPERLINK("http://catalog.hathitrust.org/Record/002441662","HathiTrust Record")</f>
        <v>HathiTrust Record</v>
      </c>
      <c r="AS299" s="6" t="str">
        <f>HYPERLINK("https://creighton-primo.hosted.exlibrisgroup.com/primo-explore/search?tab=default_tab&amp;search_scope=EVERYTHING&amp;vid=01CRU&amp;lang=en_US&amp;offset=0&amp;query=any,contains,991001822519702656","Catalog Record")</f>
        <v>Catalog Record</v>
      </c>
      <c r="AT299" s="6" t="str">
        <f>HYPERLINK("http://www.worldcat.org/oclc/22906165","WorldCat Record")</f>
        <v>WorldCat Record</v>
      </c>
      <c r="AU299" s="3" t="s">
        <v>3924</v>
      </c>
      <c r="AV299" s="3" t="s">
        <v>3925</v>
      </c>
      <c r="AW299" s="3" t="s">
        <v>3926</v>
      </c>
      <c r="AX299" s="3" t="s">
        <v>3926</v>
      </c>
      <c r="AY299" s="3" t="s">
        <v>3927</v>
      </c>
      <c r="AZ299" s="3" t="s">
        <v>75</v>
      </c>
      <c r="BB299" s="3" t="s">
        <v>3928</v>
      </c>
      <c r="BC299" s="3" t="s">
        <v>3929</v>
      </c>
      <c r="BD299" s="3" t="s">
        <v>3930</v>
      </c>
    </row>
    <row r="300" spans="1:56" ht="48" customHeight="1" x14ac:dyDescent="0.25">
      <c r="A300" s="7" t="s">
        <v>59</v>
      </c>
      <c r="B300" s="2" t="s">
        <v>3931</v>
      </c>
      <c r="C300" s="2" t="s">
        <v>3932</v>
      </c>
      <c r="D300" s="2" t="s">
        <v>3933</v>
      </c>
      <c r="F300" s="3" t="s">
        <v>59</v>
      </c>
      <c r="G300" s="3" t="s">
        <v>60</v>
      </c>
      <c r="H300" s="3" t="s">
        <v>59</v>
      </c>
      <c r="I300" s="3" t="s">
        <v>59</v>
      </c>
      <c r="J300" s="3" t="s">
        <v>61</v>
      </c>
      <c r="L300" s="2" t="s">
        <v>3934</v>
      </c>
      <c r="M300" s="3" t="s">
        <v>234</v>
      </c>
      <c r="O300" s="3" t="s">
        <v>64</v>
      </c>
      <c r="P300" s="3" t="s">
        <v>84</v>
      </c>
      <c r="Q300" s="2" t="s">
        <v>3935</v>
      </c>
      <c r="R300" s="3" t="s">
        <v>67</v>
      </c>
      <c r="S300" s="4">
        <v>4</v>
      </c>
      <c r="T300" s="4">
        <v>4</v>
      </c>
      <c r="U300" s="5" t="s">
        <v>3936</v>
      </c>
      <c r="V300" s="5" t="s">
        <v>3936</v>
      </c>
      <c r="W300" s="5" t="s">
        <v>117</v>
      </c>
      <c r="X300" s="5" t="s">
        <v>117</v>
      </c>
      <c r="Y300" s="4">
        <v>208</v>
      </c>
      <c r="Z300" s="4">
        <v>161</v>
      </c>
      <c r="AA300" s="4">
        <v>175</v>
      </c>
      <c r="AB300" s="4">
        <v>1</v>
      </c>
      <c r="AC300" s="4">
        <v>1</v>
      </c>
      <c r="AD300" s="4">
        <v>7</v>
      </c>
      <c r="AE300" s="4">
        <v>7</v>
      </c>
      <c r="AF300" s="4">
        <v>2</v>
      </c>
      <c r="AG300" s="4">
        <v>2</v>
      </c>
      <c r="AH300" s="4">
        <v>4</v>
      </c>
      <c r="AI300" s="4">
        <v>4</v>
      </c>
      <c r="AJ300" s="4">
        <v>3</v>
      </c>
      <c r="AK300" s="4">
        <v>3</v>
      </c>
      <c r="AL300" s="4">
        <v>0</v>
      </c>
      <c r="AM300" s="4">
        <v>0</v>
      </c>
      <c r="AN300" s="4">
        <v>0</v>
      </c>
      <c r="AO300" s="4">
        <v>0</v>
      </c>
      <c r="AP300" s="3" t="s">
        <v>59</v>
      </c>
      <c r="AQ300" s="3" t="s">
        <v>70</v>
      </c>
      <c r="AR300" s="6" t="str">
        <f>HYPERLINK("http://catalog.hathitrust.org/Record/009492145","HathiTrust Record")</f>
        <v>HathiTrust Record</v>
      </c>
      <c r="AS300" s="6" t="str">
        <f>HYPERLINK("https://creighton-primo.hosted.exlibrisgroup.com/primo-explore/search?tab=default_tab&amp;search_scope=EVERYTHING&amp;vid=01CRU&amp;lang=en_US&amp;offset=0&amp;query=any,contains,991001623069702656","Catalog Record")</f>
        <v>Catalog Record</v>
      </c>
      <c r="AT300" s="6" t="str">
        <f>HYPERLINK("http://www.worldcat.org/oclc/20826564","WorldCat Record")</f>
        <v>WorldCat Record</v>
      </c>
      <c r="AU300" s="3" t="s">
        <v>3937</v>
      </c>
      <c r="AV300" s="3" t="s">
        <v>3938</v>
      </c>
      <c r="AW300" s="3" t="s">
        <v>3939</v>
      </c>
      <c r="AX300" s="3" t="s">
        <v>3939</v>
      </c>
      <c r="AY300" s="3" t="s">
        <v>3940</v>
      </c>
      <c r="AZ300" s="3" t="s">
        <v>75</v>
      </c>
      <c r="BB300" s="3" t="s">
        <v>3941</v>
      </c>
      <c r="BC300" s="3" t="s">
        <v>3942</v>
      </c>
      <c r="BD300" s="3" t="s">
        <v>3943</v>
      </c>
    </row>
    <row r="301" spans="1:56" ht="48" customHeight="1" x14ac:dyDescent="0.25">
      <c r="A301" s="7" t="s">
        <v>59</v>
      </c>
      <c r="B301" s="2" t="s">
        <v>3944</v>
      </c>
      <c r="C301" s="2" t="s">
        <v>3945</v>
      </c>
      <c r="D301" s="2" t="s">
        <v>3946</v>
      </c>
      <c r="F301" s="3" t="s">
        <v>59</v>
      </c>
      <c r="G301" s="3" t="s">
        <v>60</v>
      </c>
      <c r="H301" s="3" t="s">
        <v>59</v>
      </c>
      <c r="I301" s="3" t="s">
        <v>59</v>
      </c>
      <c r="J301" s="3" t="s">
        <v>61</v>
      </c>
      <c r="L301" s="2" t="s">
        <v>3830</v>
      </c>
      <c r="M301" s="3" t="s">
        <v>897</v>
      </c>
      <c r="O301" s="3" t="s">
        <v>64</v>
      </c>
      <c r="P301" s="3" t="s">
        <v>84</v>
      </c>
      <c r="Q301" s="2" t="s">
        <v>3871</v>
      </c>
      <c r="R301" s="3" t="s">
        <v>67</v>
      </c>
      <c r="S301" s="4">
        <v>5</v>
      </c>
      <c r="T301" s="4">
        <v>5</v>
      </c>
      <c r="U301" s="5" t="s">
        <v>3947</v>
      </c>
      <c r="V301" s="5" t="s">
        <v>3947</v>
      </c>
      <c r="W301" s="5" t="s">
        <v>3833</v>
      </c>
      <c r="X301" s="5" t="s">
        <v>3833</v>
      </c>
      <c r="Y301" s="4">
        <v>231</v>
      </c>
      <c r="Z301" s="4">
        <v>153</v>
      </c>
      <c r="AA301" s="4">
        <v>158</v>
      </c>
      <c r="AB301" s="4">
        <v>1</v>
      </c>
      <c r="AC301" s="4">
        <v>1</v>
      </c>
      <c r="AD301" s="4">
        <v>4</v>
      </c>
      <c r="AE301" s="4">
        <v>4</v>
      </c>
      <c r="AF301" s="4">
        <v>2</v>
      </c>
      <c r="AG301" s="4">
        <v>2</v>
      </c>
      <c r="AH301" s="4">
        <v>1</v>
      </c>
      <c r="AI301" s="4">
        <v>1</v>
      </c>
      <c r="AJ301" s="4">
        <v>3</v>
      </c>
      <c r="AK301" s="4">
        <v>3</v>
      </c>
      <c r="AL301" s="4">
        <v>0</v>
      </c>
      <c r="AM301" s="4">
        <v>0</v>
      </c>
      <c r="AN301" s="4">
        <v>0</v>
      </c>
      <c r="AO301" s="4">
        <v>0</v>
      </c>
      <c r="AP301" s="3" t="s">
        <v>59</v>
      </c>
      <c r="AQ301" s="3" t="s">
        <v>59</v>
      </c>
      <c r="AS301" s="6" t="str">
        <f>HYPERLINK("https://creighton-primo.hosted.exlibrisgroup.com/primo-explore/search?tab=default_tab&amp;search_scope=EVERYTHING&amp;vid=01CRU&amp;lang=en_US&amp;offset=0&amp;query=any,contains,991001815849702656","Catalog Record")</f>
        <v>Catalog Record</v>
      </c>
      <c r="AT301" s="6" t="str">
        <f>HYPERLINK("http://www.worldcat.org/oclc/22811228","WorldCat Record")</f>
        <v>WorldCat Record</v>
      </c>
      <c r="AU301" s="3" t="s">
        <v>3948</v>
      </c>
      <c r="AV301" s="3" t="s">
        <v>3949</v>
      </c>
      <c r="AW301" s="3" t="s">
        <v>3950</v>
      </c>
      <c r="AX301" s="3" t="s">
        <v>3950</v>
      </c>
      <c r="AY301" s="3" t="s">
        <v>3951</v>
      </c>
      <c r="AZ301" s="3" t="s">
        <v>75</v>
      </c>
      <c r="BB301" s="3" t="s">
        <v>3838</v>
      </c>
      <c r="BC301" s="3" t="s">
        <v>3952</v>
      </c>
      <c r="BD301" s="3" t="s">
        <v>3953</v>
      </c>
    </row>
    <row r="302" spans="1:56" ht="48" customHeight="1" x14ac:dyDescent="0.25">
      <c r="A302" s="7" t="s">
        <v>59</v>
      </c>
      <c r="B302" s="2" t="s">
        <v>3954</v>
      </c>
      <c r="C302" s="2" t="s">
        <v>3955</v>
      </c>
      <c r="D302" s="2" t="s">
        <v>3956</v>
      </c>
      <c r="F302" s="3" t="s">
        <v>59</v>
      </c>
      <c r="G302" s="3" t="s">
        <v>60</v>
      </c>
      <c r="H302" s="3" t="s">
        <v>59</v>
      </c>
      <c r="I302" s="3" t="s">
        <v>59</v>
      </c>
      <c r="J302" s="3" t="s">
        <v>61</v>
      </c>
      <c r="K302" s="2" t="s">
        <v>3957</v>
      </c>
      <c r="L302" s="2" t="s">
        <v>3958</v>
      </c>
      <c r="M302" s="3" t="s">
        <v>234</v>
      </c>
      <c r="O302" s="3" t="s">
        <v>64</v>
      </c>
      <c r="P302" s="3" t="s">
        <v>130</v>
      </c>
      <c r="R302" s="3" t="s">
        <v>67</v>
      </c>
      <c r="S302" s="4">
        <v>7</v>
      </c>
      <c r="T302" s="4">
        <v>7</v>
      </c>
      <c r="U302" s="5" t="s">
        <v>3421</v>
      </c>
      <c r="V302" s="5" t="s">
        <v>3421</v>
      </c>
      <c r="W302" s="5" t="s">
        <v>2773</v>
      </c>
      <c r="X302" s="5" t="s">
        <v>2773</v>
      </c>
      <c r="Y302" s="4">
        <v>301</v>
      </c>
      <c r="Z302" s="4">
        <v>229</v>
      </c>
      <c r="AA302" s="4">
        <v>258</v>
      </c>
      <c r="AB302" s="4">
        <v>1</v>
      </c>
      <c r="AC302" s="4">
        <v>1</v>
      </c>
      <c r="AD302" s="4">
        <v>9</v>
      </c>
      <c r="AE302" s="4">
        <v>10</v>
      </c>
      <c r="AF302" s="4">
        <v>2</v>
      </c>
      <c r="AG302" s="4">
        <v>3</v>
      </c>
      <c r="AH302" s="4">
        <v>4</v>
      </c>
      <c r="AI302" s="4">
        <v>4</v>
      </c>
      <c r="AJ302" s="4">
        <v>6</v>
      </c>
      <c r="AK302" s="4">
        <v>7</v>
      </c>
      <c r="AL302" s="4">
        <v>0</v>
      </c>
      <c r="AM302" s="4">
        <v>0</v>
      </c>
      <c r="AN302" s="4">
        <v>0</v>
      </c>
      <c r="AO302" s="4">
        <v>0</v>
      </c>
      <c r="AP302" s="3" t="s">
        <v>59</v>
      </c>
      <c r="AQ302" s="3" t="s">
        <v>70</v>
      </c>
      <c r="AR302" s="6" t="str">
        <f>HYPERLINK("http://catalog.hathitrust.org/Record/001085907","HathiTrust Record")</f>
        <v>HathiTrust Record</v>
      </c>
      <c r="AS302" s="6" t="str">
        <f>HYPERLINK("https://creighton-primo.hosted.exlibrisgroup.com/primo-explore/search?tab=default_tab&amp;search_scope=EVERYTHING&amp;vid=01CRU&amp;lang=en_US&amp;offset=0&amp;query=any,contains,991001326719702656","Catalog Record")</f>
        <v>Catalog Record</v>
      </c>
      <c r="AT302" s="6" t="str">
        <f>HYPERLINK("http://www.worldcat.org/oclc/18290257","WorldCat Record")</f>
        <v>WorldCat Record</v>
      </c>
      <c r="AU302" s="3" t="s">
        <v>3959</v>
      </c>
      <c r="AV302" s="3" t="s">
        <v>3960</v>
      </c>
      <c r="AW302" s="3" t="s">
        <v>3961</v>
      </c>
      <c r="AX302" s="3" t="s">
        <v>3961</v>
      </c>
      <c r="AY302" s="3" t="s">
        <v>3962</v>
      </c>
      <c r="AZ302" s="3" t="s">
        <v>75</v>
      </c>
      <c r="BB302" s="3" t="s">
        <v>3963</v>
      </c>
      <c r="BC302" s="3" t="s">
        <v>3964</v>
      </c>
      <c r="BD302" s="3" t="s">
        <v>3965</v>
      </c>
    </row>
    <row r="303" spans="1:56" ht="48" customHeight="1" x14ac:dyDescent="0.25">
      <c r="A303" s="7" t="s">
        <v>59</v>
      </c>
      <c r="B303" s="2" t="s">
        <v>3966</v>
      </c>
      <c r="C303" s="2" t="s">
        <v>3967</v>
      </c>
      <c r="D303" s="2" t="s">
        <v>3968</v>
      </c>
      <c r="F303" s="3" t="s">
        <v>59</v>
      </c>
      <c r="G303" s="3" t="s">
        <v>60</v>
      </c>
      <c r="H303" s="3" t="s">
        <v>59</v>
      </c>
      <c r="I303" s="3" t="s">
        <v>59</v>
      </c>
      <c r="J303" s="3" t="s">
        <v>61</v>
      </c>
      <c r="L303" s="2" t="s">
        <v>2015</v>
      </c>
      <c r="M303" s="3" t="s">
        <v>1611</v>
      </c>
      <c r="O303" s="3" t="s">
        <v>64</v>
      </c>
      <c r="P303" s="3" t="s">
        <v>191</v>
      </c>
      <c r="Q303" s="2" t="s">
        <v>3969</v>
      </c>
      <c r="R303" s="3" t="s">
        <v>67</v>
      </c>
      <c r="S303" s="4">
        <v>4</v>
      </c>
      <c r="T303" s="4">
        <v>4</v>
      </c>
      <c r="U303" s="5" t="s">
        <v>3970</v>
      </c>
      <c r="V303" s="5" t="s">
        <v>3970</v>
      </c>
      <c r="W303" s="5" t="s">
        <v>3971</v>
      </c>
      <c r="X303" s="5" t="s">
        <v>3971</v>
      </c>
      <c r="Y303" s="4">
        <v>112</v>
      </c>
      <c r="Z303" s="4">
        <v>81</v>
      </c>
      <c r="AA303" s="4">
        <v>86</v>
      </c>
      <c r="AB303" s="4">
        <v>3</v>
      </c>
      <c r="AC303" s="4">
        <v>3</v>
      </c>
      <c r="AD303" s="4">
        <v>5</v>
      </c>
      <c r="AE303" s="4">
        <v>5</v>
      </c>
      <c r="AF303" s="4">
        <v>0</v>
      </c>
      <c r="AG303" s="4">
        <v>0</v>
      </c>
      <c r="AH303" s="4">
        <v>3</v>
      </c>
      <c r="AI303" s="4">
        <v>3</v>
      </c>
      <c r="AJ303" s="4">
        <v>2</v>
      </c>
      <c r="AK303" s="4">
        <v>2</v>
      </c>
      <c r="AL303" s="4">
        <v>2</v>
      </c>
      <c r="AM303" s="4">
        <v>2</v>
      </c>
      <c r="AN303" s="4">
        <v>0</v>
      </c>
      <c r="AO303" s="4">
        <v>0</v>
      </c>
      <c r="AP303" s="3" t="s">
        <v>59</v>
      </c>
      <c r="AQ303" s="3" t="s">
        <v>59</v>
      </c>
      <c r="AS303" s="6" t="str">
        <f>HYPERLINK("https://creighton-primo.hosted.exlibrisgroup.com/primo-explore/search?tab=default_tab&amp;search_scope=EVERYTHING&amp;vid=01CRU&amp;lang=en_US&amp;offset=0&amp;query=any,contains,991002558869702656","Catalog Record")</f>
        <v>Catalog Record</v>
      </c>
      <c r="AT303" s="6" t="str">
        <f>HYPERLINK("http://www.worldcat.org/oclc/33246835","WorldCat Record")</f>
        <v>WorldCat Record</v>
      </c>
      <c r="AU303" s="3" t="s">
        <v>3972</v>
      </c>
      <c r="AV303" s="3" t="s">
        <v>3973</v>
      </c>
      <c r="AW303" s="3" t="s">
        <v>3974</v>
      </c>
      <c r="AX303" s="3" t="s">
        <v>3974</v>
      </c>
      <c r="AY303" s="3" t="s">
        <v>3975</v>
      </c>
      <c r="AZ303" s="3" t="s">
        <v>75</v>
      </c>
      <c r="BB303" s="3" t="s">
        <v>3976</v>
      </c>
      <c r="BC303" s="3" t="s">
        <v>3977</v>
      </c>
      <c r="BD303" s="3" t="s">
        <v>3978</v>
      </c>
    </row>
    <row r="304" spans="1:56" ht="48" customHeight="1" x14ac:dyDescent="0.25">
      <c r="A304" s="7" t="s">
        <v>59</v>
      </c>
      <c r="B304" s="2" t="s">
        <v>3979</v>
      </c>
      <c r="C304" s="2" t="s">
        <v>3980</v>
      </c>
      <c r="D304" s="2" t="s">
        <v>3981</v>
      </c>
      <c r="F304" s="3" t="s">
        <v>59</v>
      </c>
      <c r="G304" s="3" t="s">
        <v>60</v>
      </c>
      <c r="H304" s="3" t="s">
        <v>59</v>
      </c>
      <c r="I304" s="3" t="s">
        <v>59</v>
      </c>
      <c r="J304" s="3" t="s">
        <v>61</v>
      </c>
      <c r="K304" s="2" t="s">
        <v>3982</v>
      </c>
      <c r="L304" s="2" t="s">
        <v>3983</v>
      </c>
      <c r="M304" s="3" t="s">
        <v>519</v>
      </c>
      <c r="O304" s="3" t="s">
        <v>64</v>
      </c>
      <c r="P304" s="3" t="s">
        <v>84</v>
      </c>
      <c r="R304" s="3" t="s">
        <v>67</v>
      </c>
      <c r="S304" s="4">
        <v>2</v>
      </c>
      <c r="T304" s="4">
        <v>2</v>
      </c>
      <c r="U304" s="5" t="s">
        <v>2456</v>
      </c>
      <c r="V304" s="5" t="s">
        <v>2456</v>
      </c>
      <c r="W304" s="5" t="s">
        <v>3984</v>
      </c>
      <c r="X304" s="5" t="s">
        <v>3984</v>
      </c>
      <c r="Y304" s="4">
        <v>552</v>
      </c>
      <c r="Z304" s="4">
        <v>452</v>
      </c>
      <c r="AA304" s="4">
        <v>478</v>
      </c>
      <c r="AB304" s="4">
        <v>5</v>
      </c>
      <c r="AC304" s="4">
        <v>5</v>
      </c>
      <c r="AD304" s="4">
        <v>31</v>
      </c>
      <c r="AE304" s="4">
        <v>32</v>
      </c>
      <c r="AF304" s="4">
        <v>11</v>
      </c>
      <c r="AG304" s="4">
        <v>12</v>
      </c>
      <c r="AH304" s="4">
        <v>8</v>
      </c>
      <c r="AI304" s="4">
        <v>8</v>
      </c>
      <c r="AJ304" s="4">
        <v>16</v>
      </c>
      <c r="AK304" s="4">
        <v>17</v>
      </c>
      <c r="AL304" s="4">
        <v>4</v>
      </c>
      <c r="AM304" s="4">
        <v>4</v>
      </c>
      <c r="AN304" s="4">
        <v>0</v>
      </c>
      <c r="AO304" s="4">
        <v>0</v>
      </c>
      <c r="AP304" s="3" t="s">
        <v>59</v>
      </c>
      <c r="AQ304" s="3" t="s">
        <v>59</v>
      </c>
      <c r="AS304" s="6" t="str">
        <f>HYPERLINK("https://creighton-primo.hosted.exlibrisgroup.com/primo-explore/search?tab=default_tab&amp;search_scope=EVERYTHING&amp;vid=01CRU&amp;lang=en_US&amp;offset=0&amp;query=any,contains,991002152929702656","Catalog Record")</f>
        <v>Catalog Record</v>
      </c>
      <c r="AT304" s="6" t="str">
        <f>HYPERLINK("http://www.worldcat.org/oclc/27729242","WorldCat Record")</f>
        <v>WorldCat Record</v>
      </c>
      <c r="AU304" s="3" t="s">
        <v>3985</v>
      </c>
      <c r="AV304" s="3" t="s">
        <v>3986</v>
      </c>
      <c r="AW304" s="3" t="s">
        <v>3987</v>
      </c>
      <c r="AX304" s="3" t="s">
        <v>3987</v>
      </c>
      <c r="AY304" s="3" t="s">
        <v>3988</v>
      </c>
      <c r="AZ304" s="3" t="s">
        <v>75</v>
      </c>
      <c r="BB304" s="3" t="s">
        <v>3989</v>
      </c>
      <c r="BC304" s="3" t="s">
        <v>3990</v>
      </c>
      <c r="BD304" s="3" t="s">
        <v>3991</v>
      </c>
    </row>
    <row r="305" spans="1:56" ht="48" customHeight="1" x14ac:dyDescent="0.25">
      <c r="A305" s="7" t="s">
        <v>59</v>
      </c>
      <c r="B305" s="2" t="s">
        <v>3992</v>
      </c>
      <c r="C305" s="2" t="s">
        <v>3993</v>
      </c>
      <c r="D305" s="2" t="s">
        <v>3994</v>
      </c>
      <c r="F305" s="3" t="s">
        <v>59</v>
      </c>
      <c r="G305" s="3" t="s">
        <v>60</v>
      </c>
      <c r="H305" s="3" t="s">
        <v>59</v>
      </c>
      <c r="I305" s="3" t="s">
        <v>59</v>
      </c>
      <c r="J305" s="3" t="s">
        <v>61</v>
      </c>
      <c r="L305" s="2" t="s">
        <v>1714</v>
      </c>
      <c r="M305" s="3" t="s">
        <v>485</v>
      </c>
      <c r="O305" s="3" t="s">
        <v>64</v>
      </c>
      <c r="P305" s="3" t="s">
        <v>130</v>
      </c>
      <c r="R305" s="3" t="s">
        <v>67</v>
      </c>
      <c r="S305" s="4">
        <v>2</v>
      </c>
      <c r="T305" s="4">
        <v>2</v>
      </c>
      <c r="U305" s="5" t="s">
        <v>3671</v>
      </c>
      <c r="V305" s="5" t="s">
        <v>3671</v>
      </c>
      <c r="W305" s="5" t="s">
        <v>2773</v>
      </c>
      <c r="X305" s="5" t="s">
        <v>2773</v>
      </c>
      <c r="Y305" s="4">
        <v>289</v>
      </c>
      <c r="Z305" s="4">
        <v>214</v>
      </c>
      <c r="AA305" s="4">
        <v>221</v>
      </c>
      <c r="AB305" s="4">
        <v>2</v>
      </c>
      <c r="AC305" s="4">
        <v>2</v>
      </c>
      <c r="AD305" s="4">
        <v>12</v>
      </c>
      <c r="AE305" s="4">
        <v>12</v>
      </c>
      <c r="AF305" s="4">
        <v>4</v>
      </c>
      <c r="AG305" s="4">
        <v>4</v>
      </c>
      <c r="AH305" s="4">
        <v>5</v>
      </c>
      <c r="AI305" s="4">
        <v>5</v>
      </c>
      <c r="AJ305" s="4">
        <v>6</v>
      </c>
      <c r="AK305" s="4">
        <v>6</v>
      </c>
      <c r="AL305" s="4">
        <v>1</v>
      </c>
      <c r="AM305" s="4">
        <v>1</v>
      </c>
      <c r="AN305" s="4">
        <v>0</v>
      </c>
      <c r="AO305" s="4">
        <v>0</v>
      </c>
      <c r="AP305" s="3" t="s">
        <v>59</v>
      </c>
      <c r="AQ305" s="3" t="s">
        <v>70</v>
      </c>
      <c r="AR305" s="6" t="str">
        <f>HYPERLINK("http://catalog.hathitrust.org/Record/009798699","HathiTrust Record")</f>
        <v>HathiTrust Record</v>
      </c>
      <c r="AS305" s="6" t="str">
        <f>HYPERLINK("https://creighton-primo.hosted.exlibrisgroup.com/primo-explore/search?tab=default_tab&amp;search_scope=EVERYTHING&amp;vid=01CRU&amp;lang=en_US&amp;offset=0&amp;query=any,contains,991005266129702656","Catalog Record")</f>
        <v>Catalog Record</v>
      </c>
      <c r="AT305" s="6" t="str">
        <f>HYPERLINK("http://www.worldcat.org/oclc/4499029","WorldCat Record")</f>
        <v>WorldCat Record</v>
      </c>
      <c r="AU305" s="3" t="s">
        <v>3995</v>
      </c>
      <c r="AV305" s="3" t="s">
        <v>3996</v>
      </c>
      <c r="AW305" s="3" t="s">
        <v>3997</v>
      </c>
      <c r="AX305" s="3" t="s">
        <v>3997</v>
      </c>
      <c r="AY305" s="3" t="s">
        <v>3998</v>
      </c>
      <c r="AZ305" s="3" t="s">
        <v>75</v>
      </c>
      <c r="BB305" s="3" t="s">
        <v>3999</v>
      </c>
      <c r="BC305" s="3" t="s">
        <v>4000</v>
      </c>
      <c r="BD305" s="3" t="s">
        <v>4001</v>
      </c>
    </row>
    <row r="306" spans="1:56" ht="48" customHeight="1" x14ac:dyDescent="0.25">
      <c r="A306" s="7" t="s">
        <v>59</v>
      </c>
      <c r="B306" s="2" t="s">
        <v>4002</v>
      </c>
      <c r="C306" s="2" t="s">
        <v>4003</v>
      </c>
      <c r="D306" s="2" t="s">
        <v>4004</v>
      </c>
      <c r="F306" s="3" t="s">
        <v>59</v>
      </c>
      <c r="G306" s="3" t="s">
        <v>60</v>
      </c>
      <c r="H306" s="3" t="s">
        <v>59</v>
      </c>
      <c r="I306" s="3" t="s">
        <v>59</v>
      </c>
      <c r="J306" s="3" t="s">
        <v>61</v>
      </c>
      <c r="L306" s="2" t="s">
        <v>4005</v>
      </c>
      <c r="M306" s="3" t="s">
        <v>604</v>
      </c>
      <c r="O306" s="3" t="s">
        <v>64</v>
      </c>
      <c r="P306" s="3" t="s">
        <v>191</v>
      </c>
      <c r="R306" s="3" t="s">
        <v>67</v>
      </c>
      <c r="S306" s="4">
        <v>1</v>
      </c>
      <c r="T306" s="4">
        <v>1</v>
      </c>
      <c r="U306" s="5" t="s">
        <v>3872</v>
      </c>
      <c r="V306" s="5" t="s">
        <v>3872</v>
      </c>
      <c r="W306" s="5" t="s">
        <v>4006</v>
      </c>
      <c r="X306" s="5" t="s">
        <v>4006</v>
      </c>
      <c r="Y306" s="4">
        <v>134</v>
      </c>
      <c r="Z306" s="4">
        <v>102</v>
      </c>
      <c r="AA306" s="4">
        <v>102</v>
      </c>
      <c r="AB306" s="4">
        <v>2</v>
      </c>
      <c r="AC306" s="4">
        <v>2</v>
      </c>
      <c r="AD306" s="4">
        <v>3</v>
      </c>
      <c r="AE306" s="4">
        <v>3</v>
      </c>
      <c r="AF306" s="4">
        <v>0</v>
      </c>
      <c r="AG306" s="4">
        <v>0</v>
      </c>
      <c r="AH306" s="4">
        <v>2</v>
      </c>
      <c r="AI306" s="4">
        <v>2</v>
      </c>
      <c r="AJ306" s="4">
        <v>2</v>
      </c>
      <c r="AK306" s="4">
        <v>2</v>
      </c>
      <c r="AL306" s="4">
        <v>1</v>
      </c>
      <c r="AM306" s="4">
        <v>1</v>
      </c>
      <c r="AN306" s="4">
        <v>0</v>
      </c>
      <c r="AO306" s="4">
        <v>0</v>
      </c>
      <c r="AP306" s="3" t="s">
        <v>59</v>
      </c>
      <c r="AQ306" s="3" t="s">
        <v>59</v>
      </c>
      <c r="AS306" s="6" t="str">
        <f>HYPERLINK("https://creighton-primo.hosted.exlibrisgroup.com/primo-explore/search?tab=default_tab&amp;search_scope=EVERYTHING&amp;vid=01CRU&amp;lang=en_US&amp;offset=0&amp;query=any,contains,991003224249702656","Catalog Record")</f>
        <v>Catalog Record</v>
      </c>
      <c r="AT306" s="6" t="str">
        <f>HYPERLINK("http://www.worldcat.org/oclc/31970181","WorldCat Record")</f>
        <v>WorldCat Record</v>
      </c>
      <c r="AU306" s="3" t="s">
        <v>4007</v>
      </c>
      <c r="AV306" s="3" t="s">
        <v>4008</v>
      </c>
      <c r="AW306" s="3" t="s">
        <v>4009</v>
      </c>
      <c r="AX306" s="3" t="s">
        <v>4009</v>
      </c>
      <c r="AY306" s="3" t="s">
        <v>4010</v>
      </c>
      <c r="AZ306" s="3" t="s">
        <v>75</v>
      </c>
      <c r="BB306" s="3" t="s">
        <v>4011</v>
      </c>
      <c r="BC306" s="3" t="s">
        <v>4012</v>
      </c>
      <c r="BD306" s="3" t="s">
        <v>4013</v>
      </c>
    </row>
    <row r="307" spans="1:56" ht="48" customHeight="1" x14ac:dyDescent="0.25">
      <c r="A307" s="7" t="s">
        <v>59</v>
      </c>
      <c r="B307" s="2" t="s">
        <v>4014</v>
      </c>
      <c r="C307" s="2" t="s">
        <v>4015</v>
      </c>
      <c r="D307" s="2" t="s">
        <v>4016</v>
      </c>
      <c r="F307" s="3" t="s">
        <v>59</v>
      </c>
      <c r="G307" s="3" t="s">
        <v>60</v>
      </c>
      <c r="H307" s="3" t="s">
        <v>59</v>
      </c>
      <c r="I307" s="3" t="s">
        <v>59</v>
      </c>
      <c r="J307" s="3" t="s">
        <v>61</v>
      </c>
      <c r="L307" s="2" t="s">
        <v>4017</v>
      </c>
      <c r="M307" s="3" t="s">
        <v>161</v>
      </c>
      <c r="O307" s="3" t="s">
        <v>64</v>
      </c>
      <c r="P307" s="3" t="s">
        <v>264</v>
      </c>
      <c r="Q307" s="2" t="s">
        <v>4018</v>
      </c>
      <c r="R307" s="3" t="s">
        <v>67</v>
      </c>
      <c r="S307" s="4">
        <v>3</v>
      </c>
      <c r="T307" s="4">
        <v>3</v>
      </c>
      <c r="U307" s="5" t="s">
        <v>3947</v>
      </c>
      <c r="V307" s="5" t="s">
        <v>3947</v>
      </c>
      <c r="W307" s="5" t="s">
        <v>1523</v>
      </c>
      <c r="X307" s="5" t="s">
        <v>1523</v>
      </c>
      <c r="Y307" s="4">
        <v>259</v>
      </c>
      <c r="Z307" s="4">
        <v>218</v>
      </c>
      <c r="AA307" s="4">
        <v>225</v>
      </c>
      <c r="AB307" s="4">
        <v>2</v>
      </c>
      <c r="AC307" s="4">
        <v>2</v>
      </c>
      <c r="AD307" s="4">
        <v>9</v>
      </c>
      <c r="AE307" s="4">
        <v>9</v>
      </c>
      <c r="AF307" s="4">
        <v>5</v>
      </c>
      <c r="AG307" s="4">
        <v>5</v>
      </c>
      <c r="AH307" s="4">
        <v>3</v>
      </c>
      <c r="AI307" s="4">
        <v>3</v>
      </c>
      <c r="AJ307" s="4">
        <v>4</v>
      </c>
      <c r="AK307" s="4">
        <v>4</v>
      </c>
      <c r="AL307" s="4">
        <v>0</v>
      </c>
      <c r="AM307" s="4">
        <v>0</v>
      </c>
      <c r="AN307" s="4">
        <v>0</v>
      </c>
      <c r="AO307" s="4">
        <v>0</v>
      </c>
      <c r="AP307" s="3" t="s">
        <v>59</v>
      </c>
      <c r="AQ307" s="3" t="s">
        <v>70</v>
      </c>
      <c r="AR307" s="6" t="str">
        <f>HYPERLINK("http://catalog.hathitrust.org/Record/000694767","HathiTrust Record")</f>
        <v>HathiTrust Record</v>
      </c>
      <c r="AS307" s="6" t="str">
        <f>HYPERLINK("https://creighton-primo.hosted.exlibrisgroup.com/primo-explore/search?tab=default_tab&amp;search_scope=EVERYTHING&amp;vid=01CRU&amp;lang=en_US&amp;offset=0&amp;query=any,contains,991004884969702656","Catalog Record")</f>
        <v>Catalog Record</v>
      </c>
      <c r="AT307" s="6" t="str">
        <f>HYPERLINK("http://www.worldcat.org/oclc/5831324","WorldCat Record")</f>
        <v>WorldCat Record</v>
      </c>
      <c r="AU307" s="3" t="s">
        <v>4019</v>
      </c>
      <c r="AV307" s="3" t="s">
        <v>4020</v>
      </c>
      <c r="AW307" s="3" t="s">
        <v>4021</v>
      </c>
      <c r="AX307" s="3" t="s">
        <v>4021</v>
      </c>
      <c r="AY307" s="3" t="s">
        <v>4022</v>
      </c>
      <c r="AZ307" s="3" t="s">
        <v>75</v>
      </c>
      <c r="BB307" s="3" t="s">
        <v>4023</v>
      </c>
      <c r="BC307" s="3" t="s">
        <v>4024</v>
      </c>
      <c r="BD307" s="3" t="s">
        <v>4025</v>
      </c>
    </row>
    <row r="308" spans="1:56" ht="48" customHeight="1" x14ac:dyDescent="0.25">
      <c r="A308" s="7" t="s">
        <v>59</v>
      </c>
      <c r="B308" s="2" t="s">
        <v>4026</v>
      </c>
      <c r="C308" s="2" t="s">
        <v>4027</v>
      </c>
      <c r="D308" s="2" t="s">
        <v>4028</v>
      </c>
      <c r="F308" s="3" t="s">
        <v>59</v>
      </c>
      <c r="G308" s="3" t="s">
        <v>60</v>
      </c>
      <c r="H308" s="3" t="s">
        <v>59</v>
      </c>
      <c r="I308" s="3" t="s">
        <v>59</v>
      </c>
      <c r="J308" s="3" t="s">
        <v>61</v>
      </c>
      <c r="L308" s="2" t="s">
        <v>4029</v>
      </c>
      <c r="M308" s="3" t="s">
        <v>145</v>
      </c>
      <c r="O308" s="3" t="s">
        <v>64</v>
      </c>
      <c r="P308" s="3" t="s">
        <v>84</v>
      </c>
      <c r="R308" s="3" t="s">
        <v>67</v>
      </c>
      <c r="S308" s="4">
        <v>2</v>
      </c>
      <c r="T308" s="4">
        <v>2</v>
      </c>
      <c r="U308" s="5" t="s">
        <v>4030</v>
      </c>
      <c r="V308" s="5" t="s">
        <v>4030</v>
      </c>
      <c r="W308" s="5" t="s">
        <v>2773</v>
      </c>
      <c r="X308" s="5" t="s">
        <v>2773</v>
      </c>
      <c r="Y308" s="4">
        <v>177</v>
      </c>
      <c r="Z308" s="4">
        <v>123</v>
      </c>
      <c r="AA308" s="4">
        <v>131</v>
      </c>
      <c r="AB308" s="4">
        <v>2</v>
      </c>
      <c r="AC308" s="4">
        <v>2</v>
      </c>
      <c r="AD308" s="4">
        <v>1</v>
      </c>
      <c r="AE308" s="4">
        <v>1</v>
      </c>
      <c r="AF308" s="4">
        <v>0</v>
      </c>
      <c r="AG308" s="4">
        <v>0</v>
      </c>
      <c r="AH308" s="4">
        <v>0</v>
      </c>
      <c r="AI308" s="4">
        <v>0</v>
      </c>
      <c r="AJ308" s="4">
        <v>0</v>
      </c>
      <c r="AK308" s="4">
        <v>0</v>
      </c>
      <c r="AL308" s="4">
        <v>1</v>
      </c>
      <c r="AM308" s="4">
        <v>1</v>
      </c>
      <c r="AN308" s="4">
        <v>0</v>
      </c>
      <c r="AO308" s="4">
        <v>0</v>
      </c>
      <c r="AP308" s="3" t="s">
        <v>59</v>
      </c>
      <c r="AQ308" s="3" t="s">
        <v>70</v>
      </c>
      <c r="AR308" s="6" t="str">
        <f>HYPERLINK("http://catalog.hathitrust.org/Record/000724240","HathiTrust Record")</f>
        <v>HathiTrust Record</v>
      </c>
      <c r="AS308" s="6" t="str">
        <f>HYPERLINK("https://creighton-primo.hosted.exlibrisgroup.com/primo-explore/search?tab=default_tab&amp;search_scope=EVERYTHING&amp;vid=01CRU&amp;lang=en_US&amp;offset=0&amp;query=any,contains,991004101919702656","Catalog Record")</f>
        <v>Catalog Record</v>
      </c>
      <c r="AT308" s="6" t="str">
        <f>HYPERLINK("http://www.worldcat.org/oclc/2372898","WorldCat Record")</f>
        <v>WorldCat Record</v>
      </c>
      <c r="AU308" s="3" t="s">
        <v>4031</v>
      </c>
      <c r="AV308" s="3" t="s">
        <v>4032</v>
      </c>
      <c r="AW308" s="3" t="s">
        <v>4033</v>
      </c>
      <c r="AX308" s="3" t="s">
        <v>4033</v>
      </c>
      <c r="AY308" s="3" t="s">
        <v>4034</v>
      </c>
      <c r="AZ308" s="3" t="s">
        <v>75</v>
      </c>
      <c r="BB308" s="3" t="s">
        <v>4035</v>
      </c>
      <c r="BC308" s="3" t="s">
        <v>4036</v>
      </c>
      <c r="BD308" s="3" t="s">
        <v>4037</v>
      </c>
    </row>
    <row r="309" spans="1:56" ht="48" customHeight="1" x14ac:dyDescent="0.25">
      <c r="A309" s="7" t="s">
        <v>59</v>
      </c>
      <c r="B309" s="2" t="s">
        <v>4038</v>
      </c>
      <c r="C309" s="2" t="s">
        <v>4039</v>
      </c>
      <c r="D309" s="2" t="s">
        <v>4040</v>
      </c>
      <c r="F309" s="3" t="s">
        <v>59</v>
      </c>
      <c r="G309" s="3" t="s">
        <v>60</v>
      </c>
      <c r="H309" s="3" t="s">
        <v>59</v>
      </c>
      <c r="I309" s="3" t="s">
        <v>59</v>
      </c>
      <c r="J309" s="3" t="s">
        <v>61</v>
      </c>
      <c r="K309" s="2" t="s">
        <v>4041</v>
      </c>
      <c r="L309" s="2" t="s">
        <v>4042</v>
      </c>
      <c r="M309" s="3" t="s">
        <v>129</v>
      </c>
      <c r="O309" s="3" t="s">
        <v>64</v>
      </c>
      <c r="P309" s="3" t="s">
        <v>264</v>
      </c>
      <c r="R309" s="3" t="s">
        <v>67</v>
      </c>
      <c r="S309" s="4">
        <v>6</v>
      </c>
      <c r="T309" s="4">
        <v>6</v>
      </c>
      <c r="U309" s="5" t="s">
        <v>4043</v>
      </c>
      <c r="V309" s="5" t="s">
        <v>4043</v>
      </c>
      <c r="W309" s="5" t="s">
        <v>4044</v>
      </c>
      <c r="X309" s="5" t="s">
        <v>4044</v>
      </c>
      <c r="Y309" s="4">
        <v>438</v>
      </c>
      <c r="Z309" s="4">
        <v>338</v>
      </c>
      <c r="AA309" s="4">
        <v>399</v>
      </c>
      <c r="AB309" s="4">
        <v>4</v>
      </c>
      <c r="AC309" s="4">
        <v>4</v>
      </c>
      <c r="AD309" s="4">
        <v>18</v>
      </c>
      <c r="AE309" s="4">
        <v>21</v>
      </c>
      <c r="AF309" s="4">
        <v>5</v>
      </c>
      <c r="AG309" s="4">
        <v>7</v>
      </c>
      <c r="AH309" s="4">
        <v>5</v>
      </c>
      <c r="AI309" s="4">
        <v>6</v>
      </c>
      <c r="AJ309" s="4">
        <v>9</v>
      </c>
      <c r="AK309" s="4">
        <v>11</v>
      </c>
      <c r="AL309" s="4">
        <v>3</v>
      </c>
      <c r="AM309" s="4">
        <v>3</v>
      </c>
      <c r="AN309" s="4">
        <v>0</v>
      </c>
      <c r="AO309" s="4">
        <v>0</v>
      </c>
      <c r="AP309" s="3" t="s">
        <v>59</v>
      </c>
      <c r="AQ309" s="3" t="s">
        <v>70</v>
      </c>
      <c r="AR309" s="6" t="str">
        <f>HYPERLINK("http://catalog.hathitrust.org/Record/002607825","HathiTrust Record")</f>
        <v>HathiTrust Record</v>
      </c>
      <c r="AS309" s="6" t="str">
        <f>HYPERLINK("https://creighton-primo.hosted.exlibrisgroup.com/primo-explore/search?tab=default_tab&amp;search_scope=EVERYTHING&amp;vid=01CRU&amp;lang=en_US&amp;offset=0&amp;query=any,contains,991001974789702656","Catalog Record")</f>
        <v>Catalog Record</v>
      </c>
      <c r="AT309" s="6" t="str">
        <f>HYPERLINK("http://www.worldcat.org/oclc/25048058","WorldCat Record")</f>
        <v>WorldCat Record</v>
      </c>
      <c r="AU309" s="3" t="s">
        <v>4045</v>
      </c>
      <c r="AV309" s="3" t="s">
        <v>4046</v>
      </c>
      <c r="AW309" s="3" t="s">
        <v>4047</v>
      </c>
      <c r="AX309" s="3" t="s">
        <v>4047</v>
      </c>
      <c r="AY309" s="3" t="s">
        <v>4048</v>
      </c>
      <c r="AZ309" s="3" t="s">
        <v>75</v>
      </c>
      <c r="BB309" s="3" t="s">
        <v>4049</v>
      </c>
      <c r="BC309" s="3" t="s">
        <v>4050</v>
      </c>
      <c r="BD309" s="3" t="s">
        <v>4051</v>
      </c>
    </row>
    <row r="310" spans="1:56" ht="48" customHeight="1" x14ac:dyDescent="0.25">
      <c r="A310" s="7" t="s">
        <v>59</v>
      </c>
      <c r="B310" s="2" t="s">
        <v>4052</v>
      </c>
      <c r="C310" s="2" t="s">
        <v>4053</v>
      </c>
      <c r="D310" s="2" t="s">
        <v>4054</v>
      </c>
      <c r="F310" s="3" t="s">
        <v>59</v>
      </c>
      <c r="G310" s="3" t="s">
        <v>60</v>
      </c>
      <c r="H310" s="3" t="s">
        <v>59</v>
      </c>
      <c r="I310" s="3" t="s">
        <v>59</v>
      </c>
      <c r="J310" s="3" t="s">
        <v>61</v>
      </c>
      <c r="L310" s="2" t="s">
        <v>4055</v>
      </c>
      <c r="M310" s="3" t="s">
        <v>219</v>
      </c>
      <c r="O310" s="3" t="s">
        <v>64</v>
      </c>
      <c r="P310" s="3" t="s">
        <v>130</v>
      </c>
      <c r="R310" s="3" t="s">
        <v>67</v>
      </c>
      <c r="S310" s="4">
        <v>7</v>
      </c>
      <c r="T310" s="4">
        <v>7</v>
      </c>
      <c r="U310" s="5" t="s">
        <v>4056</v>
      </c>
      <c r="V310" s="5" t="s">
        <v>4056</v>
      </c>
      <c r="W310" s="5" t="s">
        <v>4057</v>
      </c>
      <c r="X310" s="5" t="s">
        <v>4057</v>
      </c>
      <c r="Y310" s="4">
        <v>578</v>
      </c>
      <c r="Z310" s="4">
        <v>505</v>
      </c>
      <c r="AA310" s="4">
        <v>511</v>
      </c>
      <c r="AB310" s="4">
        <v>2</v>
      </c>
      <c r="AC310" s="4">
        <v>2</v>
      </c>
      <c r="AD310" s="4">
        <v>20</v>
      </c>
      <c r="AE310" s="4">
        <v>20</v>
      </c>
      <c r="AF310" s="4">
        <v>9</v>
      </c>
      <c r="AG310" s="4">
        <v>9</v>
      </c>
      <c r="AH310" s="4">
        <v>5</v>
      </c>
      <c r="AI310" s="4">
        <v>5</v>
      </c>
      <c r="AJ310" s="4">
        <v>8</v>
      </c>
      <c r="AK310" s="4">
        <v>8</v>
      </c>
      <c r="AL310" s="4">
        <v>1</v>
      </c>
      <c r="AM310" s="4">
        <v>1</v>
      </c>
      <c r="AN310" s="4">
        <v>0</v>
      </c>
      <c r="AO310" s="4">
        <v>0</v>
      </c>
      <c r="AP310" s="3" t="s">
        <v>59</v>
      </c>
      <c r="AQ310" s="3" t="s">
        <v>59</v>
      </c>
      <c r="AS310" s="6" t="str">
        <f>HYPERLINK("https://creighton-primo.hosted.exlibrisgroup.com/primo-explore/search?tab=default_tab&amp;search_scope=EVERYTHING&amp;vid=01CRU&amp;lang=en_US&amp;offset=0&amp;query=any,contains,991001534109702656","Catalog Record")</f>
        <v>Catalog Record</v>
      </c>
      <c r="AT310" s="6" t="str">
        <f>HYPERLINK("http://www.worldcat.org/oclc/20057051","WorldCat Record")</f>
        <v>WorldCat Record</v>
      </c>
      <c r="AU310" s="3" t="s">
        <v>4058</v>
      </c>
      <c r="AV310" s="3" t="s">
        <v>4059</v>
      </c>
      <c r="AW310" s="3" t="s">
        <v>4060</v>
      </c>
      <c r="AX310" s="3" t="s">
        <v>4060</v>
      </c>
      <c r="AY310" s="3" t="s">
        <v>4061</v>
      </c>
      <c r="AZ310" s="3" t="s">
        <v>75</v>
      </c>
      <c r="BB310" s="3" t="s">
        <v>4062</v>
      </c>
      <c r="BC310" s="3" t="s">
        <v>4063</v>
      </c>
      <c r="BD310" s="3" t="s">
        <v>4064</v>
      </c>
    </row>
    <row r="311" spans="1:56" ht="48" customHeight="1" x14ac:dyDescent="0.25">
      <c r="A311" s="7" t="s">
        <v>59</v>
      </c>
      <c r="B311" s="2" t="s">
        <v>4065</v>
      </c>
      <c r="C311" s="2" t="s">
        <v>4066</v>
      </c>
      <c r="D311" s="2" t="s">
        <v>4067</v>
      </c>
      <c r="F311" s="3" t="s">
        <v>59</v>
      </c>
      <c r="G311" s="3" t="s">
        <v>60</v>
      </c>
      <c r="H311" s="3" t="s">
        <v>59</v>
      </c>
      <c r="I311" s="3" t="s">
        <v>59</v>
      </c>
      <c r="J311" s="3" t="s">
        <v>61</v>
      </c>
      <c r="K311" s="2" t="s">
        <v>4068</v>
      </c>
      <c r="L311" s="2" t="s">
        <v>4069</v>
      </c>
      <c r="M311" s="3" t="s">
        <v>175</v>
      </c>
      <c r="O311" s="3" t="s">
        <v>64</v>
      </c>
      <c r="P311" s="3" t="s">
        <v>84</v>
      </c>
      <c r="R311" s="3" t="s">
        <v>67</v>
      </c>
      <c r="S311" s="4">
        <v>3</v>
      </c>
      <c r="T311" s="4">
        <v>3</v>
      </c>
      <c r="U311" s="5" t="s">
        <v>3766</v>
      </c>
      <c r="V311" s="5" t="s">
        <v>3766</v>
      </c>
      <c r="W311" s="5" t="s">
        <v>4070</v>
      </c>
      <c r="X311" s="5" t="s">
        <v>4070</v>
      </c>
      <c r="Y311" s="4">
        <v>457</v>
      </c>
      <c r="Z311" s="4">
        <v>388</v>
      </c>
      <c r="AA311" s="4">
        <v>399</v>
      </c>
      <c r="AB311" s="4">
        <v>4</v>
      </c>
      <c r="AC311" s="4">
        <v>4</v>
      </c>
      <c r="AD311" s="4">
        <v>24</v>
      </c>
      <c r="AE311" s="4">
        <v>24</v>
      </c>
      <c r="AF311" s="4">
        <v>9</v>
      </c>
      <c r="AG311" s="4">
        <v>9</v>
      </c>
      <c r="AH311" s="4">
        <v>7</v>
      </c>
      <c r="AI311" s="4">
        <v>7</v>
      </c>
      <c r="AJ311" s="4">
        <v>12</v>
      </c>
      <c r="AK311" s="4">
        <v>12</v>
      </c>
      <c r="AL311" s="4">
        <v>3</v>
      </c>
      <c r="AM311" s="4">
        <v>3</v>
      </c>
      <c r="AN311" s="4">
        <v>0</v>
      </c>
      <c r="AO311" s="4">
        <v>0</v>
      </c>
      <c r="AP311" s="3" t="s">
        <v>59</v>
      </c>
      <c r="AQ311" s="3" t="s">
        <v>59</v>
      </c>
      <c r="AS311" s="6" t="str">
        <f>HYPERLINK("https://creighton-primo.hosted.exlibrisgroup.com/primo-explore/search?tab=default_tab&amp;search_scope=EVERYTHING&amp;vid=01CRU&amp;lang=en_US&amp;offset=0&amp;query=any,contains,991003355069702656","Catalog Record")</f>
        <v>Catalog Record</v>
      </c>
      <c r="AT311" s="6" t="str">
        <f>HYPERLINK("http://www.worldcat.org/oclc/37806139","WorldCat Record")</f>
        <v>WorldCat Record</v>
      </c>
      <c r="AU311" s="3" t="s">
        <v>4071</v>
      </c>
      <c r="AV311" s="3" t="s">
        <v>4072</v>
      </c>
      <c r="AW311" s="3" t="s">
        <v>4073</v>
      </c>
      <c r="AX311" s="3" t="s">
        <v>4073</v>
      </c>
      <c r="AY311" s="3" t="s">
        <v>4074</v>
      </c>
      <c r="AZ311" s="3" t="s">
        <v>75</v>
      </c>
      <c r="BB311" s="3" t="s">
        <v>4075</v>
      </c>
      <c r="BC311" s="3" t="s">
        <v>4076</v>
      </c>
      <c r="BD311" s="3" t="s">
        <v>4077</v>
      </c>
    </row>
    <row r="312" spans="1:56" ht="48" customHeight="1" x14ac:dyDescent="0.25">
      <c r="A312" s="7" t="s">
        <v>59</v>
      </c>
      <c r="B312" s="2" t="s">
        <v>4078</v>
      </c>
      <c r="C312" s="2" t="s">
        <v>4079</v>
      </c>
      <c r="D312" s="2" t="s">
        <v>4080</v>
      </c>
      <c r="F312" s="3" t="s">
        <v>59</v>
      </c>
      <c r="G312" s="3" t="s">
        <v>60</v>
      </c>
      <c r="H312" s="3" t="s">
        <v>59</v>
      </c>
      <c r="I312" s="3" t="s">
        <v>59</v>
      </c>
      <c r="J312" s="3" t="s">
        <v>61</v>
      </c>
      <c r="K312" s="2" t="s">
        <v>4081</v>
      </c>
      <c r="L312" s="2" t="s">
        <v>4082</v>
      </c>
      <c r="M312" s="3" t="s">
        <v>161</v>
      </c>
      <c r="O312" s="3" t="s">
        <v>64</v>
      </c>
      <c r="P312" s="3" t="s">
        <v>130</v>
      </c>
      <c r="R312" s="3" t="s">
        <v>67</v>
      </c>
      <c r="S312" s="4">
        <v>2</v>
      </c>
      <c r="T312" s="4">
        <v>2</v>
      </c>
      <c r="U312" s="5" t="s">
        <v>4083</v>
      </c>
      <c r="V312" s="5" t="s">
        <v>4083</v>
      </c>
      <c r="W312" s="5" t="s">
        <v>2773</v>
      </c>
      <c r="X312" s="5" t="s">
        <v>2773</v>
      </c>
      <c r="Y312" s="4">
        <v>340</v>
      </c>
      <c r="Z312" s="4">
        <v>253</v>
      </c>
      <c r="AA312" s="4">
        <v>1281</v>
      </c>
      <c r="AB312" s="4">
        <v>4</v>
      </c>
      <c r="AC312" s="4">
        <v>29</v>
      </c>
      <c r="AD312" s="4">
        <v>13</v>
      </c>
      <c r="AE312" s="4">
        <v>52</v>
      </c>
      <c r="AF312" s="4">
        <v>4</v>
      </c>
      <c r="AG312" s="4">
        <v>21</v>
      </c>
      <c r="AH312" s="4">
        <v>2</v>
      </c>
      <c r="AI312" s="4">
        <v>10</v>
      </c>
      <c r="AJ312" s="4">
        <v>7</v>
      </c>
      <c r="AK312" s="4">
        <v>17</v>
      </c>
      <c r="AL312" s="4">
        <v>3</v>
      </c>
      <c r="AM312" s="4">
        <v>15</v>
      </c>
      <c r="AN312" s="4">
        <v>0</v>
      </c>
      <c r="AO312" s="4">
        <v>0</v>
      </c>
      <c r="AP312" s="3" t="s">
        <v>59</v>
      </c>
      <c r="AQ312" s="3" t="s">
        <v>70</v>
      </c>
      <c r="AR312" s="6" t="str">
        <f>HYPERLINK("http://catalog.hathitrust.org/Record/000031153","HathiTrust Record")</f>
        <v>HathiTrust Record</v>
      </c>
      <c r="AS312" s="6" t="str">
        <f>HYPERLINK("https://creighton-primo.hosted.exlibrisgroup.com/primo-explore/search?tab=default_tab&amp;search_scope=EVERYTHING&amp;vid=01CRU&amp;lang=en_US&amp;offset=0&amp;query=any,contains,991004688799702656","Catalog Record")</f>
        <v>Catalog Record</v>
      </c>
      <c r="AT312" s="6" t="str">
        <f>HYPERLINK("http://www.worldcat.org/oclc/4593795","WorldCat Record")</f>
        <v>WorldCat Record</v>
      </c>
      <c r="AU312" s="3" t="s">
        <v>4084</v>
      </c>
      <c r="AV312" s="3" t="s">
        <v>4085</v>
      </c>
      <c r="AW312" s="3" t="s">
        <v>4086</v>
      </c>
      <c r="AX312" s="3" t="s">
        <v>4086</v>
      </c>
      <c r="AY312" s="3" t="s">
        <v>4087</v>
      </c>
      <c r="AZ312" s="3" t="s">
        <v>75</v>
      </c>
      <c r="BB312" s="3" t="s">
        <v>4088</v>
      </c>
      <c r="BC312" s="3" t="s">
        <v>4089</v>
      </c>
      <c r="BD312" s="3" t="s">
        <v>4090</v>
      </c>
    </row>
    <row r="313" spans="1:56" ht="48" customHeight="1" x14ac:dyDescent="0.25">
      <c r="A313" s="7" t="s">
        <v>59</v>
      </c>
      <c r="B313" s="2" t="s">
        <v>4091</v>
      </c>
      <c r="C313" s="2" t="s">
        <v>4092</v>
      </c>
      <c r="D313" s="2" t="s">
        <v>4093</v>
      </c>
      <c r="F313" s="3" t="s">
        <v>59</v>
      </c>
      <c r="G313" s="3" t="s">
        <v>60</v>
      </c>
      <c r="H313" s="3" t="s">
        <v>59</v>
      </c>
      <c r="I313" s="3" t="s">
        <v>59</v>
      </c>
      <c r="J313" s="3" t="s">
        <v>61</v>
      </c>
      <c r="K313" s="2" t="s">
        <v>4094</v>
      </c>
      <c r="L313" s="2" t="s">
        <v>4095</v>
      </c>
      <c r="M313" s="3" t="s">
        <v>63</v>
      </c>
      <c r="O313" s="3" t="s">
        <v>64</v>
      </c>
      <c r="P313" s="3" t="s">
        <v>176</v>
      </c>
      <c r="R313" s="3" t="s">
        <v>67</v>
      </c>
      <c r="S313" s="4">
        <v>3</v>
      </c>
      <c r="T313" s="4">
        <v>3</v>
      </c>
      <c r="U313" s="5" t="s">
        <v>4044</v>
      </c>
      <c r="V313" s="5" t="s">
        <v>4044</v>
      </c>
      <c r="W313" s="5" t="s">
        <v>446</v>
      </c>
      <c r="X313" s="5" t="s">
        <v>446</v>
      </c>
      <c r="Y313" s="4">
        <v>176</v>
      </c>
      <c r="Z313" s="4">
        <v>131</v>
      </c>
      <c r="AA313" s="4">
        <v>133</v>
      </c>
      <c r="AB313" s="4">
        <v>4</v>
      </c>
      <c r="AC313" s="4">
        <v>4</v>
      </c>
      <c r="AD313" s="4">
        <v>9</v>
      </c>
      <c r="AE313" s="4">
        <v>9</v>
      </c>
      <c r="AF313" s="4">
        <v>2</v>
      </c>
      <c r="AG313" s="4">
        <v>2</v>
      </c>
      <c r="AH313" s="4">
        <v>1</v>
      </c>
      <c r="AI313" s="4">
        <v>1</v>
      </c>
      <c r="AJ313" s="4">
        <v>5</v>
      </c>
      <c r="AK313" s="4">
        <v>5</v>
      </c>
      <c r="AL313" s="4">
        <v>3</v>
      </c>
      <c r="AM313" s="4">
        <v>3</v>
      </c>
      <c r="AN313" s="4">
        <v>0</v>
      </c>
      <c r="AO313" s="4">
        <v>0</v>
      </c>
      <c r="AP313" s="3" t="s">
        <v>59</v>
      </c>
      <c r="AQ313" s="3" t="s">
        <v>70</v>
      </c>
      <c r="AR313" s="6" t="str">
        <f>HYPERLINK("http://catalog.hathitrust.org/Record/000723663","HathiTrust Record")</f>
        <v>HathiTrust Record</v>
      </c>
      <c r="AS313" s="6" t="str">
        <f>HYPERLINK("https://creighton-primo.hosted.exlibrisgroup.com/primo-explore/search?tab=default_tab&amp;search_scope=EVERYTHING&amp;vid=01CRU&amp;lang=en_US&amp;offset=0&amp;query=any,contains,991004101519702656","Catalog Record")</f>
        <v>Catalog Record</v>
      </c>
      <c r="AT313" s="6" t="str">
        <f>HYPERLINK("http://www.worldcat.org/oclc/2372759","WorldCat Record")</f>
        <v>WorldCat Record</v>
      </c>
      <c r="AU313" s="3" t="s">
        <v>4096</v>
      </c>
      <c r="AV313" s="3" t="s">
        <v>4097</v>
      </c>
      <c r="AW313" s="3" t="s">
        <v>4098</v>
      </c>
      <c r="AX313" s="3" t="s">
        <v>4098</v>
      </c>
      <c r="AY313" s="3" t="s">
        <v>4099</v>
      </c>
      <c r="AZ313" s="3" t="s">
        <v>75</v>
      </c>
      <c r="BB313" s="3" t="s">
        <v>4100</v>
      </c>
      <c r="BC313" s="3" t="s">
        <v>4101</v>
      </c>
      <c r="BD313" s="3" t="s">
        <v>4102</v>
      </c>
    </row>
    <row r="314" spans="1:56" ht="48" customHeight="1" x14ac:dyDescent="0.25">
      <c r="A314" s="7" t="s">
        <v>59</v>
      </c>
      <c r="B314" s="2" t="s">
        <v>4103</v>
      </c>
      <c r="C314" s="2" t="s">
        <v>4104</v>
      </c>
      <c r="D314" s="2" t="s">
        <v>4105</v>
      </c>
      <c r="F314" s="3" t="s">
        <v>59</v>
      </c>
      <c r="G314" s="3" t="s">
        <v>60</v>
      </c>
      <c r="H314" s="3" t="s">
        <v>59</v>
      </c>
      <c r="I314" s="3" t="s">
        <v>70</v>
      </c>
      <c r="J314" s="3" t="s">
        <v>61</v>
      </c>
      <c r="K314" s="2" t="s">
        <v>4106</v>
      </c>
      <c r="L314" s="2" t="s">
        <v>4107</v>
      </c>
      <c r="M314" s="3" t="s">
        <v>333</v>
      </c>
      <c r="O314" s="3" t="s">
        <v>64</v>
      </c>
      <c r="P314" s="3" t="s">
        <v>130</v>
      </c>
      <c r="R314" s="3" t="s">
        <v>67</v>
      </c>
      <c r="S314" s="4">
        <v>4</v>
      </c>
      <c r="T314" s="4">
        <v>4</v>
      </c>
      <c r="U314" s="5" t="s">
        <v>4044</v>
      </c>
      <c r="V314" s="5" t="s">
        <v>4044</v>
      </c>
      <c r="W314" s="5" t="s">
        <v>4108</v>
      </c>
      <c r="X314" s="5" t="s">
        <v>4108</v>
      </c>
      <c r="Y314" s="4">
        <v>823</v>
      </c>
      <c r="Z314" s="4">
        <v>701</v>
      </c>
      <c r="AA314" s="4">
        <v>1084</v>
      </c>
      <c r="AB314" s="4">
        <v>7</v>
      </c>
      <c r="AC314" s="4">
        <v>9</v>
      </c>
      <c r="AD314" s="4">
        <v>23</v>
      </c>
      <c r="AE314" s="4">
        <v>34</v>
      </c>
      <c r="AF314" s="4">
        <v>11</v>
      </c>
      <c r="AG314" s="4">
        <v>16</v>
      </c>
      <c r="AH314" s="4">
        <v>3</v>
      </c>
      <c r="AI314" s="4">
        <v>5</v>
      </c>
      <c r="AJ314" s="4">
        <v>11</v>
      </c>
      <c r="AK314" s="4">
        <v>17</v>
      </c>
      <c r="AL314" s="4">
        <v>4</v>
      </c>
      <c r="AM314" s="4">
        <v>5</v>
      </c>
      <c r="AN314" s="4">
        <v>0</v>
      </c>
      <c r="AO314" s="4">
        <v>0</v>
      </c>
      <c r="AP314" s="3" t="s">
        <v>59</v>
      </c>
      <c r="AQ314" s="3" t="s">
        <v>59</v>
      </c>
      <c r="AS314" s="6" t="str">
        <f>HYPERLINK("https://creighton-primo.hosted.exlibrisgroup.com/primo-explore/search?tab=default_tab&amp;search_scope=EVERYTHING&amp;vid=01CRU&amp;lang=en_US&amp;offset=0&amp;query=any,contains,991000457019702656","Catalog Record")</f>
        <v>Catalog Record</v>
      </c>
      <c r="AT314" s="6" t="str">
        <f>HYPERLINK("http://www.worldcat.org/oclc/10914564","WorldCat Record")</f>
        <v>WorldCat Record</v>
      </c>
      <c r="AU314" s="3" t="s">
        <v>4109</v>
      </c>
      <c r="AV314" s="3" t="s">
        <v>4110</v>
      </c>
      <c r="AW314" s="3" t="s">
        <v>4111</v>
      </c>
      <c r="AX314" s="3" t="s">
        <v>4111</v>
      </c>
      <c r="AY314" s="3" t="s">
        <v>4112</v>
      </c>
      <c r="AZ314" s="3" t="s">
        <v>75</v>
      </c>
      <c r="BB314" s="3" t="s">
        <v>4113</v>
      </c>
      <c r="BC314" s="3" t="s">
        <v>4114</v>
      </c>
      <c r="BD314" s="3" t="s">
        <v>4115</v>
      </c>
    </row>
    <row r="315" spans="1:56" ht="48" customHeight="1" x14ac:dyDescent="0.25">
      <c r="A315" s="7" t="s">
        <v>59</v>
      </c>
      <c r="B315" s="2" t="s">
        <v>4116</v>
      </c>
      <c r="C315" s="2" t="s">
        <v>4117</v>
      </c>
      <c r="D315" s="2" t="s">
        <v>4118</v>
      </c>
      <c r="F315" s="3" t="s">
        <v>59</v>
      </c>
      <c r="G315" s="3" t="s">
        <v>60</v>
      </c>
      <c r="H315" s="3" t="s">
        <v>59</v>
      </c>
      <c r="I315" s="3" t="s">
        <v>70</v>
      </c>
      <c r="J315" s="3" t="s">
        <v>61</v>
      </c>
      <c r="K315" s="2" t="s">
        <v>4106</v>
      </c>
      <c r="L315" s="2" t="s">
        <v>4119</v>
      </c>
      <c r="M315" s="3" t="s">
        <v>590</v>
      </c>
      <c r="N315" s="2" t="s">
        <v>114</v>
      </c>
      <c r="O315" s="3" t="s">
        <v>64</v>
      </c>
      <c r="P315" s="3" t="s">
        <v>130</v>
      </c>
      <c r="R315" s="3" t="s">
        <v>67</v>
      </c>
      <c r="S315" s="4">
        <v>13</v>
      </c>
      <c r="T315" s="4">
        <v>13</v>
      </c>
      <c r="U315" s="5" t="s">
        <v>3382</v>
      </c>
      <c r="V315" s="5" t="s">
        <v>3382</v>
      </c>
      <c r="W315" s="5" t="s">
        <v>405</v>
      </c>
      <c r="X315" s="5" t="s">
        <v>405</v>
      </c>
      <c r="Y315" s="4">
        <v>618</v>
      </c>
      <c r="Z315" s="4">
        <v>431</v>
      </c>
      <c r="AA315" s="4">
        <v>1084</v>
      </c>
      <c r="AB315" s="4">
        <v>3</v>
      </c>
      <c r="AC315" s="4">
        <v>9</v>
      </c>
      <c r="AD315" s="4">
        <v>15</v>
      </c>
      <c r="AE315" s="4">
        <v>34</v>
      </c>
      <c r="AF315" s="4">
        <v>5</v>
      </c>
      <c r="AG315" s="4">
        <v>16</v>
      </c>
      <c r="AH315" s="4">
        <v>3</v>
      </c>
      <c r="AI315" s="4">
        <v>5</v>
      </c>
      <c r="AJ315" s="4">
        <v>9</v>
      </c>
      <c r="AK315" s="4">
        <v>17</v>
      </c>
      <c r="AL315" s="4">
        <v>1</v>
      </c>
      <c r="AM315" s="4">
        <v>5</v>
      </c>
      <c r="AN315" s="4">
        <v>0</v>
      </c>
      <c r="AO315" s="4">
        <v>0</v>
      </c>
      <c r="AP315" s="3" t="s">
        <v>59</v>
      </c>
      <c r="AQ315" s="3" t="s">
        <v>59</v>
      </c>
      <c r="AS315" s="6" t="str">
        <f>HYPERLINK("https://creighton-primo.hosted.exlibrisgroup.com/primo-explore/search?tab=default_tab&amp;search_scope=EVERYTHING&amp;vid=01CRU&amp;lang=en_US&amp;offset=0&amp;query=any,contains,991001191069702656","Catalog Record")</f>
        <v>Catalog Record</v>
      </c>
      <c r="AT315" s="6" t="str">
        <f>HYPERLINK("http://www.worldcat.org/oclc/17258720","WorldCat Record")</f>
        <v>WorldCat Record</v>
      </c>
      <c r="AU315" s="3" t="s">
        <v>4109</v>
      </c>
      <c r="AV315" s="3" t="s">
        <v>4120</v>
      </c>
      <c r="AW315" s="3" t="s">
        <v>4121</v>
      </c>
      <c r="AX315" s="3" t="s">
        <v>4121</v>
      </c>
      <c r="AY315" s="3" t="s">
        <v>4122</v>
      </c>
      <c r="AZ315" s="3" t="s">
        <v>75</v>
      </c>
      <c r="BB315" s="3" t="s">
        <v>4123</v>
      </c>
      <c r="BC315" s="3" t="s">
        <v>4124</v>
      </c>
      <c r="BD315" s="3" t="s">
        <v>4125</v>
      </c>
    </row>
    <row r="316" spans="1:56" ht="48" customHeight="1" x14ac:dyDescent="0.25">
      <c r="A316" s="7" t="s">
        <v>59</v>
      </c>
      <c r="B316" s="2" t="s">
        <v>4126</v>
      </c>
      <c r="C316" s="2" t="s">
        <v>4127</v>
      </c>
      <c r="D316" s="2" t="s">
        <v>4128</v>
      </c>
      <c r="F316" s="3" t="s">
        <v>59</v>
      </c>
      <c r="G316" s="3" t="s">
        <v>60</v>
      </c>
      <c r="H316" s="3" t="s">
        <v>59</v>
      </c>
      <c r="I316" s="3" t="s">
        <v>59</v>
      </c>
      <c r="J316" s="3" t="s">
        <v>61</v>
      </c>
      <c r="K316" s="2" t="s">
        <v>4129</v>
      </c>
      <c r="L316" s="2" t="s">
        <v>4130</v>
      </c>
      <c r="M316" s="3" t="s">
        <v>319</v>
      </c>
      <c r="O316" s="3" t="s">
        <v>64</v>
      </c>
      <c r="P316" s="3" t="s">
        <v>264</v>
      </c>
      <c r="R316" s="3" t="s">
        <v>67</v>
      </c>
      <c r="S316" s="4">
        <v>15</v>
      </c>
      <c r="T316" s="4">
        <v>15</v>
      </c>
      <c r="U316" s="5" t="s">
        <v>4131</v>
      </c>
      <c r="V316" s="5" t="s">
        <v>4131</v>
      </c>
      <c r="W316" s="5" t="s">
        <v>2773</v>
      </c>
      <c r="X316" s="5" t="s">
        <v>2773</v>
      </c>
      <c r="Y316" s="4">
        <v>571</v>
      </c>
      <c r="Z316" s="4">
        <v>468</v>
      </c>
      <c r="AA316" s="4">
        <v>475</v>
      </c>
      <c r="AB316" s="4">
        <v>3</v>
      </c>
      <c r="AC316" s="4">
        <v>3</v>
      </c>
      <c r="AD316" s="4">
        <v>24</v>
      </c>
      <c r="AE316" s="4">
        <v>24</v>
      </c>
      <c r="AF316" s="4">
        <v>7</v>
      </c>
      <c r="AG316" s="4">
        <v>7</v>
      </c>
      <c r="AH316" s="4">
        <v>8</v>
      </c>
      <c r="AI316" s="4">
        <v>8</v>
      </c>
      <c r="AJ316" s="4">
        <v>12</v>
      </c>
      <c r="AK316" s="4">
        <v>12</v>
      </c>
      <c r="AL316" s="4">
        <v>2</v>
      </c>
      <c r="AM316" s="4">
        <v>2</v>
      </c>
      <c r="AN316" s="4">
        <v>0</v>
      </c>
      <c r="AO316" s="4">
        <v>0</v>
      </c>
      <c r="AP316" s="3" t="s">
        <v>59</v>
      </c>
      <c r="AQ316" s="3" t="s">
        <v>70</v>
      </c>
      <c r="AR316" s="6" t="str">
        <f>HYPERLINK("http://catalog.hathitrust.org/Record/000245446","HathiTrust Record")</f>
        <v>HathiTrust Record</v>
      </c>
      <c r="AS316" s="6" t="str">
        <f>HYPERLINK("https://creighton-primo.hosted.exlibrisgroup.com/primo-explore/search?tab=default_tab&amp;search_scope=EVERYTHING&amp;vid=01CRU&amp;lang=en_US&amp;offset=0&amp;query=any,contains,991000259489702656","Catalog Record")</f>
        <v>Catalog Record</v>
      </c>
      <c r="AT316" s="6" t="str">
        <f>HYPERLINK("http://www.worldcat.org/oclc/9785746","WorldCat Record")</f>
        <v>WorldCat Record</v>
      </c>
      <c r="AU316" s="3" t="s">
        <v>4132</v>
      </c>
      <c r="AV316" s="3" t="s">
        <v>4133</v>
      </c>
      <c r="AW316" s="3" t="s">
        <v>4134</v>
      </c>
      <c r="AX316" s="3" t="s">
        <v>4134</v>
      </c>
      <c r="AY316" s="3" t="s">
        <v>4135</v>
      </c>
      <c r="AZ316" s="3" t="s">
        <v>75</v>
      </c>
      <c r="BB316" s="3" t="s">
        <v>4136</v>
      </c>
      <c r="BC316" s="3" t="s">
        <v>4137</v>
      </c>
      <c r="BD316" s="3" t="s">
        <v>4138</v>
      </c>
    </row>
    <row r="317" spans="1:56" ht="48" customHeight="1" x14ac:dyDescent="0.25">
      <c r="A317" s="7" t="s">
        <v>59</v>
      </c>
      <c r="B317" s="2" t="s">
        <v>4139</v>
      </c>
      <c r="C317" s="2" t="s">
        <v>4140</v>
      </c>
      <c r="D317" s="2" t="s">
        <v>4141</v>
      </c>
      <c r="F317" s="3" t="s">
        <v>59</v>
      </c>
      <c r="G317" s="3" t="s">
        <v>60</v>
      </c>
      <c r="H317" s="3" t="s">
        <v>59</v>
      </c>
      <c r="I317" s="3" t="s">
        <v>59</v>
      </c>
      <c r="J317" s="3" t="s">
        <v>61</v>
      </c>
      <c r="K317" s="2" t="s">
        <v>4142</v>
      </c>
      <c r="L317" s="2" t="s">
        <v>4143</v>
      </c>
      <c r="M317" s="3" t="s">
        <v>2680</v>
      </c>
      <c r="O317" s="3" t="s">
        <v>64</v>
      </c>
      <c r="P317" s="3" t="s">
        <v>264</v>
      </c>
      <c r="R317" s="3" t="s">
        <v>67</v>
      </c>
      <c r="S317" s="4">
        <v>1</v>
      </c>
      <c r="T317" s="4">
        <v>1</v>
      </c>
      <c r="U317" s="5" t="s">
        <v>4144</v>
      </c>
      <c r="V317" s="5" t="s">
        <v>4144</v>
      </c>
      <c r="W317" s="5" t="s">
        <v>4144</v>
      </c>
      <c r="X317" s="5" t="s">
        <v>4144</v>
      </c>
      <c r="Y317" s="4">
        <v>442</v>
      </c>
      <c r="Z317" s="4">
        <v>329</v>
      </c>
      <c r="AA317" s="4">
        <v>329</v>
      </c>
      <c r="AB317" s="4">
        <v>3</v>
      </c>
      <c r="AC317" s="4">
        <v>3</v>
      </c>
      <c r="AD317" s="4">
        <v>15</v>
      </c>
      <c r="AE317" s="4">
        <v>15</v>
      </c>
      <c r="AF317" s="4">
        <v>7</v>
      </c>
      <c r="AG317" s="4">
        <v>7</v>
      </c>
      <c r="AH317" s="4">
        <v>3</v>
      </c>
      <c r="AI317" s="4">
        <v>3</v>
      </c>
      <c r="AJ317" s="4">
        <v>8</v>
      </c>
      <c r="AK317" s="4">
        <v>8</v>
      </c>
      <c r="AL317" s="4">
        <v>2</v>
      </c>
      <c r="AM317" s="4">
        <v>2</v>
      </c>
      <c r="AN317" s="4">
        <v>0</v>
      </c>
      <c r="AO317" s="4">
        <v>0</v>
      </c>
      <c r="AP317" s="3" t="s">
        <v>59</v>
      </c>
      <c r="AQ317" s="3" t="s">
        <v>59</v>
      </c>
      <c r="AS317" s="6" t="str">
        <f>HYPERLINK("https://creighton-primo.hosted.exlibrisgroup.com/primo-explore/search?tab=default_tab&amp;search_scope=EVERYTHING&amp;vid=01CRU&amp;lang=en_US&amp;offset=0&amp;query=any,contains,991003664299702656","Catalog Record")</f>
        <v>Catalog Record</v>
      </c>
      <c r="AT317" s="6" t="str">
        <f>HYPERLINK("http://www.worldcat.org/oclc/44502455","WorldCat Record")</f>
        <v>WorldCat Record</v>
      </c>
      <c r="AU317" s="3" t="s">
        <v>4145</v>
      </c>
      <c r="AV317" s="3" t="s">
        <v>4146</v>
      </c>
      <c r="AW317" s="3" t="s">
        <v>4147</v>
      </c>
      <c r="AX317" s="3" t="s">
        <v>4147</v>
      </c>
      <c r="AY317" s="3" t="s">
        <v>4148</v>
      </c>
      <c r="AZ317" s="3" t="s">
        <v>75</v>
      </c>
      <c r="BB317" s="3" t="s">
        <v>4149</v>
      </c>
      <c r="BC317" s="3" t="s">
        <v>4150</v>
      </c>
      <c r="BD317" s="3" t="s">
        <v>4151</v>
      </c>
    </row>
    <row r="318" spans="1:56" ht="48" customHeight="1" x14ac:dyDescent="0.25">
      <c r="A318" s="7" t="s">
        <v>59</v>
      </c>
      <c r="B318" s="2" t="s">
        <v>4152</v>
      </c>
      <c r="C318" s="2" t="s">
        <v>4153</v>
      </c>
      <c r="D318" s="2" t="s">
        <v>4154</v>
      </c>
      <c r="F318" s="3" t="s">
        <v>59</v>
      </c>
      <c r="G318" s="3" t="s">
        <v>60</v>
      </c>
      <c r="H318" s="3" t="s">
        <v>59</v>
      </c>
      <c r="I318" s="3" t="s">
        <v>70</v>
      </c>
      <c r="J318" s="3" t="s">
        <v>61</v>
      </c>
      <c r="K318" s="2" t="s">
        <v>4155</v>
      </c>
      <c r="L318" s="2" t="s">
        <v>4156</v>
      </c>
      <c r="M318" s="3" t="s">
        <v>63</v>
      </c>
      <c r="O318" s="3" t="s">
        <v>64</v>
      </c>
      <c r="P318" s="3" t="s">
        <v>264</v>
      </c>
      <c r="R318" s="3" t="s">
        <v>67</v>
      </c>
      <c r="S318" s="4">
        <v>5</v>
      </c>
      <c r="T318" s="4">
        <v>5</v>
      </c>
      <c r="U318" s="5" t="s">
        <v>4044</v>
      </c>
      <c r="V318" s="5" t="s">
        <v>4044</v>
      </c>
      <c r="W318" s="5" t="s">
        <v>4157</v>
      </c>
      <c r="X318" s="5" t="s">
        <v>4157</v>
      </c>
      <c r="Y318" s="4">
        <v>306</v>
      </c>
      <c r="Z318" s="4">
        <v>213</v>
      </c>
      <c r="AA318" s="4">
        <v>768</v>
      </c>
      <c r="AB318" s="4">
        <v>2</v>
      </c>
      <c r="AC318" s="4">
        <v>5</v>
      </c>
      <c r="AD318" s="4">
        <v>10</v>
      </c>
      <c r="AE318" s="4">
        <v>28</v>
      </c>
      <c r="AF318" s="4">
        <v>4</v>
      </c>
      <c r="AG318" s="4">
        <v>10</v>
      </c>
      <c r="AH318" s="4">
        <v>1</v>
      </c>
      <c r="AI318" s="4">
        <v>6</v>
      </c>
      <c r="AJ318" s="4">
        <v>6</v>
      </c>
      <c r="AK318" s="4">
        <v>14</v>
      </c>
      <c r="AL318" s="4">
        <v>1</v>
      </c>
      <c r="AM318" s="4">
        <v>3</v>
      </c>
      <c r="AN318" s="4">
        <v>0</v>
      </c>
      <c r="AO318" s="4">
        <v>0</v>
      </c>
      <c r="AP318" s="3" t="s">
        <v>59</v>
      </c>
      <c r="AQ318" s="3" t="s">
        <v>59</v>
      </c>
      <c r="AS318" s="6" t="str">
        <f>HYPERLINK("https://creighton-primo.hosted.exlibrisgroup.com/primo-explore/search?tab=default_tab&amp;search_scope=EVERYTHING&amp;vid=01CRU&amp;lang=en_US&amp;offset=0&amp;query=any,contains,991004178779702656","Catalog Record")</f>
        <v>Catalog Record</v>
      </c>
      <c r="AT318" s="6" t="str">
        <f>HYPERLINK("http://www.worldcat.org/oclc/2598484","WorldCat Record")</f>
        <v>WorldCat Record</v>
      </c>
      <c r="AU318" s="3" t="s">
        <v>4158</v>
      </c>
      <c r="AV318" s="3" t="s">
        <v>4159</v>
      </c>
      <c r="AW318" s="3" t="s">
        <v>4160</v>
      </c>
      <c r="AX318" s="3" t="s">
        <v>4160</v>
      </c>
      <c r="AY318" s="3" t="s">
        <v>4161</v>
      </c>
      <c r="AZ318" s="3" t="s">
        <v>75</v>
      </c>
      <c r="BB318" s="3" t="s">
        <v>4162</v>
      </c>
      <c r="BC318" s="3" t="s">
        <v>4163</v>
      </c>
      <c r="BD318" s="3" t="s">
        <v>4164</v>
      </c>
    </row>
    <row r="319" spans="1:56" ht="48" customHeight="1" x14ac:dyDescent="0.25">
      <c r="A319" s="7" t="s">
        <v>59</v>
      </c>
      <c r="B319" s="2" t="s">
        <v>4165</v>
      </c>
      <c r="C319" s="2" t="s">
        <v>4166</v>
      </c>
      <c r="D319" s="2" t="s">
        <v>4154</v>
      </c>
      <c r="F319" s="3" t="s">
        <v>59</v>
      </c>
      <c r="G319" s="3" t="s">
        <v>60</v>
      </c>
      <c r="H319" s="3" t="s">
        <v>59</v>
      </c>
      <c r="I319" s="3" t="s">
        <v>70</v>
      </c>
      <c r="J319" s="3" t="s">
        <v>61</v>
      </c>
      <c r="K319" s="2" t="s">
        <v>4155</v>
      </c>
      <c r="L319" s="2" t="s">
        <v>4167</v>
      </c>
      <c r="M319" s="3" t="s">
        <v>897</v>
      </c>
      <c r="N319" s="2" t="s">
        <v>2003</v>
      </c>
      <c r="O319" s="3" t="s">
        <v>64</v>
      </c>
      <c r="P319" s="3" t="s">
        <v>264</v>
      </c>
      <c r="R319" s="3" t="s">
        <v>67</v>
      </c>
      <c r="S319" s="4">
        <v>25</v>
      </c>
      <c r="T319" s="4">
        <v>25</v>
      </c>
      <c r="U319" s="5" t="s">
        <v>4168</v>
      </c>
      <c r="V319" s="5" t="s">
        <v>4168</v>
      </c>
      <c r="W319" s="5" t="s">
        <v>4169</v>
      </c>
      <c r="X319" s="5" t="s">
        <v>4169</v>
      </c>
      <c r="Y319" s="4">
        <v>208</v>
      </c>
      <c r="Z319" s="4">
        <v>110</v>
      </c>
      <c r="AA319" s="4">
        <v>768</v>
      </c>
      <c r="AB319" s="4">
        <v>1</v>
      </c>
      <c r="AC319" s="4">
        <v>5</v>
      </c>
      <c r="AD319" s="4">
        <v>3</v>
      </c>
      <c r="AE319" s="4">
        <v>28</v>
      </c>
      <c r="AF319" s="4">
        <v>2</v>
      </c>
      <c r="AG319" s="4">
        <v>10</v>
      </c>
      <c r="AH319" s="4">
        <v>0</v>
      </c>
      <c r="AI319" s="4">
        <v>6</v>
      </c>
      <c r="AJ319" s="4">
        <v>2</v>
      </c>
      <c r="AK319" s="4">
        <v>14</v>
      </c>
      <c r="AL319" s="4">
        <v>0</v>
      </c>
      <c r="AM319" s="4">
        <v>3</v>
      </c>
      <c r="AN319" s="4">
        <v>0</v>
      </c>
      <c r="AO319" s="4">
        <v>0</v>
      </c>
      <c r="AP319" s="3" t="s">
        <v>59</v>
      </c>
      <c r="AQ319" s="3" t="s">
        <v>59</v>
      </c>
      <c r="AS319" s="6" t="str">
        <f>HYPERLINK("https://creighton-primo.hosted.exlibrisgroup.com/primo-explore/search?tab=default_tab&amp;search_scope=EVERYTHING&amp;vid=01CRU&amp;lang=en_US&amp;offset=0&amp;query=any,contains,991001790379702656","Catalog Record")</f>
        <v>Catalog Record</v>
      </c>
      <c r="AT319" s="6" t="str">
        <f>HYPERLINK("http://www.worldcat.org/oclc/22542910","WorldCat Record")</f>
        <v>WorldCat Record</v>
      </c>
      <c r="AU319" s="3" t="s">
        <v>4158</v>
      </c>
      <c r="AV319" s="3" t="s">
        <v>4170</v>
      </c>
      <c r="AW319" s="3" t="s">
        <v>4171</v>
      </c>
      <c r="AX319" s="3" t="s">
        <v>4171</v>
      </c>
      <c r="AY319" s="3" t="s">
        <v>4172</v>
      </c>
      <c r="AZ319" s="3" t="s">
        <v>75</v>
      </c>
      <c r="BB319" s="3" t="s">
        <v>4173</v>
      </c>
      <c r="BC319" s="3" t="s">
        <v>4174</v>
      </c>
      <c r="BD319" s="3" t="s">
        <v>4175</v>
      </c>
    </row>
    <row r="320" spans="1:56" ht="48" customHeight="1" x14ac:dyDescent="0.25">
      <c r="A320" s="7" t="s">
        <v>59</v>
      </c>
      <c r="B320" s="2" t="s">
        <v>4176</v>
      </c>
      <c r="C320" s="2" t="s">
        <v>4177</v>
      </c>
      <c r="D320" s="2" t="s">
        <v>4178</v>
      </c>
      <c r="F320" s="3" t="s">
        <v>59</v>
      </c>
      <c r="G320" s="3" t="s">
        <v>60</v>
      </c>
      <c r="H320" s="3" t="s">
        <v>59</v>
      </c>
      <c r="I320" s="3" t="s">
        <v>59</v>
      </c>
      <c r="J320" s="3" t="s">
        <v>61</v>
      </c>
      <c r="K320" s="2" t="s">
        <v>4179</v>
      </c>
      <c r="L320" s="2" t="s">
        <v>4180</v>
      </c>
      <c r="M320" s="3" t="s">
        <v>234</v>
      </c>
      <c r="N320" s="2" t="s">
        <v>4181</v>
      </c>
      <c r="O320" s="3" t="s">
        <v>64</v>
      </c>
      <c r="P320" s="3" t="s">
        <v>264</v>
      </c>
      <c r="Q320" s="2" t="s">
        <v>4182</v>
      </c>
      <c r="R320" s="3" t="s">
        <v>67</v>
      </c>
      <c r="S320" s="4">
        <v>8</v>
      </c>
      <c r="T320" s="4">
        <v>8</v>
      </c>
      <c r="U320" s="5" t="s">
        <v>3898</v>
      </c>
      <c r="V320" s="5" t="s">
        <v>3898</v>
      </c>
      <c r="W320" s="5" t="s">
        <v>4183</v>
      </c>
      <c r="X320" s="5" t="s">
        <v>4183</v>
      </c>
      <c r="Y320" s="4">
        <v>946</v>
      </c>
      <c r="Z320" s="4">
        <v>742</v>
      </c>
      <c r="AA320" s="4">
        <v>819</v>
      </c>
      <c r="AB320" s="4">
        <v>4</v>
      </c>
      <c r="AC320" s="4">
        <v>4</v>
      </c>
      <c r="AD320" s="4">
        <v>37</v>
      </c>
      <c r="AE320" s="4">
        <v>41</v>
      </c>
      <c r="AF320" s="4">
        <v>15</v>
      </c>
      <c r="AG320" s="4">
        <v>17</v>
      </c>
      <c r="AH320" s="4">
        <v>6</v>
      </c>
      <c r="AI320" s="4">
        <v>9</v>
      </c>
      <c r="AJ320" s="4">
        <v>23</v>
      </c>
      <c r="AK320" s="4">
        <v>24</v>
      </c>
      <c r="AL320" s="4">
        <v>3</v>
      </c>
      <c r="AM320" s="4">
        <v>3</v>
      </c>
      <c r="AN320" s="4">
        <v>0</v>
      </c>
      <c r="AO320" s="4">
        <v>0</v>
      </c>
      <c r="AP320" s="3" t="s">
        <v>59</v>
      </c>
      <c r="AQ320" s="3" t="s">
        <v>59</v>
      </c>
      <c r="AS320" s="6" t="str">
        <f>HYPERLINK("https://creighton-primo.hosted.exlibrisgroup.com/primo-explore/search?tab=default_tab&amp;search_scope=EVERYTHING&amp;vid=01CRU&amp;lang=en_US&amp;offset=0&amp;query=any,contains,991000768729702656","Catalog Record")</f>
        <v>Catalog Record</v>
      </c>
      <c r="AT320" s="6" t="str">
        <f>HYPERLINK("http://www.worldcat.org/oclc/13008562","WorldCat Record")</f>
        <v>WorldCat Record</v>
      </c>
      <c r="AU320" s="3" t="s">
        <v>4184</v>
      </c>
      <c r="AV320" s="3" t="s">
        <v>4185</v>
      </c>
      <c r="AW320" s="3" t="s">
        <v>4186</v>
      </c>
      <c r="AX320" s="3" t="s">
        <v>4186</v>
      </c>
      <c r="AY320" s="3" t="s">
        <v>4187</v>
      </c>
      <c r="AZ320" s="3" t="s">
        <v>75</v>
      </c>
      <c r="BB320" s="3" t="s">
        <v>4188</v>
      </c>
      <c r="BC320" s="3" t="s">
        <v>4189</v>
      </c>
      <c r="BD320" s="3" t="s">
        <v>4190</v>
      </c>
    </row>
    <row r="321" spans="1:56" ht="48" customHeight="1" x14ac:dyDescent="0.25">
      <c r="A321" s="7" t="s">
        <v>59</v>
      </c>
      <c r="B321" s="2" t="s">
        <v>4191</v>
      </c>
      <c r="C321" s="2" t="s">
        <v>4192</v>
      </c>
      <c r="D321" s="2" t="s">
        <v>4193</v>
      </c>
      <c r="F321" s="3" t="s">
        <v>59</v>
      </c>
      <c r="G321" s="3" t="s">
        <v>60</v>
      </c>
      <c r="H321" s="3" t="s">
        <v>70</v>
      </c>
      <c r="I321" s="3" t="s">
        <v>59</v>
      </c>
      <c r="J321" s="3" t="s">
        <v>61</v>
      </c>
      <c r="K321" s="2" t="s">
        <v>4194</v>
      </c>
      <c r="L321" s="2" t="s">
        <v>4195</v>
      </c>
      <c r="M321" s="3" t="s">
        <v>161</v>
      </c>
      <c r="O321" s="3" t="s">
        <v>64</v>
      </c>
      <c r="P321" s="3" t="s">
        <v>130</v>
      </c>
      <c r="R321" s="3" t="s">
        <v>67</v>
      </c>
      <c r="S321" s="4">
        <v>6</v>
      </c>
      <c r="T321" s="4">
        <v>14</v>
      </c>
      <c r="U321" s="5" t="s">
        <v>4196</v>
      </c>
      <c r="V321" s="5" t="s">
        <v>4196</v>
      </c>
      <c r="W321" s="5" t="s">
        <v>2773</v>
      </c>
      <c r="X321" s="5" t="s">
        <v>2773</v>
      </c>
      <c r="Y321" s="4">
        <v>422</v>
      </c>
      <c r="Z321" s="4">
        <v>293</v>
      </c>
      <c r="AA321" s="4">
        <v>338</v>
      </c>
      <c r="AB321" s="4">
        <v>4</v>
      </c>
      <c r="AC321" s="4">
        <v>4</v>
      </c>
      <c r="AD321" s="4">
        <v>14</v>
      </c>
      <c r="AE321" s="4">
        <v>18</v>
      </c>
      <c r="AF321" s="4">
        <v>5</v>
      </c>
      <c r="AG321" s="4">
        <v>7</v>
      </c>
      <c r="AH321" s="4">
        <v>4</v>
      </c>
      <c r="AI321" s="4">
        <v>5</v>
      </c>
      <c r="AJ321" s="4">
        <v>8</v>
      </c>
      <c r="AK321" s="4">
        <v>10</v>
      </c>
      <c r="AL321" s="4">
        <v>2</v>
      </c>
      <c r="AM321" s="4">
        <v>2</v>
      </c>
      <c r="AN321" s="4">
        <v>0</v>
      </c>
      <c r="AO321" s="4">
        <v>0</v>
      </c>
      <c r="AP321" s="3" t="s">
        <v>59</v>
      </c>
      <c r="AQ321" s="3" t="s">
        <v>70</v>
      </c>
      <c r="AR321" s="6" t="str">
        <f>HYPERLINK("http://catalog.hathitrust.org/Record/000716579","HathiTrust Record")</f>
        <v>HathiTrust Record</v>
      </c>
      <c r="AS321" s="6" t="str">
        <f>HYPERLINK("https://creighton-primo.hosted.exlibrisgroup.com/primo-explore/search?tab=default_tab&amp;search_scope=EVERYTHING&amp;vid=01CRU&amp;lang=en_US&amp;offset=0&amp;query=any,contains,991001758429702656","Catalog Record")</f>
        <v>Catalog Record</v>
      </c>
      <c r="AT321" s="6" t="str">
        <f>HYPERLINK("http://www.worldcat.org/oclc/5008164","WorldCat Record")</f>
        <v>WorldCat Record</v>
      </c>
      <c r="AU321" s="3" t="s">
        <v>4197</v>
      </c>
      <c r="AV321" s="3" t="s">
        <v>4198</v>
      </c>
      <c r="AW321" s="3" t="s">
        <v>4199</v>
      </c>
      <c r="AX321" s="3" t="s">
        <v>4199</v>
      </c>
      <c r="AY321" s="3" t="s">
        <v>4200</v>
      </c>
      <c r="AZ321" s="3" t="s">
        <v>75</v>
      </c>
      <c r="BB321" s="3" t="s">
        <v>4201</v>
      </c>
      <c r="BC321" s="3" t="s">
        <v>4202</v>
      </c>
      <c r="BD321" s="3" t="s">
        <v>4203</v>
      </c>
    </row>
    <row r="322" spans="1:56" ht="48" customHeight="1" x14ac:dyDescent="0.25">
      <c r="A322" s="7" t="s">
        <v>59</v>
      </c>
      <c r="B322" s="2" t="s">
        <v>4204</v>
      </c>
      <c r="C322" s="2" t="s">
        <v>4205</v>
      </c>
      <c r="D322" s="2" t="s">
        <v>4206</v>
      </c>
      <c r="F322" s="3" t="s">
        <v>59</v>
      </c>
      <c r="G322" s="3" t="s">
        <v>60</v>
      </c>
      <c r="H322" s="3" t="s">
        <v>59</v>
      </c>
      <c r="I322" s="3" t="s">
        <v>59</v>
      </c>
      <c r="J322" s="3" t="s">
        <v>61</v>
      </c>
      <c r="L322" s="2" t="s">
        <v>4207</v>
      </c>
      <c r="M322" s="3" t="s">
        <v>604</v>
      </c>
      <c r="O322" s="3" t="s">
        <v>64</v>
      </c>
      <c r="P322" s="3" t="s">
        <v>4208</v>
      </c>
      <c r="Q322" s="2" t="s">
        <v>4209</v>
      </c>
      <c r="R322" s="3" t="s">
        <v>67</v>
      </c>
      <c r="S322" s="4">
        <v>2</v>
      </c>
      <c r="T322" s="4">
        <v>2</v>
      </c>
      <c r="U322" s="5" t="s">
        <v>4210</v>
      </c>
      <c r="V322" s="5" t="s">
        <v>4210</v>
      </c>
      <c r="W322" s="5" t="s">
        <v>4211</v>
      </c>
      <c r="X322" s="5" t="s">
        <v>4211</v>
      </c>
      <c r="Y322" s="4">
        <v>115</v>
      </c>
      <c r="Z322" s="4">
        <v>90</v>
      </c>
      <c r="AA322" s="4">
        <v>90</v>
      </c>
      <c r="AB322" s="4">
        <v>2</v>
      </c>
      <c r="AC322" s="4">
        <v>2</v>
      </c>
      <c r="AD322" s="4">
        <v>4</v>
      </c>
      <c r="AE322" s="4">
        <v>4</v>
      </c>
      <c r="AF322" s="4">
        <v>1</v>
      </c>
      <c r="AG322" s="4">
        <v>1</v>
      </c>
      <c r="AH322" s="4">
        <v>2</v>
      </c>
      <c r="AI322" s="4">
        <v>2</v>
      </c>
      <c r="AJ322" s="4">
        <v>2</v>
      </c>
      <c r="AK322" s="4">
        <v>2</v>
      </c>
      <c r="AL322" s="4">
        <v>1</v>
      </c>
      <c r="AM322" s="4">
        <v>1</v>
      </c>
      <c r="AN322" s="4">
        <v>0</v>
      </c>
      <c r="AO322" s="4">
        <v>0</v>
      </c>
      <c r="AP322" s="3" t="s">
        <v>59</v>
      </c>
      <c r="AQ322" s="3" t="s">
        <v>59</v>
      </c>
      <c r="AS322" s="6" t="str">
        <f>HYPERLINK("https://creighton-primo.hosted.exlibrisgroup.com/primo-explore/search?tab=default_tab&amp;search_scope=EVERYTHING&amp;vid=01CRU&amp;lang=en_US&amp;offset=0&amp;query=any,contains,991002533119702656","Catalog Record")</f>
        <v>Catalog Record</v>
      </c>
      <c r="AT322" s="6" t="str">
        <f>HYPERLINK("http://www.worldcat.org/oclc/32922779","WorldCat Record")</f>
        <v>WorldCat Record</v>
      </c>
      <c r="AU322" s="3" t="s">
        <v>4212</v>
      </c>
      <c r="AV322" s="3" t="s">
        <v>4213</v>
      </c>
      <c r="AW322" s="3" t="s">
        <v>4214</v>
      </c>
      <c r="AX322" s="3" t="s">
        <v>4214</v>
      </c>
      <c r="AY322" s="3" t="s">
        <v>4215</v>
      </c>
      <c r="AZ322" s="3" t="s">
        <v>75</v>
      </c>
      <c r="BB322" s="3" t="s">
        <v>4216</v>
      </c>
      <c r="BC322" s="3" t="s">
        <v>4217</v>
      </c>
      <c r="BD322" s="3" t="s">
        <v>4218</v>
      </c>
    </row>
    <row r="323" spans="1:56" ht="48" customHeight="1" x14ac:dyDescent="0.25">
      <c r="A323" s="7" t="s">
        <v>59</v>
      </c>
      <c r="B323" s="2" t="s">
        <v>4219</v>
      </c>
      <c r="C323" s="2" t="s">
        <v>4220</v>
      </c>
      <c r="D323" s="2" t="s">
        <v>4221</v>
      </c>
      <c r="F323" s="3" t="s">
        <v>59</v>
      </c>
      <c r="G323" s="3" t="s">
        <v>60</v>
      </c>
      <c r="H323" s="3" t="s">
        <v>59</v>
      </c>
      <c r="I323" s="3" t="s">
        <v>59</v>
      </c>
      <c r="J323" s="3" t="s">
        <v>61</v>
      </c>
      <c r="K323" s="2" t="s">
        <v>4222</v>
      </c>
      <c r="L323" s="2" t="s">
        <v>4223</v>
      </c>
      <c r="M323" s="3" t="s">
        <v>161</v>
      </c>
      <c r="O323" s="3" t="s">
        <v>64</v>
      </c>
      <c r="P323" s="3" t="s">
        <v>1201</v>
      </c>
      <c r="R323" s="3" t="s">
        <v>67</v>
      </c>
      <c r="S323" s="4">
        <v>2</v>
      </c>
      <c r="T323" s="4">
        <v>2</v>
      </c>
      <c r="U323" s="5" t="s">
        <v>4224</v>
      </c>
      <c r="V323" s="5" t="s">
        <v>4224</v>
      </c>
      <c r="W323" s="5" t="s">
        <v>4225</v>
      </c>
      <c r="X323" s="5" t="s">
        <v>4225</v>
      </c>
      <c r="Y323" s="4">
        <v>332</v>
      </c>
      <c r="Z323" s="4">
        <v>249</v>
      </c>
      <c r="AA323" s="4">
        <v>268</v>
      </c>
      <c r="AB323" s="4">
        <v>2</v>
      </c>
      <c r="AC323" s="4">
        <v>2</v>
      </c>
      <c r="AD323" s="4">
        <v>12</v>
      </c>
      <c r="AE323" s="4">
        <v>12</v>
      </c>
      <c r="AF323" s="4">
        <v>2</v>
      </c>
      <c r="AG323" s="4">
        <v>2</v>
      </c>
      <c r="AH323" s="4">
        <v>4</v>
      </c>
      <c r="AI323" s="4">
        <v>4</v>
      </c>
      <c r="AJ323" s="4">
        <v>9</v>
      </c>
      <c r="AK323" s="4">
        <v>9</v>
      </c>
      <c r="AL323" s="4">
        <v>1</v>
      </c>
      <c r="AM323" s="4">
        <v>1</v>
      </c>
      <c r="AN323" s="4">
        <v>0</v>
      </c>
      <c r="AO323" s="4">
        <v>0</v>
      </c>
      <c r="AP323" s="3" t="s">
        <v>59</v>
      </c>
      <c r="AQ323" s="3" t="s">
        <v>59</v>
      </c>
      <c r="AS323" s="6" t="str">
        <f>HYPERLINK("https://creighton-primo.hosted.exlibrisgroup.com/primo-explore/search?tab=default_tab&amp;search_scope=EVERYTHING&amp;vid=01CRU&amp;lang=en_US&amp;offset=0&amp;query=any,contains,991004850809702656","Catalog Record")</f>
        <v>Catalog Record</v>
      </c>
      <c r="AT323" s="6" t="str">
        <f>HYPERLINK("http://www.worldcat.org/oclc/5608281","WorldCat Record")</f>
        <v>WorldCat Record</v>
      </c>
      <c r="AU323" s="3" t="s">
        <v>4226</v>
      </c>
      <c r="AV323" s="3" t="s">
        <v>4227</v>
      </c>
      <c r="AW323" s="3" t="s">
        <v>4228</v>
      </c>
      <c r="AX323" s="3" t="s">
        <v>4228</v>
      </c>
      <c r="AY323" s="3" t="s">
        <v>4229</v>
      </c>
      <c r="AZ323" s="3" t="s">
        <v>75</v>
      </c>
      <c r="BB323" s="3" t="s">
        <v>4230</v>
      </c>
      <c r="BC323" s="3" t="s">
        <v>4231</v>
      </c>
      <c r="BD323" s="3" t="s">
        <v>4232</v>
      </c>
    </row>
    <row r="324" spans="1:56" ht="48" customHeight="1" x14ac:dyDescent="0.25">
      <c r="A324" s="7" t="s">
        <v>59</v>
      </c>
      <c r="B324" s="2" t="s">
        <v>4233</v>
      </c>
      <c r="C324" s="2" t="s">
        <v>4234</v>
      </c>
      <c r="D324" s="2" t="s">
        <v>4235</v>
      </c>
      <c r="F324" s="3" t="s">
        <v>59</v>
      </c>
      <c r="G324" s="3" t="s">
        <v>60</v>
      </c>
      <c r="H324" s="3" t="s">
        <v>59</v>
      </c>
      <c r="I324" s="3" t="s">
        <v>59</v>
      </c>
      <c r="J324" s="3" t="s">
        <v>61</v>
      </c>
      <c r="L324" s="2" t="s">
        <v>4236</v>
      </c>
      <c r="M324" s="3" t="s">
        <v>1817</v>
      </c>
      <c r="O324" s="3" t="s">
        <v>64</v>
      </c>
      <c r="P324" s="3" t="s">
        <v>264</v>
      </c>
      <c r="Q324" s="2" t="s">
        <v>4237</v>
      </c>
      <c r="R324" s="3" t="s">
        <v>67</v>
      </c>
      <c r="S324" s="4">
        <v>2</v>
      </c>
      <c r="T324" s="4">
        <v>2</v>
      </c>
      <c r="U324" s="5" t="s">
        <v>4238</v>
      </c>
      <c r="V324" s="5" t="s">
        <v>4238</v>
      </c>
      <c r="W324" s="5" t="s">
        <v>4238</v>
      </c>
      <c r="X324" s="5" t="s">
        <v>4238</v>
      </c>
      <c r="Y324" s="4">
        <v>121</v>
      </c>
      <c r="Z324" s="4">
        <v>91</v>
      </c>
      <c r="AA324" s="4">
        <v>116</v>
      </c>
      <c r="AB324" s="4">
        <v>1</v>
      </c>
      <c r="AC324" s="4">
        <v>1</v>
      </c>
      <c r="AD324" s="4">
        <v>2</v>
      </c>
      <c r="AE324" s="4">
        <v>4</v>
      </c>
      <c r="AF324" s="4">
        <v>1</v>
      </c>
      <c r="AG324" s="4">
        <v>3</v>
      </c>
      <c r="AH324" s="4">
        <v>1</v>
      </c>
      <c r="AI324" s="4">
        <v>1</v>
      </c>
      <c r="AJ324" s="4">
        <v>2</v>
      </c>
      <c r="AK324" s="4">
        <v>3</v>
      </c>
      <c r="AL324" s="4">
        <v>0</v>
      </c>
      <c r="AM324" s="4">
        <v>0</v>
      </c>
      <c r="AN324" s="4">
        <v>0</v>
      </c>
      <c r="AO324" s="4">
        <v>0</v>
      </c>
      <c r="AP324" s="3" t="s">
        <v>59</v>
      </c>
      <c r="AQ324" s="3" t="s">
        <v>59</v>
      </c>
      <c r="AS324" s="6" t="str">
        <f>HYPERLINK("https://creighton-primo.hosted.exlibrisgroup.com/primo-explore/search?tab=default_tab&amp;search_scope=EVERYTHING&amp;vid=01CRU&amp;lang=en_US&amp;offset=0&amp;query=any,contains,991003989029702656","Catalog Record")</f>
        <v>Catalog Record</v>
      </c>
      <c r="AT324" s="6" t="str">
        <f>HYPERLINK("http://www.worldcat.org/oclc/50253182","WorldCat Record")</f>
        <v>WorldCat Record</v>
      </c>
      <c r="AU324" s="3" t="s">
        <v>4239</v>
      </c>
      <c r="AV324" s="3" t="s">
        <v>4240</v>
      </c>
      <c r="AW324" s="3" t="s">
        <v>4241</v>
      </c>
      <c r="AX324" s="3" t="s">
        <v>4241</v>
      </c>
      <c r="AY324" s="3" t="s">
        <v>4242</v>
      </c>
      <c r="AZ324" s="3" t="s">
        <v>75</v>
      </c>
      <c r="BB324" s="3" t="s">
        <v>4243</v>
      </c>
      <c r="BC324" s="3" t="s">
        <v>4244</v>
      </c>
      <c r="BD324" s="3" t="s">
        <v>4245</v>
      </c>
    </row>
    <row r="325" spans="1:56" ht="48" customHeight="1" x14ac:dyDescent="0.25">
      <c r="A325" s="7" t="s">
        <v>59</v>
      </c>
      <c r="B325" s="2" t="s">
        <v>4246</v>
      </c>
      <c r="C325" s="2" t="s">
        <v>4247</v>
      </c>
      <c r="D325" s="2" t="s">
        <v>4248</v>
      </c>
      <c r="F325" s="3" t="s">
        <v>59</v>
      </c>
      <c r="G325" s="3" t="s">
        <v>60</v>
      </c>
      <c r="H325" s="3" t="s">
        <v>59</v>
      </c>
      <c r="I325" s="3" t="s">
        <v>59</v>
      </c>
      <c r="J325" s="3" t="s">
        <v>61</v>
      </c>
      <c r="K325" s="2" t="s">
        <v>3844</v>
      </c>
      <c r="L325" s="2" t="s">
        <v>4249</v>
      </c>
      <c r="M325" s="3" t="s">
        <v>604</v>
      </c>
      <c r="O325" s="3" t="s">
        <v>64</v>
      </c>
      <c r="P325" s="3" t="s">
        <v>912</v>
      </c>
      <c r="Q325" s="2" t="s">
        <v>4250</v>
      </c>
      <c r="R325" s="3" t="s">
        <v>67</v>
      </c>
      <c r="S325" s="4">
        <v>15</v>
      </c>
      <c r="T325" s="4">
        <v>15</v>
      </c>
      <c r="U325" s="5" t="s">
        <v>1918</v>
      </c>
      <c r="V325" s="5" t="s">
        <v>1918</v>
      </c>
      <c r="W325" s="5" t="s">
        <v>4251</v>
      </c>
      <c r="X325" s="5" t="s">
        <v>4251</v>
      </c>
      <c r="Y325" s="4">
        <v>300</v>
      </c>
      <c r="Z325" s="4">
        <v>236</v>
      </c>
      <c r="AA325" s="4">
        <v>257</v>
      </c>
      <c r="AB325" s="4">
        <v>1</v>
      </c>
      <c r="AC325" s="4">
        <v>1</v>
      </c>
      <c r="AD325" s="4">
        <v>13</v>
      </c>
      <c r="AE325" s="4">
        <v>13</v>
      </c>
      <c r="AF325" s="4">
        <v>7</v>
      </c>
      <c r="AG325" s="4">
        <v>7</v>
      </c>
      <c r="AH325" s="4">
        <v>3</v>
      </c>
      <c r="AI325" s="4">
        <v>3</v>
      </c>
      <c r="AJ325" s="4">
        <v>8</v>
      </c>
      <c r="AK325" s="4">
        <v>8</v>
      </c>
      <c r="AL325" s="4">
        <v>0</v>
      </c>
      <c r="AM325" s="4">
        <v>0</v>
      </c>
      <c r="AN325" s="4">
        <v>0</v>
      </c>
      <c r="AO325" s="4">
        <v>0</v>
      </c>
      <c r="AP325" s="3" t="s">
        <v>59</v>
      </c>
      <c r="AQ325" s="3" t="s">
        <v>70</v>
      </c>
      <c r="AR325" s="6" t="str">
        <f>HYPERLINK("http://catalog.hathitrust.org/Record/003044997","HathiTrust Record")</f>
        <v>HathiTrust Record</v>
      </c>
      <c r="AS325" s="6" t="str">
        <f>HYPERLINK("https://creighton-primo.hosted.exlibrisgroup.com/primo-explore/search?tab=default_tab&amp;search_scope=EVERYTHING&amp;vid=01CRU&amp;lang=en_US&amp;offset=0&amp;query=any,contains,991002460789702656","Catalog Record")</f>
        <v>Catalog Record</v>
      </c>
      <c r="AT325" s="6" t="str">
        <f>HYPERLINK("http://www.worldcat.org/oclc/32052881","WorldCat Record")</f>
        <v>WorldCat Record</v>
      </c>
      <c r="AU325" s="3" t="s">
        <v>4252</v>
      </c>
      <c r="AV325" s="3" t="s">
        <v>4253</v>
      </c>
      <c r="AW325" s="3" t="s">
        <v>4254</v>
      </c>
      <c r="AX325" s="3" t="s">
        <v>4254</v>
      </c>
      <c r="AY325" s="3" t="s">
        <v>4255</v>
      </c>
      <c r="AZ325" s="3" t="s">
        <v>75</v>
      </c>
      <c r="BB325" s="3" t="s">
        <v>4256</v>
      </c>
      <c r="BC325" s="3" t="s">
        <v>4257</v>
      </c>
      <c r="BD325" s="3" t="s">
        <v>4258</v>
      </c>
    </row>
    <row r="326" spans="1:56" ht="48" customHeight="1" x14ac:dyDescent="0.25">
      <c r="A326" s="7" t="s">
        <v>59</v>
      </c>
      <c r="B326" s="2" t="s">
        <v>4259</v>
      </c>
      <c r="C326" s="2" t="s">
        <v>4260</v>
      </c>
      <c r="D326" s="2" t="s">
        <v>4261</v>
      </c>
      <c r="F326" s="3" t="s">
        <v>59</v>
      </c>
      <c r="G326" s="3" t="s">
        <v>60</v>
      </c>
      <c r="H326" s="3" t="s">
        <v>59</v>
      </c>
      <c r="I326" s="3" t="s">
        <v>59</v>
      </c>
      <c r="J326" s="3" t="s">
        <v>61</v>
      </c>
      <c r="K326" s="2" t="s">
        <v>4262</v>
      </c>
      <c r="L326" s="2" t="s">
        <v>4263</v>
      </c>
      <c r="M326" s="3" t="s">
        <v>234</v>
      </c>
      <c r="O326" s="3" t="s">
        <v>64</v>
      </c>
      <c r="P326" s="3" t="s">
        <v>84</v>
      </c>
      <c r="R326" s="3" t="s">
        <v>67</v>
      </c>
      <c r="S326" s="4">
        <v>1</v>
      </c>
      <c r="T326" s="4">
        <v>1</v>
      </c>
      <c r="U326" s="5" t="s">
        <v>4264</v>
      </c>
      <c r="V326" s="5" t="s">
        <v>4264</v>
      </c>
      <c r="W326" s="5" t="s">
        <v>4265</v>
      </c>
      <c r="X326" s="5" t="s">
        <v>4265</v>
      </c>
      <c r="Y326" s="4">
        <v>262</v>
      </c>
      <c r="Z326" s="4">
        <v>182</v>
      </c>
      <c r="AA326" s="4">
        <v>294</v>
      </c>
      <c r="AB326" s="4">
        <v>3</v>
      </c>
      <c r="AC326" s="4">
        <v>3</v>
      </c>
      <c r="AD326" s="4">
        <v>9</v>
      </c>
      <c r="AE326" s="4">
        <v>12</v>
      </c>
      <c r="AF326" s="4">
        <v>2</v>
      </c>
      <c r="AG326" s="4">
        <v>3</v>
      </c>
      <c r="AH326" s="4">
        <v>1</v>
      </c>
      <c r="AI326" s="4">
        <v>2</v>
      </c>
      <c r="AJ326" s="4">
        <v>4</v>
      </c>
      <c r="AK326" s="4">
        <v>7</v>
      </c>
      <c r="AL326" s="4">
        <v>2</v>
      </c>
      <c r="AM326" s="4">
        <v>2</v>
      </c>
      <c r="AN326" s="4">
        <v>0</v>
      </c>
      <c r="AO326" s="4">
        <v>0</v>
      </c>
      <c r="AP326" s="3" t="s">
        <v>59</v>
      </c>
      <c r="AQ326" s="3" t="s">
        <v>59</v>
      </c>
      <c r="AS326" s="6" t="str">
        <f>HYPERLINK("https://creighton-primo.hosted.exlibrisgroup.com/primo-explore/search?tab=default_tab&amp;search_scope=EVERYTHING&amp;vid=01CRU&amp;lang=en_US&amp;offset=0&amp;query=any,contains,991001377729702656","Catalog Record")</f>
        <v>Catalog Record</v>
      </c>
      <c r="AT326" s="6" t="str">
        <f>HYPERLINK("http://www.worldcat.org/oclc/18628797","WorldCat Record")</f>
        <v>WorldCat Record</v>
      </c>
      <c r="AU326" s="3" t="s">
        <v>4266</v>
      </c>
      <c r="AV326" s="3" t="s">
        <v>4267</v>
      </c>
      <c r="AW326" s="3" t="s">
        <v>4268</v>
      </c>
      <c r="AX326" s="3" t="s">
        <v>4268</v>
      </c>
      <c r="AY326" s="3" t="s">
        <v>4269</v>
      </c>
      <c r="AZ326" s="3" t="s">
        <v>75</v>
      </c>
      <c r="BB326" s="3" t="s">
        <v>4270</v>
      </c>
      <c r="BC326" s="3" t="s">
        <v>4271</v>
      </c>
      <c r="BD326" s="3" t="s">
        <v>4272</v>
      </c>
    </row>
    <row r="327" spans="1:56" ht="48" customHeight="1" x14ac:dyDescent="0.25">
      <c r="A327" s="7" t="s">
        <v>59</v>
      </c>
      <c r="B327" s="2" t="s">
        <v>4273</v>
      </c>
      <c r="C327" s="2" t="s">
        <v>4274</v>
      </c>
      <c r="D327" s="2" t="s">
        <v>4275</v>
      </c>
      <c r="F327" s="3" t="s">
        <v>59</v>
      </c>
      <c r="G327" s="3" t="s">
        <v>60</v>
      </c>
      <c r="H327" s="3" t="s">
        <v>59</v>
      </c>
      <c r="I327" s="3" t="s">
        <v>59</v>
      </c>
      <c r="J327" s="3" t="s">
        <v>61</v>
      </c>
      <c r="K327" s="2" t="s">
        <v>4276</v>
      </c>
      <c r="L327" s="2" t="s">
        <v>4277</v>
      </c>
      <c r="M327" s="3" t="s">
        <v>175</v>
      </c>
      <c r="O327" s="3" t="s">
        <v>64</v>
      </c>
      <c r="P327" s="3" t="s">
        <v>84</v>
      </c>
      <c r="R327" s="3" t="s">
        <v>67</v>
      </c>
      <c r="S327" s="4">
        <v>5</v>
      </c>
      <c r="T327" s="4">
        <v>5</v>
      </c>
      <c r="U327" s="5" t="s">
        <v>4278</v>
      </c>
      <c r="V327" s="5" t="s">
        <v>4278</v>
      </c>
      <c r="W327" s="5" t="s">
        <v>4279</v>
      </c>
      <c r="X327" s="5" t="s">
        <v>4279</v>
      </c>
      <c r="Y327" s="4">
        <v>540</v>
      </c>
      <c r="Z327" s="4">
        <v>502</v>
      </c>
      <c r="AA327" s="4">
        <v>772</v>
      </c>
      <c r="AB327" s="4">
        <v>4</v>
      </c>
      <c r="AC327" s="4">
        <v>6</v>
      </c>
      <c r="AD327" s="4">
        <v>18</v>
      </c>
      <c r="AE327" s="4">
        <v>22</v>
      </c>
      <c r="AF327" s="4">
        <v>6</v>
      </c>
      <c r="AG327" s="4">
        <v>6</v>
      </c>
      <c r="AH327" s="4">
        <v>4</v>
      </c>
      <c r="AI327" s="4">
        <v>5</v>
      </c>
      <c r="AJ327" s="4">
        <v>11</v>
      </c>
      <c r="AK327" s="4">
        <v>12</v>
      </c>
      <c r="AL327" s="4">
        <v>3</v>
      </c>
      <c r="AM327" s="4">
        <v>5</v>
      </c>
      <c r="AN327" s="4">
        <v>0</v>
      </c>
      <c r="AO327" s="4">
        <v>0</v>
      </c>
      <c r="AP327" s="3" t="s">
        <v>59</v>
      </c>
      <c r="AQ327" s="3" t="s">
        <v>70</v>
      </c>
      <c r="AR327" s="6" t="str">
        <f>HYPERLINK("http://catalog.hathitrust.org/Record/004092635","HathiTrust Record")</f>
        <v>HathiTrust Record</v>
      </c>
      <c r="AS327" s="6" t="str">
        <f>HYPERLINK("https://creighton-primo.hosted.exlibrisgroup.com/primo-explore/search?tab=default_tab&amp;search_scope=EVERYTHING&amp;vid=01CRU&amp;lang=en_US&amp;offset=0&amp;query=any,contains,991003249379702656","Catalog Record")</f>
        <v>Catalog Record</v>
      </c>
      <c r="AT327" s="6" t="str">
        <f>HYPERLINK("http://www.worldcat.org/oclc/42049228","WorldCat Record")</f>
        <v>WorldCat Record</v>
      </c>
      <c r="AU327" s="3" t="s">
        <v>4280</v>
      </c>
      <c r="AV327" s="3" t="s">
        <v>4281</v>
      </c>
      <c r="AW327" s="3" t="s">
        <v>4282</v>
      </c>
      <c r="AX327" s="3" t="s">
        <v>4282</v>
      </c>
      <c r="AY327" s="3" t="s">
        <v>4283</v>
      </c>
      <c r="AZ327" s="3" t="s">
        <v>75</v>
      </c>
      <c r="BB327" s="3" t="s">
        <v>4284</v>
      </c>
      <c r="BC327" s="3" t="s">
        <v>4285</v>
      </c>
      <c r="BD327" s="3" t="s">
        <v>4286</v>
      </c>
    </row>
    <row r="328" spans="1:56" ht="48" customHeight="1" x14ac:dyDescent="0.25">
      <c r="A328" s="7" t="s">
        <v>59</v>
      </c>
      <c r="B328" s="2" t="s">
        <v>4287</v>
      </c>
      <c r="C328" s="2" t="s">
        <v>4288</v>
      </c>
      <c r="D328" s="2" t="s">
        <v>4289</v>
      </c>
      <c r="F328" s="3" t="s">
        <v>59</v>
      </c>
      <c r="G328" s="3" t="s">
        <v>60</v>
      </c>
      <c r="H328" s="3" t="s">
        <v>59</v>
      </c>
      <c r="I328" s="3" t="s">
        <v>59</v>
      </c>
      <c r="J328" s="3" t="s">
        <v>61</v>
      </c>
      <c r="K328" s="2" t="s">
        <v>4290</v>
      </c>
      <c r="L328" s="2" t="s">
        <v>4291</v>
      </c>
      <c r="M328" s="3" t="s">
        <v>519</v>
      </c>
      <c r="O328" s="3" t="s">
        <v>64</v>
      </c>
      <c r="P328" s="3" t="s">
        <v>84</v>
      </c>
      <c r="Q328" s="2" t="s">
        <v>4292</v>
      </c>
      <c r="R328" s="3" t="s">
        <v>67</v>
      </c>
      <c r="S328" s="4">
        <v>13</v>
      </c>
      <c r="T328" s="4">
        <v>13</v>
      </c>
      <c r="U328" s="5" t="s">
        <v>4293</v>
      </c>
      <c r="V328" s="5" t="s">
        <v>4293</v>
      </c>
      <c r="W328" s="5" t="s">
        <v>4294</v>
      </c>
      <c r="X328" s="5" t="s">
        <v>4294</v>
      </c>
      <c r="Y328" s="4">
        <v>324</v>
      </c>
      <c r="Z328" s="4">
        <v>212</v>
      </c>
      <c r="AA328" s="4">
        <v>236</v>
      </c>
      <c r="AB328" s="4">
        <v>2</v>
      </c>
      <c r="AC328" s="4">
        <v>2</v>
      </c>
      <c r="AD328" s="4">
        <v>11</v>
      </c>
      <c r="AE328" s="4">
        <v>11</v>
      </c>
      <c r="AF328" s="4">
        <v>4</v>
      </c>
      <c r="AG328" s="4">
        <v>4</v>
      </c>
      <c r="AH328" s="4">
        <v>2</v>
      </c>
      <c r="AI328" s="4">
        <v>2</v>
      </c>
      <c r="AJ328" s="4">
        <v>5</v>
      </c>
      <c r="AK328" s="4">
        <v>5</v>
      </c>
      <c r="AL328" s="4">
        <v>1</v>
      </c>
      <c r="AM328" s="4">
        <v>1</v>
      </c>
      <c r="AN328" s="4">
        <v>1</v>
      </c>
      <c r="AO328" s="4">
        <v>1</v>
      </c>
      <c r="AP328" s="3" t="s">
        <v>59</v>
      </c>
      <c r="AQ328" s="3" t="s">
        <v>59</v>
      </c>
      <c r="AS328" s="6" t="str">
        <f>HYPERLINK("https://creighton-primo.hosted.exlibrisgroup.com/primo-explore/search?tab=default_tab&amp;search_scope=EVERYTHING&amp;vid=01CRU&amp;lang=en_US&amp;offset=0&amp;query=any,contains,991002379289702656","Catalog Record")</f>
        <v>Catalog Record</v>
      </c>
      <c r="AT328" s="6" t="str">
        <f>HYPERLINK("http://www.worldcat.org/oclc/31902853","WorldCat Record")</f>
        <v>WorldCat Record</v>
      </c>
      <c r="AU328" s="3" t="s">
        <v>4295</v>
      </c>
      <c r="AV328" s="3" t="s">
        <v>4296</v>
      </c>
      <c r="AW328" s="3" t="s">
        <v>4297</v>
      </c>
      <c r="AX328" s="3" t="s">
        <v>4297</v>
      </c>
      <c r="AY328" s="3" t="s">
        <v>4298</v>
      </c>
      <c r="AZ328" s="3" t="s">
        <v>75</v>
      </c>
      <c r="BB328" s="3" t="s">
        <v>4299</v>
      </c>
      <c r="BC328" s="3" t="s">
        <v>4300</v>
      </c>
      <c r="BD328" s="3" t="s">
        <v>4301</v>
      </c>
    </row>
    <row r="329" spans="1:56" ht="48" customHeight="1" x14ac:dyDescent="0.25">
      <c r="A329" s="7" t="s">
        <v>59</v>
      </c>
      <c r="B329" s="2" t="s">
        <v>4302</v>
      </c>
      <c r="C329" s="2" t="s">
        <v>4303</v>
      </c>
      <c r="D329" s="2" t="s">
        <v>4304</v>
      </c>
      <c r="F329" s="3" t="s">
        <v>59</v>
      </c>
      <c r="G329" s="3" t="s">
        <v>60</v>
      </c>
      <c r="H329" s="3" t="s">
        <v>59</v>
      </c>
      <c r="I329" s="3" t="s">
        <v>59</v>
      </c>
      <c r="J329" s="3" t="s">
        <v>61</v>
      </c>
      <c r="K329" s="2" t="s">
        <v>4305</v>
      </c>
      <c r="L329" s="2" t="s">
        <v>4306</v>
      </c>
      <c r="M329" s="3" t="s">
        <v>161</v>
      </c>
      <c r="O329" s="3" t="s">
        <v>64</v>
      </c>
      <c r="P329" s="3" t="s">
        <v>130</v>
      </c>
      <c r="R329" s="3" t="s">
        <v>67</v>
      </c>
      <c r="S329" s="4">
        <v>14</v>
      </c>
      <c r="T329" s="4">
        <v>14</v>
      </c>
      <c r="U329" s="5" t="s">
        <v>4307</v>
      </c>
      <c r="V329" s="5" t="s">
        <v>4307</v>
      </c>
      <c r="W329" s="5" t="s">
        <v>2773</v>
      </c>
      <c r="X329" s="5" t="s">
        <v>2773</v>
      </c>
      <c r="Y329" s="4">
        <v>253</v>
      </c>
      <c r="Z329" s="4">
        <v>230</v>
      </c>
      <c r="AA329" s="4">
        <v>256</v>
      </c>
      <c r="AB329" s="4">
        <v>2</v>
      </c>
      <c r="AC329" s="4">
        <v>3</v>
      </c>
      <c r="AD329" s="4">
        <v>11</v>
      </c>
      <c r="AE329" s="4">
        <v>13</v>
      </c>
      <c r="AF329" s="4">
        <v>4</v>
      </c>
      <c r="AG329" s="4">
        <v>4</v>
      </c>
      <c r="AH329" s="4">
        <v>2</v>
      </c>
      <c r="AI329" s="4">
        <v>2</v>
      </c>
      <c r="AJ329" s="4">
        <v>7</v>
      </c>
      <c r="AK329" s="4">
        <v>8</v>
      </c>
      <c r="AL329" s="4">
        <v>1</v>
      </c>
      <c r="AM329" s="4">
        <v>2</v>
      </c>
      <c r="AN329" s="4">
        <v>0</v>
      </c>
      <c r="AO329" s="4">
        <v>0</v>
      </c>
      <c r="AP329" s="3" t="s">
        <v>59</v>
      </c>
      <c r="AQ329" s="3" t="s">
        <v>70</v>
      </c>
      <c r="AR329" s="6" t="str">
        <f>HYPERLINK("http://catalog.hathitrust.org/Record/000225269","HathiTrust Record")</f>
        <v>HathiTrust Record</v>
      </c>
      <c r="AS329" s="6" t="str">
        <f>HYPERLINK("https://creighton-primo.hosted.exlibrisgroup.com/primo-explore/search?tab=default_tab&amp;search_scope=EVERYTHING&amp;vid=01CRU&amp;lang=en_US&amp;offset=0&amp;query=any,contains,991005092469702656","Catalog Record")</f>
        <v>Catalog Record</v>
      </c>
      <c r="AT329" s="6" t="str">
        <f>HYPERLINK("http://www.worldcat.org/oclc/7245324","WorldCat Record")</f>
        <v>WorldCat Record</v>
      </c>
      <c r="AU329" s="3" t="s">
        <v>4308</v>
      </c>
      <c r="AV329" s="3" t="s">
        <v>4309</v>
      </c>
      <c r="AW329" s="3" t="s">
        <v>4310</v>
      </c>
      <c r="AX329" s="3" t="s">
        <v>4310</v>
      </c>
      <c r="AY329" s="3" t="s">
        <v>4311</v>
      </c>
      <c r="AZ329" s="3" t="s">
        <v>75</v>
      </c>
      <c r="BB329" s="3" t="s">
        <v>4312</v>
      </c>
      <c r="BC329" s="3" t="s">
        <v>4313</v>
      </c>
      <c r="BD329" s="3" t="s">
        <v>4314</v>
      </c>
    </row>
    <row r="330" spans="1:56" ht="48" customHeight="1" x14ac:dyDescent="0.25">
      <c r="A330" s="7" t="s">
        <v>59</v>
      </c>
      <c r="B330" s="2" t="s">
        <v>4315</v>
      </c>
      <c r="C330" s="2" t="s">
        <v>4316</v>
      </c>
      <c r="D330" s="2" t="s">
        <v>4317</v>
      </c>
      <c r="F330" s="3" t="s">
        <v>59</v>
      </c>
      <c r="G330" s="3" t="s">
        <v>60</v>
      </c>
      <c r="H330" s="3" t="s">
        <v>59</v>
      </c>
      <c r="I330" s="3" t="s">
        <v>59</v>
      </c>
      <c r="J330" s="3" t="s">
        <v>61</v>
      </c>
      <c r="K330" s="2" t="s">
        <v>4318</v>
      </c>
      <c r="L330" s="2" t="s">
        <v>4319</v>
      </c>
      <c r="M330" s="3" t="s">
        <v>1351</v>
      </c>
      <c r="O330" s="3" t="s">
        <v>64</v>
      </c>
      <c r="P330" s="3" t="s">
        <v>84</v>
      </c>
      <c r="R330" s="3" t="s">
        <v>67</v>
      </c>
      <c r="S330" s="4">
        <v>4</v>
      </c>
      <c r="T330" s="4">
        <v>4</v>
      </c>
      <c r="U330" s="5" t="s">
        <v>4320</v>
      </c>
      <c r="V330" s="5" t="s">
        <v>4320</v>
      </c>
      <c r="W330" s="5" t="s">
        <v>4321</v>
      </c>
      <c r="X330" s="5" t="s">
        <v>4321</v>
      </c>
      <c r="Y330" s="4">
        <v>421</v>
      </c>
      <c r="Z330" s="4">
        <v>310</v>
      </c>
      <c r="AA330" s="4">
        <v>623</v>
      </c>
      <c r="AB330" s="4">
        <v>3</v>
      </c>
      <c r="AC330" s="4">
        <v>13</v>
      </c>
      <c r="AD330" s="4">
        <v>17</v>
      </c>
      <c r="AE330" s="4">
        <v>32</v>
      </c>
      <c r="AF330" s="4">
        <v>6</v>
      </c>
      <c r="AG330" s="4">
        <v>9</v>
      </c>
      <c r="AH330" s="4">
        <v>4</v>
      </c>
      <c r="AI330" s="4">
        <v>8</v>
      </c>
      <c r="AJ330" s="4">
        <v>8</v>
      </c>
      <c r="AK330" s="4">
        <v>9</v>
      </c>
      <c r="AL330" s="4">
        <v>2</v>
      </c>
      <c r="AM330" s="4">
        <v>10</v>
      </c>
      <c r="AN330" s="4">
        <v>0</v>
      </c>
      <c r="AO330" s="4">
        <v>0</v>
      </c>
      <c r="AP330" s="3" t="s">
        <v>59</v>
      </c>
      <c r="AQ330" s="3" t="s">
        <v>59</v>
      </c>
      <c r="AS330" s="6" t="str">
        <f>HYPERLINK("https://creighton-primo.hosted.exlibrisgroup.com/primo-explore/search?tab=default_tab&amp;search_scope=EVERYTHING&amp;vid=01CRU&amp;lang=en_US&amp;offset=0&amp;query=any,contains,991004162849702656","Catalog Record")</f>
        <v>Catalog Record</v>
      </c>
      <c r="AT330" s="6" t="str">
        <f>HYPERLINK("http://www.worldcat.org/oclc/51804960","WorldCat Record")</f>
        <v>WorldCat Record</v>
      </c>
      <c r="AU330" s="3" t="s">
        <v>4322</v>
      </c>
      <c r="AV330" s="3" t="s">
        <v>4323</v>
      </c>
      <c r="AW330" s="3" t="s">
        <v>4324</v>
      </c>
      <c r="AX330" s="3" t="s">
        <v>4324</v>
      </c>
      <c r="AY330" s="3" t="s">
        <v>4325</v>
      </c>
      <c r="AZ330" s="3" t="s">
        <v>75</v>
      </c>
      <c r="BB330" s="3" t="s">
        <v>4326</v>
      </c>
      <c r="BC330" s="3" t="s">
        <v>4327</v>
      </c>
      <c r="BD330" s="3" t="s">
        <v>4328</v>
      </c>
    </row>
    <row r="331" spans="1:56" ht="48" customHeight="1" x14ac:dyDescent="0.25">
      <c r="A331" s="7" t="s">
        <v>59</v>
      </c>
      <c r="B331" s="2" t="s">
        <v>4329</v>
      </c>
      <c r="C331" s="2" t="s">
        <v>4330</v>
      </c>
      <c r="D331" s="2" t="s">
        <v>4331</v>
      </c>
      <c r="F331" s="3" t="s">
        <v>59</v>
      </c>
      <c r="G331" s="3" t="s">
        <v>60</v>
      </c>
      <c r="H331" s="3" t="s">
        <v>59</v>
      </c>
      <c r="I331" s="3" t="s">
        <v>59</v>
      </c>
      <c r="J331" s="3" t="s">
        <v>61</v>
      </c>
      <c r="K331" s="2" t="s">
        <v>4332</v>
      </c>
      <c r="L331" s="2" t="s">
        <v>4333</v>
      </c>
      <c r="M331" s="3" t="s">
        <v>348</v>
      </c>
      <c r="O331" s="3" t="s">
        <v>64</v>
      </c>
      <c r="P331" s="3" t="s">
        <v>130</v>
      </c>
      <c r="R331" s="3" t="s">
        <v>67</v>
      </c>
      <c r="S331" s="4">
        <v>6</v>
      </c>
      <c r="T331" s="4">
        <v>6</v>
      </c>
      <c r="U331" s="5" t="s">
        <v>3382</v>
      </c>
      <c r="V331" s="5" t="s">
        <v>3382</v>
      </c>
      <c r="W331" s="5" t="s">
        <v>4334</v>
      </c>
      <c r="X331" s="5" t="s">
        <v>4334</v>
      </c>
      <c r="Y331" s="4">
        <v>574</v>
      </c>
      <c r="Z331" s="4">
        <v>490</v>
      </c>
      <c r="AA331" s="4">
        <v>514</v>
      </c>
      <c r="AB331" s="4">
        <v>4</v>
      </c>
      <c r="AC331" s="4">
        <v>4</v>
      </c>
      <c r="AD331" s="4">
        <v>20</v>
      </c>
      <c r="AE331" s="4">
        <v>21</v>
      </c>
      <c r="AF331" s="4">
        <v>6</v>
      </c>
      <c r="AG331" s="4">
        <v>7</v>
      </c>
      <c r="AH331" s="4">
        <v>5</v>
      </c>
      <c r="AI331" s="4">
        <v>5</v>
      </c>
      <c r="AJ331" s="4">
        <v>10</v>
      </c>
      <c r="AK331" s="4">
        <v>11</v>
      </c>
      <c r="AL331" s="4">
        <v>3</v>
      </c>
      <c r="AM331" s="4">
        <v>3</v>
      </c>
      <c r="AN331" s="4">
        <v>0</v>
      </c>
      <c r="AO331" s="4">
        <v>0</v>
      </c>
      <c r="AP331" s="3" t="s">
        <v>59</v>
      </c>
      <c r="AQ331" s="3" t="s">
        <v>70</v>
      </c>
      <c r="AR331" s="6" t="str">
        <f>HYPERLINK("http://catalog.hathitrust.org/Record/002718287","HathiTrust Record")</f>
        <v>HathiTrust Record</v>
      </c>
      <c r="AS331" s="6" t="str">
        <f>HYPERLINK("https://creighton-primo.hosted.exlibrisgroup.com/primo-explore/search?tab=default_tab&amp;search_scope=EVERYTHING&amp;vid=01CRU&amp;lang=en_US&amp;offset=0&amp;query=any,contains,991002203879702656","Catalog Record")</f>
        <v>Catalog Record</v>
      </c>
      <c r="AT331" s="6" t="str">
        <f>HYPERLINK("http://www.worldcat.org/oclc/28345809","WorldCat Record")</f>
        <v>WorldCat Record</v>
      </c>
      <c r="AU331" s="3" t="s">
        <v>4335</v>
      </c>
      <c r="AV331" s="3" t="s">
        <v>4336</v>
      </c>
      <c r="AW331" s="3" t="s">
        <v>4337</v>
      </c>
      <c r="AX331" s="3" t="s">
        <v>4337</v>
      </c>
      <c r="AY331" s="3" t="s">
        <v>4338</v>
      </c>
      <c r="AZ331" s="3" t="s">
        <v>75</v>
      </c>
      <c r="BB331" s="3" t="s">
        <v>4339</v>
      </c>
      <c r="BC331" s="3" t="s">
        <v>4340</v>
      </c>
      <c r="BD331" s="3" t="s">
        <v>4341</v>
      </c>
    </row>
    <row r="332" spans="1:56" ht="48" customHeight="1" x14ac:dyDescent="0.25">
      <c r="A332" s="7" t="s">
        <v>59</v>
      </c>
      <c r="B332" s="2" t="s">
        <v>4342</v>
      </c>
      <c r="C332" s="2" t="s">
        <v>4343</v>
      </c>
      <c r="D332" s="2" t="s">
        <v>4344</v>
      </c>
      <c r="F332" s="3" t="s">
        <v>59</v>
      </c>
      <c r="G332" s="3" t="s">
        <v>60</v>
      </c>
      <c r="H332" s="3" t="s">
        <v>59</v>
      </c>
      <c r="I332" s="3" t="s">
        <v>59</v>
      </c>
      <c r="J332" s="3" t="s">
        <v>61</v>
      </c>
      <c r="K332" s="2" t="s">
        <v>4345</v>
      </c>
      <c r="L332" s="2" t="s">
        <v>4346</v>
      </c>
      <c r="M332" s="3" t="s">
        <v>549</v>
      </c>
      <c r="O332" s="3" t="s">
        <v>64</v>
      </c>
      <c r="P332" s="3" t="s">
        <v>176</v>
      </c>
      <c r="Q332" s="2" t="s">
        <v>576</v>
      </c>
      <c r="R332" s="3" t="s">
        <v>67</v>
      </c>
      <c r="S332" s="4">
        <v>2</v>
      </c>
      <c r="T332" s="4">
        <v>2</v>
      </c>
      <c r="U332" s="5" t="s">
        <v>4264</v>
      </c>
      <c r="V332" s="5" t="s">
        <v>4264</v>
      </c>
      <c r="W332" s="5" t="s">
        <v>501</v>
      </c>
      <c r="X332" s="5" t="s">
        <v>501</v>
      </c>
      <c r="Y332" s="4">
        <v>683</v>
      </c>
      <c r="Z332" s="4">
        <v>532</v>
      </c>
      <c r="AA332" s="4">
        <v>533</v>
      </c>
      <c r="AB332" s="4">
        <v>4</v>
      </c>
      <c r="AC332" s="4">
        <v>4</v>
      </c>
      <c r="AD332" s="4">
        <v>30</v>
      </c>
      <c r="AE332" s="4">
        <v>30</v>
      </c>
      <c r="AF332" s="4">
        <v>11</v>
      </c>
      <c r="AG332" s="4">
        <v>11</v>
      </c>
      <c r="AH332" s="4">
        <v>7</v>
      </c>
      <c r="AI332" s="4">
        <v>7</v>
      </c>
      <c r="AJ332" s="4">
        <v>16</v>
      </c>
      <c r="AK332" s="4">
        <v>16</v>
      </c>
      <c r="AL332" s="4">
        <v>3</v>
      </c>
      <c r="AM332" s="4">
        <v>3</v>
      </c>
      <c r="AN332" s="4">
        <v>0</v>
      </c>
      <c r="AO332" s="4">
        <v>0</v>
      </c>
      <c r="AP332" s="3" t="s">
        <v>59</v>
      </c>
      <c r="AQ332" s="3" t="s">
        <v>59</v>
      </c>
      <c r="AS332" s="6" t="str">
        <f>HYPERLINK("https://creighton-primo.hosted.exlibrisgroup.com/primo-explore/search?tab=default_tab&amp;search_scope=EVERYTHING&amp;vid=01CRU&amp;lang=en_US&amp;offset=0&amp;query=any,contains,991004011859702656","Catalog Record")</f>
        <v>Catalog Record</v>
      </c>
      <c r="AT332" s="6" t="str">
        <f>HYPERLINK("http://www.worldcat.org/oclc/2091665","WorldCat Record")</f>
        <v>WorldCat Record</v>
      </c>
      <c r="AU332" s="3" t="s">
        <v>4347</v>
      </c>
      <c r="AV332" s="3" t="s">
        <v>4348</v>
      </c>
      <c r="AW332" s="3" t="s">
        <v>4349</v>
      </c>
      <c r="AX332" s="3" t="s">
        <v>4349</v>
      </c>
      <c r="AY332" s="3" t="s">
        <v>4350</v>
      </c>
      <c r="AZ332" s="3" t="s">
        <v>75</v>
      </c>
      <c r="BB332" s="3" t="s">
        <v>4351</v>
      </c>
      <c r="BC332" s="3" t="s">
        <v>4352</v>
      </c>
      <c r="BD332" s="3" t="s">
        <v>4353</v>
      </c>
    </row>
    <row r="333" spans="1:56" ht="48" customHeight="1" x14ac:dyDescent="0.25">
      <c r="A333" s="7" t="s">
        <v>59</v>
      </c>
      <c r="B333" s="2" t="s">
        <v>4354</v>
      </c>
      <c r="C333" s="2" t="s">
        <v>4355</v>
      </c>
      <c r="D333" s="2" t="s">
        <v>4356</v>
      </c>
      <c r="F333" s="3" t="s">
        <v>59</v>
      </c>
      <c r="G333" s="3" t="s">
        <v>60</v>
      </c>
      <c r="H333" s="3" t="s">
        <v>59</v>
      </c>
      <c r="I333" s="3" t="s">
        <v>59</v>
      </c>
      <c r="J333" s="3" t="s">
        <v>61</v>
      </c>
      <c r="K333" s="2" t="s">
        <v>4357</v>
      </c>
      <c r="L333" s="2" t="s">
        <v>4358</v>
      </c>
      <c r="M333" s="3" t="s">
        <v>590</v>
      </c>
      <c r="O333" s="3" t="s">
        <v>64</v>
      </c>
      <c r="P333" s="3" t="s">
        <v>130</v>
      </c>
      <c r="R333" s="3" t="s">
        <v>67</v>
      </c>
      <c r="S333" s="4">
        <v>7</v>
      </c>
      <c r="T333" s="4">
        <v>7</v>
      </c>
      <c r="U333" s="5" t="s">
        <v>4359</v>
      </c>
      <c r="V333" s="5" t="s">
        <v>4359</v>
      </c>
      <c r="W333" s="5" t="s">
        <v>4360</v>
      </c>
      <c r="X333" s="5" t="s">
        <v>4360</v>
      </c>
      <c r="Y333" s="4">
        <v>162</v>
      </c>
      <c r="Z333" s="4">
        <v>104</v>
      </c>
      <c r="AA333" s="4">
        <v>165</v>
      </c>
      <c r="AB333" s="4">
        <v>1</v>
      </c>
      <c r="AC333" s="4">
        <v>1</v>
      </c>
      <c r="AD333" s="4">
        <v>4</v>
      </c>
      <c r="AE333" s="4">
        <v>6</v>
      </c>
      <c r="AF333" s="4">
        <v>1</v>
      </c>
      <c r="AG333" s="4">
        <v>3</v>
      </c>
      <c r="AH333" s="4">
        <v>1</v>
      </c>
      <c r="AI333" s="4">
        <v>1</v>
      </c>
      <c r="AJ333" s="4">
        <v>3</v>
      </c>
      <c r="AK333" s="4">
        <v>4</v>
      </c>
      <c r="AL333" s="4">
        <v>0</v>
      </c>
      <c r="AM333" s="4">
        <v>0</v>
      </c>
      <c r="AN333" s="4">
        <v>0</v>
      </c>
      <c r="AO333" s="4">
        <v>0</v>
      </c>
      <c r="AP333" s="3" t="s">
        <v>59</v>
      </c>
      <c r="AQ333" s="3" t="s">
        <v>59</v>
      </c>
      <c r="AS333" s="6" t="str">
        <f>HYPERLINK("https://creighton-primo.hosted.exlibrisgroup.com/primo-explore/search?tab=default_tab&amp;search_scope=EVERYTHING&amp;vid=01CRU&amp;lang=en_US&amp;offset=0&amp;query=any,contains,991001080209702656","Catalog Record")</f>
        <v>Catalog Record</v>
      </c>
      <c r="AT333" s="6" t="str">
        <f>HYPERLINK("http://www.worldcat.org/oclc/16085508","WorldCat Record")</f>
        <v>WorldCat Record</v>
      </c>
      <c r="AU333" s="3" t="s">
        <v>4361</v>
      </c>
      <c r="AV333" s="3" t="s">
        <v>4362</v>
      </c>
      <c r="AW333" s="3" t="s">
        <v>4363</v>
      </c>
      <c r="AX333" s="3" t="s">
        <v>4363</v>
      </c>
      <c r="AY333" s="3" t="s">
        <v>4364</v>
      </c>
      <c r="AZ333" s="3" t="s">
        <v>75</v>
      </c>
      <c r="BB333" s="3" t="s">
        <v>4365</v>
      </c>
      <c r="BC333" s="3" t="s">
        <v>4366</v>
      </c>
      <c r="BD333" s="3" t="s">
        <v>4367</v>
      </c>
    </row>
    <row r="334" spans="1:56" ht="48" customHeight="1" x14ac:dyDescent="0.25">
      <c r="A334" s="7" t="s">
        <v>59</v>
      </c>
      <c r="B334" s="2" t="s">
        <v>4368</v>
      </c>
      <c r="C334" s="2" t="s">
        <v>4369</v>
      </c>
      <c r="D334" s="2" t="s">
        <v>4370</v>
      </c>
      <c r="F334" s="3" t="s">
        <v>59</v>
      </c>
      <c r="G334" s="3" t="s">
        <v>60</v>
      </c>
      <c r="H334" s="3" t="s">
        <v>59</v>
      </c>
      <c r="I334" s="3" t="s">
        <v>59</v>
      </c>
      <c r="J334" s="3" t="s">
        <v>61</v>
      </c>
      <c r="K334" s="2" t="s">
        <v>4371</v>
      </c>
      <c r="L334" s="2" t="s">
        <v>4372</v>
      </c>
      <c r="M334" s="3" t="s">
        <v>333</v>
      </c>
      <c r="N334" s="2" t="s">
        <v>114</v>
      </c>
      <c r="O334" s="3" t="s">
        <v>64</v>
      </c>
      <c r="P334" s="3" t="s">
        <v>130</v>
      </c>
      <c r="Q334" s="2" t="s">
        <v>576</v>
      </c>
      <c r="R334" s="3" t="s">
        <v>67</v>
      </c>
      <c r="S334" s="4">
        <v>3</v>
      </c>
      <c r="T334" s="4">
        <v>3</v>
      </c>
      <c r="U334" s="5" t="s">
        <v>4131</v>
      </c>
      <c r="V334" s="5" t="s">
        <v>4131</v>
      </c>
      <c r="W334" s="5" t="s">
        <v>4360</v>
      </c>
      <c r="X334" s="5" t="s">
        <v>4360</v>
      </c>
      <c r="Y334" s="4">
        <v>387</v>
      </c>
      <c r="Z334" s="4">
        <v>267</v>
      </c>
      <c r="AA334" s="4">
        <v>785</v>
      </c>
      <c r="AB334" s="4">
        <v>1</v>
      </c>
      <c r="AC334" s="4">
        <v>3</v>
      </c>
      <c r="AD334" s="4">
        <v>14</v>
      </c>
      <c r="AE334" s="4">
        <v>36</v>
      </c>
      <c r="AF334" s="4">
        <v>6</v>
      </c>
      <c r="AG334" s="4">
        <v>19</v>
      </c>
      <c r="AH334" s="4">
        <v>6</v>
      </c>
      <c r="AI334" s="4">
        <v>7</v>
      </c>
      <c r="AJ334" s="4">
        <v>6</v>
      </c>
      <c r="AK334" s="4">
        <v>16</v>
      </c>
      <c r="AL334" s="4">
        <v>0</v>
      </c>
      <c r="AM334" s="4">
        <v>2</v>
      </c>
      <c r="AN334" s="4">
        <v>0</v>
      </c>
      <c r="AO334" s="4">
        <v>0</v>
      </c>
      <c r="AP334" s="3" t="s">
        <v>59</v>
      </c>
      <c r="AQ334" s="3" t="s">
        <v>59</v>
      </c>
      <c r="AS334" s="6" t="str">
        <f>HYPERLINK("https://creighton-primo.hosted.exlibrisgroup.com/primo-explore/search?tab=default_tab&amp;search_scope=EVERYTHING&amp;vid=01CRU&amp;lang=en_US&amp;offset=0&amp;query=any,contains,991000526449702656","Catalog Record")</f>
        <v>Catalog Record</v>
      </c>
      <c r="AT334" s="6" t="str">
        <f>HYPERLINK("http://www.worldcat.org/oclc/11371091","WorldCat Record")</f>
        <v>WorldCat Record</v>
      </c>
      <c r="AU334" s="3" t="s">
        <v>4373</v>
      </c>
      <c r="AV334" s="3" t="s">
        <v>4374</v>
      </c>
      <c r="AW334" s="3" t="s">
        <v>4375</v>
      </c>
      <c r="AX334" s="3" t="s">
        <v>4375</v>
      </c>
      <c r="AY334" s="3" t="s">
        <v>4376</v>
      </c>
      <c r="AZ334" s="3" t="s">
        <v>75</v>
      </c>
      <c r="BB334" s="3" t="s">
        <v>4377</v>
      </c>
      <c r="BC334" s="3" t="s">
        <v>4378</v>
      </c>
      <c r="BD334" s="3" t="s">
        <v>4379</v>
      </c>
    </row>
    <row r="335" spans="1:56" ht="48" customHeight="1" x14ac:dyDescent="0.25">
      <c r="A335" s="7" t="s">
        <v>59</v>
      </c>
      <c r="B335" s="2" t="s">
        <v>4380</v>
      </c>
      <c r="C335" s="2" t="s">
        <v>4381</v>
      </c>
      <c r="D335" s="2" t="s">
        <v>4382</v>
      </c>
      <c r="F335" s="3" t="s">
        <v>59</v>
      </c>
      <c r="G335" s="3" t="s">
        <v>60</v>
      </c>
      <c r="H335" s="3" t="s">
        <v>59</v>
      </c>
      <c r="I335" s="3" t="s">
        <v>59</v>
      </c>
      <c r="J335" s="3" t="s">
        <v>61</v>
      </c>
      <c r="K335" s="2" t="s">
        <v>4383</v>
      </c>
      <c r="L335" s="2" t="s">
        <v>4384</v>
      </c>
      <c r="M335" s="3" t="s">
        <v>63</v>
      </c>
      <c r="O335" s="3" t="s">
        <v>64</v>
      </c>
      <c r="P335" s="3" t="s">
        <v>912</v>
      </c>
      <c r="R335" s="3" t="s">
        <v>67</v>
      </c>
      <c r="S335" s="4">
        <v>5</v>
      </c>
      <c r="T335" s="4">
        <v>5</v>
      </c>
      <c r="U335" s="5" t="s">
        <v>4385</v>
      </c>
      <c r="V335" s="5" t="s">
        <v>4385</v>
      </c>
      <c r="W335" s="5" t="s">
        <v>2484</v>
      </c>
      <c r="X335" s="5" t="s">
        <v>2484</v>
      </c>
      <c r="Y335" s="4">
        <v>367</v>
      </c>
      <c r="Z335" s="4">
        <v>285</v>
      </c>
      <c r="AA335" s="4">
        <v>313</v>
      </c>
      <c r="AB335" s="4">
        <v>2</v>
      </c>
      <c r="AC335" s="4">
        <v>2</v>
      </c>
      <c r="AD335" s="4">
        <v>10</v>
      </c>
      <c r="AE335" s="4">
        <v>10</v>
      </c>
      <c r="AF335" s="4">
        <v>3</v>
      </c>
      <c r="AG335" s="4">
        <v>3</v>
      </c>
      <c r="AH335" s="4">
        <v>2</v>
      </c>
      <c r="AI335" s="4">
        <v>2</v>
      </c>
      <c r="AJ335" s="4">
        <v>8</v>
      </c>
      <c r="AK335" s="4">
        <v>8</v>
      </c>
      <c r="AL335" s="4">
        <v>1</v>
      </c>
      <c r="AM335" s="4">
        <v>1</v>
      </c>
      <c r="AN335" s="4">
        <v>0</v>
      </c>
      <c r="AO335" s="4">
        <v>0</v>
      </c>
      <c r="AP335" s="3" t="s">
        <v>59</v>
      </c>
      <c r="AQ335" s="3" t="s">
        <v>70</v>
      </c>
      <c r="AR335" s="6" t="str">
        <f>HYPERLINK("http://catalog.hathitrust.org/Record/000087525","HathiTrust Record")</f>
        <v>HathiTrust Record</v>
      </c>
      <c r="AS335" s="6" t="str">
        <f>HYPERLINK("https://creighton-primo.hosted.exlibrisgroup.com/primo-explore/search?tab=default_tab&amp;search_scope=EVERYTHING&amp;vid=01CRU&amp;lang=en_US&amp;offset=0&amp;query=any,contains,991004446539702656","Catalog Record")</f>
        <v>Catalog Record</v>
      </c>
      <c r="AT335" s="6" t="str">
        <f>HYPERLINK("http://www.worldcat.org/oclc/3482004","WorldCat Record")</f>
        <v>WorldCat Record</v>
      </c>
      <c r="AU335" s="3" t="s">
        <v>4386</v>
      </c>
      <c r="AV335" s="3" t="s">
        <v>4387</v>
      </c>
      <c r="AW335" s="3" t="s">
        <v>4388</v>
      </c>
      <c r="AX335" s="3" t="s">
        <v>4388</v>
      </c>
      <c r="AY335" s="3" t="s">
        <v>4389</v>
      </c>
      <c r="AZ335" s="3" t="s">
        <v>75</v>
      </c>
      <c r="BB335" s="3" t="s">
        <v>4390</v>
      </c>
      <c r="BC335" s="3" t="s">
        <v>4391</v>
      </c>
      <c r="BD335" s="3" t="s">
        <v>4392</v>
      </c>
    </row>
    <row r="336" spans="1:56" ht="48" customHeight="1" x14ac:dyDescent="0.25">
      <c r="A336" s="7" t="s">
        <v>59</v>
      </c>
      <c r="B336" s="2" t="s">
        <v>4393</v>
      </c>
      <c r="C336" s="2" t="s">
        <v>4394</v>
      </c>
      <c r="D336" s="2" t="s">
        <v>4395</v>
      </c>
      <c r="F336" s="3" t="s">
        <v>59</v>
      </c>
      <c r="G336" s="3" t="s">
        <v>60</v>
      </c>
      <c r="H336" s="3" t="s">
        <v>59</v>
      </c>
      <c r="I336" s="3" t="s">
        <v>59</v>
      </c>
      <c r="J336" s="3" t="s">
        <v>61</v>
      </c>
      <c r="L336" s="2" t="s">
        <v>4396</v>
      </c>
      <c r="M336" s="3" t="s">
        <v>234</v>
      </c>
      <c r="O336" s="3" t="s">
        <v>64</v>
      </c>
      <c r="P336" s="3" t="s">
        <v>130</v>
      </c>
      <c r="Q336" s="2" t="s">
        <v>4397</v>
      </c>
      <c r="R336" s="3" t="s">
        <v>67</v>
      </c>
      <c r="S336" s="4">
        <v>3</v>
      </c>
      <c r="T336" s="4">
        <v>3</v>
      </c>
      <c r="U336" s="5" t="s">
        <v>4398</v>
      </c>
      <c r="V336" s="5" t="s">
        <v>4398</v>
      </c>
      <c r="W336" s="5" t="s">
        <v>4399</v>
      </c>
      <c r="X336" s="5" t="s">
        <v>4399</v>
      </c>
      <c r="Y336" s="4">
        <v>271</v>
      </c>
      <c r="Z336" s="4">
        <v>175</v>
      </c>
      <c r="AA336" s="4">
        <v>193</v>
      </c>
      <c r="AB336" s="4">
        <v>2</v>
      </c>
      <c r="AC336" s="4">
        <v>2</v>
      </c>
      <c r="AD336" s="4">
        <v>9</v>
      </c>
      <c r="AE336" s="4">
        <v>9</v>
      </c>
      <c r="AF336" s="4">
        <v>3</v>
      </c>
      <c r="AG336" s="4">
        <v>3</v>
      </c>
      <c r="AH336" s="4">
        <v>3</v>
      </c>
      <c r="AI336" s="4">
        <v>3</v>
      </c>
      <c r="AJ336" s="4">
        <v>5</v>
      </c>
      <c r="AK336" s="4">
        <v>5</v>
      </c>
      <c r="AL336" s="4">
        <v>1</v>
      </c>
      <c r="AM336" s="4">
        <v>1</v>
      </c>
      <c r="AN336" s="4">
        <v>0</v>
      </c>
      <c r="AO336" s="4">
        <v>0</v>
      </c>
      <c r="AP336" s="3" t="s">
        <v>59</v>
      </c>
      <c r="AQ336" s="3" t="s">
        <v>70</v>
      </c>
      <c r="AR336" s="6" t="str">
        <f>HYPERLINK("http://catalog.hathitrust.org/Record/002237760","HathiTrust Record")</f>
        <v>HathiTrust Record</v>
      </c>
      <c r="AS336" s="6" t="str">
        <f>HYPERLINK("https://creighton-primo.hosted.exlibrisgroup.com/primo-explore/search?tab=default_tab&amp;search_scope=EVERYTHING&amp;vid=01CRU&amp;lang=en_US&amp;offset=0&amp;query=any,contains,991001416969702656","Catalog Record")</f>
        <v>Catalog Record</v>
      </c>
      <c r="AT336" s="6" t="str">
        <f>HYPERLINK("http://www.worldcat.org/oclc/18950152","WorldCat Record")</f>
        <v>WorldCat Record</v>
      </c>
      <c r="AU336" s="3" t="s">
        <v>4400</v>
      </c>
      <c r="AV336" s="3" t="s">
        <v>4401</v>
      </c>
      <c r="AW336" s="3" t="s">
        <v>4402</v>
      </c>
      <c r="AX336" s="3" t="s">
        <v>4402</v>
      </c>
      <c r="AY336" s="3" t="s">
        <v>4403</v>
      </c>
      <c r="AZ336" s="3" t="s">
        <v>75</v>
      </c>
      <c r="BB336" s="3" t="s">
        <v>4404</v>
      </c>
      <c r="BC336" s="3" t="s">
        <v>4405</v>
      </c>
      <c r="BD336" s="3" t="s">
        <v>4406</v>
      </c>
    </row>
    <row r="337" spans="1:56" ht="48" customHeight="1" x14ac:dyDescent="0.25">
      <c r="A337" s="7" t="s">
        <v>59</v>
      </c>
      <c r="B337" s="2" t="s">
        <v>4407</v>
      </c>
      <c r="C337" s="2" t="s">
        <v>4408</v>
      </c>
      <c r="D337" s="2" t="s">
        <v>4409</v>
      </c>
      <c r="F337" s="3" t="s">
        <v>59</v>
      </c>
      <c r="G337" s="3" t="s">
        <v>60</v>
      </c>
      <c r="H337" s="3" t="s">
        <v>59</v>
      </c>
      <c r="I337" s="3" t="s">
        <v>59</v>
      </c>
      <c r="J337" s="3" t="s">
        <v>61</v>
      </c>
      <c r="L337" s="2" t="s">
        <v>4410</v>
      </c>
      <c r="M337" s="3" t="s">
        <v>519</v>
      </c>
      <c r="O337" s="3" t="s">
        <v>64</v>
      </c>
      <c r="P337" s="3" t="s">
        <v>176</v>
      </c>
      <c r="Q337" s="2" t="s">
        <v>4411</v>
      </c>
      <c r="R337" s="3" t="s">
        <v>67</v>
      </c>
      <c r="S337" s="4">
        <v>6</v>
      </c>
      <c r="T337" s="4">
        <v>6</v>
      </c>
      <c r="U337" s="5" t="s">
        <v>1245</v>
      </c>
      <c r="V337" s="5" t="s">
        <v>1245</v>
      </c>
      <c r="W337" s="5" t="s">
        <v>3971</v>
      </c>
      <c r="X337" s="5" t="s">
        <v>3971</v>
      </c>
      <c r="Y337" s="4">
        <v>280</v>
      </c>
      <c r="Z337" s="4">
        <v>192</v>
      </c>
      <c r="AA337" s="4">
        <v>232</v>
      </c>
      <c r="AB337" s="4">
        <v>1</v>
      </c>
      <c r="AC337" s="4">
        <v>2</v>
      </c>
      <c r="AD337" s="4">
        <v>7</v>
      </c>
      <c r="AE337" s="4">
        <v>11</v>
      </c>
      <c r="AF337" s="4">
        <v>2</v>
      </c>
      <c r="AG337" s="4">
        <v>4</v>
      </c>
      <c r="AH337" s="4">
        <v>3</v>
      </c>
      <c r="AI337" s="4">
        <v>5</v>
      </c>
      <c r="AJ337" s="4">
        <v>4</v>
      </c>
      <c r="AK337" s="4">
        <v>4</v>
      </c>
      <c r="AL337" s="4">
        <v>0</v>
      </c>
      <c r="AM337" s="4">
        <v>1</v>
      </c>
      <c r="AN337" s="4">
        <v>0</v>
      </c>
      <c r="AO337" s="4">
        <v>0</v>
      </c>
      <c r="AP337" s="3" t="s">
        <v>59</v>
      </c>
      <c r="AQ337" s="3" t="s">
        <v>70</v>
      </c>
      <c r="AR337" s="6" t="str">
        <f>HYPERLINK("http://catalog.hathitrust.org/Record/002905573","HathiTrust Record")</f>
        <v>HathiTrust Record</v>
      </c>
      <c r="AS337" s="6" t="str">
        <f>HYPERLINK("https://creighton-primo.hosted.exlibrisgroup.com/primo-explore/search?tab=default_tab&amp;search_scope=EVERYTHING&amp;vid=01CRU&amp;lang=en_US&amp;offset=0&amp;query=any,contains,991002321809702656","Catalog Record")</f>
        <v>Catalog Record</v>
      </c>
      <c r="AT337" s="6" t="str">
        <f>HYPERLINK("http://www.worldcat.org/oclc/30110474","WorldCat Record")</f>
        <v>WorldCat Record</v>
      </c>
      <c r="AU337" s="3" t="s">
        <v>4412</v>
      </c>
      <c r="AV337" s="3" t="s">
        <v>4413</v>
      </c>
      <c r="AW337" s="3" t="s">
        <v>4414</v>
      </c>
      <c r="AX337" s="3" t="s">
        <v>4414</v>
      </c>
      <c r="AY337" s="3" t="s">
        <v>4415</v>
      </c>
      <c r="AZ337" s="3" t="s">
        <v>75</v>
      </c>
      <c r="BB337" s="3" t="s">
        <v>4416</v>
      </c>
      <c r="BC337" s="3" t="s">
        <v>4417</v>
      </c>
      <c r="BD337" s="3" t="s">
        <v>4418</v>
      </c>
    </row>
    <row r="338" spans="1:56" ht="48" customHeight="1" x14ac:dyDescent="0.25">
      <c r="A338" s="7" t="s">
        <v>59</v>
      </c>
      <c r="B338" s="2" t="s">
        <v>4419</v>
      </c>
      <c r="C338" s="2" t="s">
        <v>4420</v>
      </c>
      <c r="D338" s="2" t="s">
        <v>4421</v>
      </c>
      <c r="F338" s="3" t="s">
        <v>59</v>
      </c>
      <c r="G338" s="3" t="s">
        <v>60</v>
      </c>
      <c r="H338" s="3" t="s">
        <v>59</v>
      </c>
      <c r="I338" s="3" t="s">
        <v>59</v>
      </c>
      <c r="J338" s="3" t="s">
        <v>61</v>
      </c>
      <c r="L338" s="2" t="s">
        <v>4422</v>
      </c>
      <c r="M338" s="3" t="s">
        <v>333</v>
      </c>
      <c r="O338" s="3" t="s">
        <v>64</v>
      </c>
      <c r="P338" s="3" t="s">
        <v>130</v>
      </c>
      <c r="Q338" s="2" t="s">
        <v>4423</v>
      </c>
      <c r="R338" s="3" t="s">
        <v>67</v>
      </c>
      <c r="S338" s="4">
        <v>1</v>
      </c>
      <c r="T338" s="4">
        <v>1</v>
      </c>
      <c r="U338" s="5" t="s">
        <v>4424</v>
      </c>
      <c r="V338" s="5" t="s">
        <v>4424</v>
      </c>
      <c r="W338" s="5" t="s">
        <v>4108</v>
      </c>
      <c r="X338" s="5" t="s">
        <v>4108</v>
      </c>
      <c r="Y338" s="4">
        <v>400</v>
      </c>
      <c r="Z338" s="4">
        <v>305</v>
      </c>
      <c r="AA338" s="4">
        <v>319</v>
      </c>
      <c r="AB338" s="4">
        <v>4</v>
      </c>
      <c r="AC338" s="4">
        <v>4</v>
      </c>
      <c r="AD338" s="4">
        <v>14</v>
      </c>
      <c r="AE338" s="4">
        <v>16</v>
      </c>
      <c r="AF338" s="4">
        <v>5</v>
      </c>
      <c r="AG338" s="4">
        <v>7</v>
      </c>
      <c r="AH338" s="4">
        <v>4</v>
      </c>
      <c r="AI338" s="4">
        <v>4</v>
      </c>
      <c r="AJ338" s="4">
        <v>6</v>
      </c>
      <c r="AK338" s="4">
        <v>7</v>
      </c>
      <c r="AL338" s="4">
        <v>3</v>
      </c>
      <c r="AM338" s="4">
        <v>3</v>
      </c>
      <c r="AN338" s="4">
        <v>0</v>
      </c>
      <c r="AO338" s="4">
        <v>0</v>
      </c>
      <c r="AP338" s="3" t="s">
        <v>59</v>
      </c>
      <c r="AQ338" s="3" t="s">
        <v>70</v>
      </c>
      <c r="AR338" s="6" t="str">
        <f>HYPERLINK("http://catalog.hathitrust.org/Record/000418596","HathiTrust Record")</f>
        <v>HathiTrust Record</v>
      </c>
      <c r="AS338" s="6" t="str">
        <f>HYPERLINK("https://creighton-primo.hosted.exlibrisgroup.com/primo-explore/search?tab=default_tab&amp;search_scope=EVERYTHING&amp;vid=01CRU&amp;lang=en_US&amp;offset=0&amp;query=any,contains,991000664669702656","Catalog Record")</f>
        <v>Catalog Record</v>
      </c>
      <c r="AT338" s="6" t="str">
        <f>HYPERLINK("http://www.worldcat.org/oclc/12262942","WorldCat Record")</f>
        <v>WorldCat Record</v>
      </c>
      <c r="AU338" s="3" t="s">
        <v>4425</v>
      </c>
      <c r="AV338" s="3" t="s">
        <v>4426</v>
      </c>
      <c r="AW338" s="3" t="s">
        <v>4427</v>
      </c>
      <c r="AX338" s="3" t="s">
        <v>4427</v>
      </c>
      <c r="AY338" s="3" t="s">
        <v>4428</v>
      </c>
      <c r="AZ338" s="3" t="s">
        <v>75</v>
      </c>
      <c r="BB338" s="3" t="s">
        <v>4429</v>
      </c>
      <c r="BC338" s="3" t="s">
        <v>4430</v>
      </c>
      <c r="BD338" s="3" t="s">
        <v>4431</v>
      </c>
    </row>
    <row r="339" spans="1:56" ht="48" customHeight="1" x14ac:dyDescent="0.25">
      <c r="A339" s="7" t="s">
        <v>59</v>
      </c>
      <c r="B339" s="2" t="s">
        <v>4432</v>
      </c>
      <c r="C339" s="2" t="s">
        <v>4433</v>
      </c>
      <c r="D339" s="2" t="s">
        <v>4434</v>
      </c>
      <c r="F339" s="3" t="s">
        <v>59</v>
      </c>
      <c r="G339" s="3" t="s">
        <v>60</v>
      </c>
      <c r="H339" s="3" t="s">
        <v>59</v>
      </c>
      <c r="I339" s="3" t="s">
        <v>59</v>
      </c>
      <c r="J339" s="3" t="s">
        <v>61</v>
      </c>
      <c r="L339" s="2" t="s">
        <v>4435</v>
      </c>
      <c r="M339" s="3" t="s">
        <v>485</v>
      </c>
      <c r="O339" s="3" t="s">
        <v>64</v>
      </c>
      <c r="P339" s="3" t="s">
        <v>65</v>
      </c>
      <c r="R339" s="3" t="s">
        <v>67</v>
      </c>
      <c r="S339" s="4">
        <v>5</v>
      </c>
      <c r="T339" s="4">
        <v>5</v>
      </c>
      <c r="U339" s="5" t="s">
        <v>4436</v>
      </c>
      <c r="V339" s="5" t="s">
        <v>4436</v>
      </c>
      <c r="W339" s="5" t="s">
        <v>4108</v>
      </c>
      <c r="X339" s="5" t="s">
        <v>4108</v>
      </c>
      <c r="Y339" s="4">
        <v>258</v>
      </c>
      <c r="Z339" s="4">
        <v>212</v>
      </c>
      <c r="AA339" s="4">
        <v>215</v>
      </c>
      <c r="AB339" s="4">
        <v>2</v>
      </c>
      <c r="AC339" s="4">
        <v>2</v>
      </c>
      <c r="AD339" s="4">
        <v>7</v>
      </c>
      <c r="AE339" s="4">
        <v>7</v>
      </c>
      <c r="AF339" s="4">
        <v>2</v>
      </c>
      <c r="AG339" s="4">
        <v>2</v>
      </c>
      <c r="AH339" s="4">
        <v>2</v>
      </c>
      <c r="AI339" s="4">
        <v>2</v>
      </c>
      <c r="AJ339" s="4">
        <v>5</v>
      </c>
      <c r="AK339" s="4">
        <v>5</v>
      </c>
      <c r="AL339" s="4">
        <v>1</v>
      </c>
      <c r="AM339" s="4">
        <v>1</v>
      </c>
      <c r="AN339" s="4">
        <v>0</v>
      </c>
      <c r="AO339" s="4">
        <v>0</v>
      </c>
      <c r="AP339" s="3" t="s">
        <v>59</v>
      </c>
      <c r="AQ339" s="3" t="s">
        <v>70</v>
      </c>
      <c r="AR339" s="6" t="str">
        <f>HYPERLINK("http://catalog.hathitrust.org/Record/000024932","HathiTrust Record")</f>
        <v>HathiTrust Record</v>
      </c>
      <c r="AS339" s="6" t="str">
        <f>HYPERLINK("https://creighton-primo.hosted.exlibrisgroup.com/primo-explore/search?tab=default_tab&amp;search_scope=EVERYTHING&amp;vid=01CRU&amp;lang=en_US&amp;offset=0&amp;query=any,contains,991004745369702656","Catalog Record")</f>
        <v>Catalog Record</v>
      </c>
      <c r="AT339" s="6" t="str">
        <f>HYPERLINK("http://www.worldcat.org/oclc/4907818","WorldCat Record")</f>
        <v>WorldCat Record</v>
      </c>
      <c r="AU339" s="3" t="s">
        <v>4437</v>
      </c>
      <c r="AV339" s="3" t="s">
        <v>4438</v>
      </c>
      <c r="AW339" s="3" t="s">
        <v>4439</v>
      </c>
      <c r="AX339" s="3" t="s">
        <v>4439</v>
      </c>
      <c r="AY339" s="3" t="s">
        <v>4440</v>
      </c>
      <c r="AZ339" s="3" t="s">
        <v>75</v>
      </c>
      <c r="BB339" s="3" t="s">
        <v>4441</v>
      </c>
      <c r="BC339" s="3" t="s">
        <v>4442</v>
      </c>
      <c r="BD339" s="3" t="s">
        <v>4443</v>
      </c>
    </row>
    <row r="340" spans="1:56" ht="48" customHeight="1" x14ac:dyDescent="0.25">
      <c r="A340" s="7" t="s">
        <v>59</v>
      </c>
      <c r="B340" s="2" t="s">
        <v>4444</v>
      </c>
      <c r="C340" s="2" t="s">
        <v>4445</v>
      </c>
      <c r="D340" s="2" t="s">
        <v>4446</v>
      </c>
      <c r="F340" s="3" t="s">
        <v>59</v>
      </c>
      <c r="G340" s="3" t="s">
        <v>60</v>
      </c>
      <c r="H340" s="3" t="s">
        <v>59</v>
      </c>
      <c r="I340" s="3" t="s">
        <v>59</v>
      </c>
      <c r="J340" s="3" t="s">
        <v>61</v>
      </c>
      <c r="L340" s="2" t="s">
        <v>4447</v>
      </c>
      <c r="M340" s="3" t="s">
        <v>363</v>
      </c>
      <c r="O340" s="3" t="s">
        <v>64</v>
      </c>
      <c r="P340" s="3" t="s">
        <v>912</v>
      </c>
      <c r="R340" s="3" t="s">
        <v>67</v>
      </c>
      <c r="S340" s="4">
        <v>3</v>
      </c>
      <c r="T340" s="4">
        <v>3</v>
      </c>
      <c r="U340" s="5" t="s">
        <v>4448</v>
      </c>
      <c r="V340" s="5" t="s">
        <v>4448</v>
      </c>
      <c r="W340" s="5" t="s">
        <v>4108</v>
      </c>
      <c r="X340" s="5" t="s">
        <v>4108</v>
      </c>
      <c r="Y340" s="4">
        <v>407</v>
      </c>
      <c r="Z340" s="4">
        <v>327</v>
      </c>
      <c r="AA340" s="4">
        <v>355</v>
      </c>
      <c r="AB340" s="4">
        <v>4</v>
      </c>
      <c r="AC340" s="4">
        <v>4</v>
      </c>
      <c r="AD340" s="4">
        <v>19</v>
      </c>
      <c r="AE340" s="4">
        <v>19</v>
      </c>
      <c r="AF340" s="4">
        <v>8</v>
      </c>
      <c r="AG340" s="4">
        <v>8</v>
      </c>
      <c r="AH340" s="4">
        <v>6</v>
      </c>
      <c r="AI340" s="4">
        <v>6</v>
      </c>
      <c r="AJ340" s="4">
        <v>9</v>
      </c>
      <c r="AK340" s="4">
        <v>9</v>
      </c>
      <c r="AL340" s="4">
        <v>3</v>
      </c>
      <c r="AM340" s="4">
        <v>3</v>
      </c>
      <c r="AN340" s="4">
        <v>0</v>
      </c>
      <c r="AO340" s="4">
        <v>0</v>
      </c>
      <c r="AP340" s="3" t="s">
        <v>59</v>
      </c>
      <c r="AQ340" s="3" t="s">
        <v>70</v>
      </c>
      <c r="AR340" s="6" t="str">
        <f>HYPERLINK("http://catalog.hathitrust.org/Record/000272446","HathiTrust Record")</f>
        <v>HathiTrust Record</v>
      </c>
      <c r="AS340" s="6" t="str">
        <f>HYPERLINK("https://creighton-primo.hosted.exlibrisgroup.com/primo-explore/search?tab=default_tab&amp;search_scope=EVERYTHING&amp;vid=01CRU&amp;lang=en_US&amp;offset=0&amp;query=any,contains,991005219789702656","Catalog Record")</f>
        <v>Catalog Record</v>
      </c>
      <c r="AT340" s="6" t="str">
        <f>HYPERLINK("http://www.worldcat.org/oclc/8220218","WorldCat Record")</f>
        <v>WorldCat Record</v>
      </c>
      <c r="AU340" s="3" t="s">
        <v>4449</v>
      </c>
      <c r="AV340" s="3" t="s">
        <v>4450</v>
      </c>
      <c r="AW340" s="3" t="s">
        <v>4451</v>
      </c>
      <c r="AX340" s="3" t="s">
        <v>4451</v>
      </c>
      <c r="AY340" s="3" t="s">
        <v>4452</v>
      </c>
      <c r="AZ340" s="3" t="s">
        <v>75</v>
      </c>
      <c r="BB340" s="3" t="s">
        <v>4453</v>
      </c>
      <c r="BC340" s="3" t="s">
        <v>4454</v>
      </c>
      <c r="BD340" s="3" t="s">
        <v>4455</v>
      </c>
    </row>
    <row r="341" spans="1:56" ht="48" customHeight="1" x14ac:dyDescent="0.25">
      <c r="A341" s="7" t="s">
        <v>59</v>
      </c>
      <c r="B341" s="2" t="s">
        <v>4456</v>
      </c>
      <c r="C341" s="2" t="s">
        <v>4457</v>
      </c>
      <c r="D341" s="2" t="s">
        <v>4458</v>
      </c>
      <c r="F341" s="3" t="s">
        <v>59</v>
      </c>
      <c r="G341" s="3" t="s">
        <v>60</v>
      </c>
      <c r="H341" s="3" t="s">
        <v>59</v>
      </c>
      <c r="I341" s="3" t="s">
        <v>70</v>
      </c>
      <c r="J341" s="3" t="s">
        <v>61</v>
      </c>
      <c r="K341" s="2" t="s">
        <v>4459</v>
      </c>
      <c r="L341" s="2" t="s">
        <v>4460</v>
      </c>
      <c r="M341" s="3" t="s">
        <v>1611</v>
      </c>
      <c r="O341" s="3" t="s">
        <v>64</v>
      </c>
      <c r="P341" s="3" t="s">
        <v>264</v>
      </c>
      <c r="R341" s="3" t="s">
        <v>67</v>
      </c>
      <c r="S341" s="4">
        <v>7</v>
      </c>
      <c r="T341" s="4">
        <v>7</v>
      </c>
      <c r="U341" s="5" t="s">
        <v>4461</v>
      </c>
      <c r="V341" s="5" t="s">
        <v>4461</v>
      </c>
      <c r="W341" s="5" t="s">
        <v>4462</v>
      </c>
      <c r="X341" s="5" t="s">
        <v>4462</v>
      </c>
      <c r="Y341" s="4">
        <v>183</v>
      </c>
      <c r="Z341" s="4">
        <v>118</v>
      </c>
      <c r="AA341" s="4">
        <v>449</v>
      </c>
      <c r="AB341" s="4">
        <v>1</v>
      </c>
      <c r="AC341" s="4">
        <v>4</v>
      </c>
      <c r="AD341" s="4">
        <v>8</v>
      </c>
      <c r="AE341" s="4">
        <v>15</v>
      </c>
      <c r="AF341" s="4">
        <v>2</v>
      </c>
      <c r="AG341" s="4">
        <v>3</v>
      </c>
      <c r="AH341" s="4">
        <v>2</v>
      </c>
      <c r="AI341" s="4">
        <v>3</v>
      </c>
      <c r="AJ341" s="4">
        <v>6</v>
      </c>
      <c r="AK341" s="4">
        <v>8</v>
      </c>
      <c r="AL341" s="4">
        <v>0</v>
      </c>
      <c r="AM341" s="4">
        <v>3</v>
      </c>
      <c r="AN341" s="4">
        <v>0</v>
      </c>
      <c r="AO341" s="4">
        <v>0</v>
      </c>
      <c r="AP341" s="3" t="s">
        <v>59</v>
      </c>
      <c r="AQ341" s="3" t="s">
        <v>70</v>
      </c>
      <c r="AR341" s="6" t="str">
        <f>HYPERLINK("http://catalog.hathitrust.org/Record/003062578","HathiTrust Record")</f>
        <v>HathiTrust Record</v>
      </c>
      <c r="AS341" s="6" t="str">
        <f>HYPERLINK("https://creighton-primo.hosted.exlibrisgroup.com/primo-explore/search?tab=default_tab&amp;search_scope=EVERYTHING&amp;vid=01CRU&amp;lang=en_US&amp;offset=0&amp;query=any,contains,991002591579702656","Catalog Record")</f>
        <v>Catalog Record</v>
      </c>
      <c r="AT341" s="6" t="str">
        <f>HYPERLINK("http://www.worldcat.org/oclc/33948955","WorldCat Record")</f>
        <v>WorldCat Record</v>
      </c>
      <c r="AU341" s="3" t="s">
        <v>4463</v>
      </c>
      <c r="AV341" s="3" t="s">
        <v>4464</v>
      </c>
      <c r="AW341" s="3" t="s">
        <v>4465</v>
      </c>
      <c r="AX341" s="3" t="s">
        <v>4465</v>
      </c>
      <c r="AY341" s="3" t="s">
        <v>4466</v>
      </c>
      <c r="AZ341" s="3" t="s">
        <v>75</v>
      </c>
      <c r="BB341" s="3" t="s">
        <v>4467</v>
      </c>
      <c r="BC341" s="3" t="s">
        <v>4468</v>
      </c>
      <c r="BD341" s="3" t="s">
        <v>4469</v>
      </c>
    </row>
    <row r="342" spans="1:56" ht="48" customHeight="1" x14ac:dyDescent="0.25">
      <c r="A342" s="7" t="s">
        <v>59</v>
      </c>
      <c r="B342" s="2" t="s">
        <v>4470</v>
      </c>
      <c r="C342" s="2" t="s">
        <v>4471</v>
      </c>
      <c r="D342" s="2" t="s">
        <v>4472</v>
      </c>
      <c r="F342" s="3" t="s">
        <v>59</v>
      </c>
      <c r="G342" s="3" t="s">
        <v>60</v>
      </c>
      <c r="H342" s="3" t="s">
        <v>59</v>
      </c>
      <c r="I342" s="3" t="s">
        <v>70</v>
      </c>
      <c r="J342" s="3" t="s">
        <v>61</v>
      </c>
      <c r="K342" s="2" t="s">
        <v>4459</v>
      </c>
      <c r="L342" s="2" t="s">
        <v>4473</v>
      </c>
      <c r="M342" s="3" t="s">
        <v>3113</v>
      </c>
      <c r="N342" s="2" t="s">
        <v>926</v>
      </c>
      <c r="O342" s="3" t="s">
        <v>64</v>
      </c>
      <c r="P342" s="3" t="s">
        <v>264</v>
      </c>
      <c r="R342" s="3" t="s">
        <v>67</v>
      </c>
      <c r="S342" s="4">
        <v>9</v>
      </c>
      <c r="T342" s="4">
        <v>9</v>
      </c>
      <c r="U342" s="5" t="s">
        <v>4474</v>
      </c>
      <c r="V342" s="5" t="s">
        <v>4474</v>
      </c>
      <c r="W342" s="5" t="s">
        <v>4475</v>
      </c>
      <c r="X342" s="5" t="s">
        <v>4475</v>
      </c>
      <c r="Y342" s="4">
        <v>184</v>
      </c>
      <c r="Z342" s="4">
        <v>104</v>
      </c>
      <c r="AA342" s="4">
        <v>449</v>
      </c>
      <c r="AB342" s="4">
        <v>1</v>
      </c>
      <c r="AC342" s="4">
        <v>4</v>
      </c>
      <c r="AD342" s="4">
        <v>2</v>
      </c>
      <c r="AE342" s="4">
        <v>15</v>
      </c>
      <c r="AF342" s="4">
        <v>0</v>
      </c>
      <c r="AG342" s="4">
        <v>3</v>
      </c>
      <c r="AH342" s="4">
        <v>1</v>
      </c>
      <c r="AI342" s="4">
        <v>3</v>
      </c>
      <c r="AJ342" s="4">
        <v>2</v>
      </c>
      <c r="AK342" s="4">
        <v>8</v>
      </c>
      <c r="AL342" s="4">
        <v>0</v>
      </c>
      <c r="AM342" s="4">
        <v>3</v>
      </c>
      <c r="AN342" s="4">
        <v>0</v>
      </c>
      <c r="AO342" s="4">
        <v>0</v>
      </c>
      <c r="AP342" s="3" t="s">
        <v>59</v>
      </c>
      <c r="AQ342" s="3" t="s">
        <v>59</v>
      </c>
      <c r="AS342" s="6" t="str">
        <f>HYPERLINK("https://creighton-primo.hosted.exlibrisgroup.com/primo-explore/search?tab=default_tab&amp;search_scope=EVERYTHING&amp;vid=01CRU&amp;lang=en_US&amp;offset=0&amp;query=any,contains,991003860119702656","Catalog Record")</f>
        <v>Catalog Record</v>
      </c>
      <c r="AT342" s="6" t="str">
        <f>HYPERLINK("http://www.worldcat.org/oclc/47119598","WorldCat Record")</f>
        <v>WorldCat Record</v>
      </c>
      <c r="AU342" s="3" t="s">
        <v>4463</v>
      </c>
      <c r="AV342" s="3" t="s">
        <v>4476</v>
      </c>
      <c r="AW342" s="3" t="s">
        <v>4477</v>
      </c>
      <c r="AX342" s="3" t="s">
        <v>4477</v>
      </c>
      <c r="AY342" s="3" t="s">
        <v>4478</v>
      </c>
      <c r="AZ342" s="3" t="s">
        <v>75</v>
      </c>
      <c r="BB342" s="3" t="s">
        <v>4479</v>
      </c>
      <c r="BC342" s="3" t="s">
        <v>4480</v>
      </c>
      <c r="BD342" s="3" t="s">
        <v>4481</v>
      </c>
    </row>
    <row r="343" spans="1:56" ht="48" customHeight="1" x14ac:dyDescent="0.25">
      <c r="A343" s="7" t="s">
        <v>59</v>
      </c>
      <c r="B343" s="2" t="s">
        <v>4482</v>
      </c>
      <c r="C343" s="2" t="s">
        <v>4483</v>
      </c>
      <c r="D343" s="2" t="s">
        <v>4484</v>
      </c>
      <c r="F343" s="3" t="s">
        <v>59</v>
      </c>
      <c r="G343" s="3" t="s">
        <v>60</v>
      </c>
      <c r="H343" s="3" t="s">
        <v>59</v>
      </c>
      <c r="I343" s="3" t="s">
        <v>59</v>
      </c>
      <c r="J343" s="3" t="s">
        <v>61</v>
      </c>
      <c r="K343" s="2" t="s">
        <v>4485</v>
      </c>
      <c r="L343" s="2" t="s">
        <v>4486</v>
      </c>
      <c r="M343" s="3" t="s">
        <v>113</v>
      </c>
      <c r="O343" s="3" t="s">
        <v>64</v>
      </c>
      <c r="P343" s="3" t="s">
        <v>84</v>
      </c>
      <c r="Q343" s="2" t="s">
        <v>4487</v>
      </c>
      <c r="R343" s="3" t="s">
        <v>67</v>
      </c>
      <c r="S343" s="4">
        <v>4</v>
      </c>
      <c r="T343" s="4">
        <v>4</v>
      </c>
      <c r="U343" s="5" t="s">
        <v>4488</v>
      </c>
      <c r="V343" s="5" t="s">
        <v>4488</v>
      </c>
      <c r="W343" s="5" t="s">
        <v>4108</v>
      </c>
      <c r="X343" s="5" t="s">
        <v>4108</v>
      </c>
      <c r="Y343" s="4">
        <v>568</v>
      </c>
      <c r="Z343" s="4">
        <v>427</v>
      </c>
      <c r="AA343" s="4">
        <v>478</v>
      </c>
      <c r="AB343" s="4">
        <v>4</v>
      </c>
      <c r="AC343" s="4">
        <v>5</v>
      </c>
      <c r="AD343" s="4">
        <v>24</v>
      </c>
      <c r="AE343" s="4">
        <v>29</v>
      </c>
      <c r="AF343" s="4">
        <v>8</v>
      </c>
      <c r="AG343" s="4">
        <v>10</v>
      </c>
      <c r="AH343" s="4">
        <v>6</v>
      </c>
      <c r="AI343" s="4">
        <v>6</v>
      </c>
      <c r="AJ343" s="4">
        <v>16</v>
      </c>
      <c r="AK343" s="4">
        <v>19</v>
      </c>
      <c r="AL343" s="4">
        <v>3</v>
      </c>
      <c r="AM343" s="4">
        <v>4</v>
      </c>
      <c r="AN343" s="4">
        <v>0</v>
      </c>
      <c r="AO343" s="4">
        <v>0</v>
      </c>
      <c r="AP343" s="3" t="s">
        <v>59</v>
      </c>
      <c r="AQ343" s="3" t="s">
        <v>70</v>
      </c>
      <c r="AR343" s="6" t="str">
        <f>HYPERLINK("http://catalog.hathitrust.org/Record/000806261","HathiTrust Record")</f>
        <v>HathiTrust Record</v>
      </c>
      <c r="AS343" s="6" t="str">
        <f>HYPERLINK("https://creighton-primo.hosted.exlibrisgroup.com/primo-explore/search?tab=default_tab&amp;search_scope=EVERYTHING&amp;vid=01CRU&amp;lang=en_US&amp;offset=0&amp;query=any,contains,991000867479702656","Catalog Record")</f>
        <v>Catalog Record</v>
      </c>
      <c r="AT343" s="6" t="str">
        <f>HYPERLINK("http://www.worldcat.org/oclc/13760742","WorldCat Record")</f>
        <v>WorldCat Record</v>
      </c>
      <c r="AU343" s="3" t="s">
        <v>4489</v>
      </c>
      <c r="AV343" s="3" t="s">
        <v>4490</v>
      </c>
      <c r="AW343" s="3" t="s">
        <v>4491</v>
      </c>
      <c r="AX343" s="3" t="s">
        <v>4491</v>
      </c>
      <c r="AY343" s="3" t="s">
        <v>4492</v>
      </c>
      <c r="AZ343" s="3" t="s">
        <v>75</v>
      </c>
      <c r="BB343" s="3" t="s">
        <v>4493</v>
      </c>
      <c r="BC343" s="3" t="s">
        <v>4494</v>
      </c>
      <c r="BD343" s="3" t="s">
        <v>4495</v>
      </c>
    </row>
    <row r="344" spans="1:56" ht="48" customHeight="1" x14ac:dyDescent="0.25">
      <c r="A344" s="7" t="s">
        <v>59</v>
      </c>
      <c r="B344" s="2" t="s">
        <v>4496</v>
      </c>
      <c r="C344" s="2" t="s">
        <v>4497</v>
      </c>
      <c r="D344" s="2" t="s">
        <v>4498</v>
      </c>
      <c r="F344" s="3" t="s">
        <v>59</v>
      </c>
      <c r="G344" s="3" t="s">
        <v>60</v>
      </c>
      <c r="H344" s="3" t="s">
        <v>59</v>
      </c>
      <c r="I344" s="3" t="s">
        <v>59</v>
      </c>
      <c r="J344" s="3" t="s">
        <v>61</v>
      </c>
      <c r="K344" s="2" t="s">
        <v>4499</v>
      </c>
      <c r="L344" s="2" t="s">
        <v>4500</v>
      </c>
      <c r="M344" s="3" t="s">
        <v>1817</v>
      </c>
      <c r="O344" s="3" t="s">
        <v>64</v>
      </c>
      <c r="P344" s="3" t="s">
        <v>264</v>
      </c>
      <c r="R344" s="3" t="s">
        <v>67</v>
      </c>
      <c r="S344" s="4">
        <v>1</v>
      </c>
      <c r="T344" s="4">
        <v>1</v>
      </c>
      <c r="U344" s="5" t="s">
        <v>4501</v>
      </c>
      <c r="V344" s="5" t="s">
        <v>4501</v>
      </c>
      <c r="W344" s="5" t="s">
        <v>4501</v>
      </c>
      <c r="X344" s="5" t="s">
        <v>4501</v>
      </c>
      <c r="Y344" s="4">
        <v>372</v>
      </c>
      <c r="Z344" s="4">
        <v>223</v>
      </c>
      <c r="AA344" s="4">
        <v>224</v>
      </c>
      <c r="AB344" s="4">
        <v>2</v>
      </c>
      <c r="AC344" s="4">
        <v>2</v>
      </c>
      <c r="AD344" s="4">
        <v>12</v>
      </c>
      <c r="AE344" s="4">
        <v>12</v>
      </c>
      <c r="AF344" s="4">
        <v>3</v>
      </c>
      <c r="AG344" s="4">
        <v>3</v>
      </c>
      <c r="AH344" s="4">
        <v>6</v>
      </c>
      <c r="AI344" s="4">
        <v>6</v>
      </c>
      <c r="AJ344" s="4">
        <v>7</v>
      </c>
      <c r="AK344" s="4">
        <v>7</v>
      </c>
      <c r="AL344" s="4">
        <v>1</v>
      </c>
      <c r="AM344" s="4">
        <v>1</v>
      </c>
      <c r="AN344" s="4">
        <v>0</v>
      </c>
      <c r="AO344" s="4">
        <v>0</v>
      </c>
      <c r="AP344" s="3" t="s">
        <v>59</v>
      </c>
      <c r="AQ344" s="3" t="s">
        <v>59</v>
      </c>
      <c r="AS344" s="6" t="str">
        <f>HYPERLINK("https://creighton-primo.hosted.exlibrisgroup.com/primo-explore/search?tab=default_tab&amp;search_scope=EVERYTHING&amp;vid=01CRU&amp;lang=en_US&amp;offset=0&amp;query=any,contains,991004380069702656","Catalog Record")</f>
        <v>Catalog Record</v>
      </c>
      <c r="AT344" s="6" t="str">
        <f>HYPERLINK("http://www.worldcat.org/oclc/50410325","WorldCat Record")</f>
        <v>WorldCat Record</v>
      </c>
      <c r="AU344" s="3" t="s">
        <v>4502</v>
      </c>
      <c r="AV344" s="3" t="s">
        <v>4503</v>
      </c>
      <c r="AW344" s="3" t="s">
        <v>4504</v>
      </c>
      <c r="AX344" s="3" t="s">
        <v>4504</v>
      </c>
      <c r="AY344" s="3" t="s">
        <v>4505</v>
      </c>
      <c r="AZ344" s="3" t="s">
        <v>75</v>
      </c>
      <c r="BB344" s="3" t="s">
        <v>4506</v>
      </c>
      <c r="BC344" s="3" t="s">
        <v>4507</v>
      </c>
      <c r="BD344" s="3" t="s">
        <v>4508</v>
      </c>
    </row>
    <row r="345" spans="1:56" ht="48" customHeight="1" x14ac:dyDescent="0.25">
      <c r="A345" s="7" t="s">
        <v>59</v>
      </c>
      <c r="B345" s="2" t="s">
        <v>4509</v>
      </c>
      <c r="C345" s="2" t="s">
        <v>4510</v>
      </c>
      <c r="D345" s="2" t="s">
        <v>4511</v>
      </c>
      <c r="F345" s="3" t="s">
        <v>59</v>
      </c>
      <c r="G345" s="3" t="s">
        <v>60</v>
      </c>
      <c r="H345" s="3" t="s">
        <v>59</v>
      </c>
      <c r="I345" s="3" t="s">
        <v>59</v>
      </c>
      <c r="J345" s="3" t="s">
        <v>61</v>
      </c>
      <c r="L345" s="2" t="s">
        <v>4512</v>
      </c>
      <c r="M345" s="3" t="s">
        <v>83</v>
      </c>
      <c r="N345" s="2" t="s">
        <v>4513</v>
      </c>
      <c r="O345" s="3" t="s">
        <v>64</v>
      </c>
      <c r="P345" s="3" t="s">
        <v>264</v>
      </c>
      <c r="Q345" s="2" t="s">
        <v>4514</v>
      </c>
      <c r="R345" s="3" t="s">
        <v>67</v>
      </c>
      <c r="S345" s="4">
        <v>1</v>
      </c>
      <c r="T345" s="4">
        <v>1</v>
      </c>
      <c r="U345" s="5" t="s">
        <v>4515</v>
      </c>
      <c r="V345" s="5" t="s">
        <v>4515</v>
      </c>
      <c r="W345" s="5" t="s">
        <v>4516</v>
      </c>
      <c r="X345" s="5" t="s">
        <v>4516</v>
      </c>
      <c r="Y345" s="4">
        <v>315</v>
      </c>
      <c r="Z345" s="4">
        <v>242</v>
      </c>
      <c r="AA345" s="4">
        <v>270</v>
      </c>
      <c r="AB345" s="4">
        <v>3</v>
      </c>
      <c r="AC345" s="4">
        <v>3</v>
      </c>
      <c r="AD345" s="4">
        <v>12</v>
      </c>
      <c r="AE345" s="4">
        <v>12</v>
      </c>
      <c r="AF345" s="4">
        <v>0</v>
      </c>
      <c r="AG345" s="4">
        <v>0</v>
      </c>
      <c r="AH345" s="4">
        <v>5</v>
      </c>
      <c r="AI345" s="4">
        <v>5</v>
      </c>
      <c r="AJ345" s="4">
        <v>7</v>
      </c>
      <c r="AK345" s="4">
        <v>7</v>
      </c>
      <c r="AL345" s="4">
        <v>2</v>
      </c>
      <c r="AM345" s="4">
        <v>2</v>
      </c>
      <c r="AN345" s="4">
        <v>0</v>
      </c>
      <c r="AO345" s="4">
        <v>0</v>
      </c>
      <c r="AP345" s="3" t="s">
        <v>59</v>
      </c>
      <c r="AQ345" s="3" t="s">
        <v>59</v>
      </c>
      <c r="AS345" s="6" t="str">
        <f>HYPERLINK("https://creighton-primo.hosted.exlibrisgroup.com/primo-explore/search?tab=default_tab&amp;search_scope=EVERYTHING&amp;vid=01CRU&amp;lang=en_US&amp;offset=0&amp;query=any,contains,991002727119702656","Catalog Record")</f>
        <v>Catalog Record</v>
      </c>
      <c r="AT345" s="6" t="str">
        <f>HYPERLINK("http://www.worldcat.org/oclc/35770854","WorldCat Record")</f>
        <v>WorldCat Record</v>
      </c>
      <c r="AU345" s="3" t="s">
        <v>4517</v>
      </c>
      <c r="AV345" s="3" t="s">
        <v>4518</v>
      </c>
      <c r="AW345" s="3" t="s">
        <v>4519</v>
      </c>
      <c r="AX345" s="3" t="s">
        <v>4519</v>
      </c>
      <c r="AY345" s="3" t="s">
        <v>4520</v>
      </c>
      <c r="AZ345" s="3" t="s">
        <v>75</v>
      </c>
      <c r="BB345" s="3" t="s">
        <v>4521</v>
      </c>
      <c r="BC345" s="3" t="s">
        <v>4522</v>
      </c>
      <c r="BD345" s="3" t="s">
        <v>4523</v>
      </c>
    </row>
    <row r="346" spans="1:56" ht="48" customHeight="1" x14ac:dyDescent="0.25">
      <c r="A346" s="7" t="s">
        <v>59</v>
      </c>
      <c r="B346" s="2" t="s">
        <v>4524</v>
      </c>
      <c r="C346" s="2" t="s">
        <v>4525</v>
      </c>
      <c r="D346" s="2" t="s">
        <v>4526</v>
      </c>
      <c r="F346" s="3" t="s">
        <v>59</v>
      </c>
      <c r="G346" s="3" t="s">
        <v>60</v>
      </c>
      <c r="H346" s="3" t="s">
        <v>59</v>
      </c>
      <c r="I346" s="3" t="s">
        <v>59</v>
      </c>
      <c r="J346" s="3" t="s">
        <v>61</v>
      </c>
      <c r="L346" s="2" t="s">
        <v>4527</v>
      </c>
      <c r="M346" s="3" t="s">
        <v>1171</v>
      </c>
      <c r="O346" s="3" t="s">
        <v>64</v>
      </c>
      <c r="P346" s="3" t="s">
        <v>264</v>
      </c>
      <c r="Q346" s="2" t="s">
        <v>4528</v>
      </c>
      <c r="R346" s="3" t="s">
        <v>67</v>
      </c>
      <c r="S346" s="4">
        <v>1</v>
      </c>
      <c r="T346" s="4">
        <v>1</v>
      </c>
      <c r="U346" s="5" t="s">
        <v>4529</v>
      </c>
      <c r="V346" s="5" t="s">
        <v>4529</v>
      </c>
      <c r="W346" s="5" t="s">
        <v>4529</v>
      </c>
      <c r="X346" s="5" t="s">
        <v>4529</v>
      </c>
      <c r="Y346" s="4">
        <v>214</v>
      </c>
      <c r="Z346" s="4">
        <v>142</v>
      </c>
      <c r="AA346" s="4">
        <v>180</v>
      </c>
      <c r="AB346" s="4">
        <v>3</v>
      </c>
      <c r="AC346" s="4">
        <v>3</v>
      </c>
      <c r="AD346" s="4">
        <v>5</v>
      </c>
      <c r="AE346" s="4">
        <v>6</v>
      </c>
      <c r="AF346" s="4">
        <v>1</v>
      </c>
      <c r="AG346" s="4">
        <v>1</v>
      </c>
      <c r="AH346" s="4">
        <v>1</v>
      </c>
      <c r="AI346" s="4">
        <v>1</v>
      </c>
      <c r="AJ346" s="4">
        <v>1</v>
      </c>
      <c r="AK346" s="4">
        <v>2</v>
      </c>
      <c r="AL346" s="4">
        <v>2</v>
      </c>
      <c r="AM346" s="4">
        <v>2</v>
      </c>
      <c r="AN346" s="4">
        <v>0</v>
      </c>
      <c r="AO346" s="4">
        <v>0</v>
      </c>
      <c r="AP346" s="3" t="s">
        <v>59</v>
      </c>
      <c r="AQ346" s="3" t="s">
        <v>59</v>
      </c>
      <c r="AS346" s="6" t="str">
        <f>HYPERLINK("https://creighton-primo.hosted.exlibrisgroup.com/primo-explore/search?tab=default_tab&amp;search_scope=EVERYTHING&amp;vid=01CRU&amp;lang=en_US&amp;offset=0&amp;query=any,contains,991005167679702656","Catalog Record")</f>
        <v>Catalog Record</v>
      </c>
      <c r="AT346" s="6" t="str">
        <f>HYPERLINK("http://www.worldcat.org/oclc/58043127","WorldCat Record")</f>
        <v>WorldCat Record</v>
      </c>
      <c r="AU346" s="3" t="s">
        <v>4530</v>
      </c>
      <c r="AV346" s="3" t="s">
        <v>4531</v>
      </c>
      <c r="AW346" s="3" t="s">
        <v>4532</v>
      </c>
      <c r="AX346" s="3" t="s">
        <v>4532</v>
      </c>
      <c r="AY346" s="3" t="s">
        <v>4533</v>
      </c>
      <c r="AZ346" s="3" t="s">
        <v>75</v>
      </c>
      <c r="BB346" s="3" t="s">
        <v>4534</v>
      </c>
      <c r="BC346" s="3" t="s">
        <v>4535</v>
      </c>
      <c r="BD346" s="3" t="s">
        <v>4536</v>
      </c>
    </row>
    <row r="347" spans="1:56" ht="48" customHeight="1" x14ac:dyDescent="0.25">
      <c r="A347" s="7" t="s">
        <v>59</v>
      </c>
      <c r="B347" s="2" t="s">
        <v>4537</v>
      </c>
      <c r="C347" s="2" t="s">
        <v>4538</v>
      </c>
      <c r="D347" s="2" t="s">
        <v>4539</v>
      </c>
      <c r="F347" s="3" t="s">
        <v>59</v>
      </c>
      <c r="G347" s="3" t="s">
        <v>60</v>
      </c>
      <c r="H347" s="3" t="s">
        <v>59</v>
      </c>
      <c r="I347" s="3" t="s">
        <v>59</v>
      </c>
      <c r="J347" s="3" t="s">
        <v>61</v>
      </c>
      <c r="L347" s="2" t="s">
        <v>4540</v>
      </c>
      <c r="M347" s="3" t="s">
        <v>1986</v>
      </c>
      <c r="O347" s="3" t="s">
        <v>64</v>
      </c>
      <c r="P347" s="3" t="s">
        <v>115</v>
      </c>
      <c r="R347" s="3" t="s">
        <v>67</v>
      </c>
      <c r="S347" s="4">
        <v>2</v>
      </c>
      <c r="T347" s="4">
        <v>2</v>
      </c>
      <c r="U347" s="5" t="s">
        <v>4541</v>
      </c>
      <c r="V347" s="5" t="s">
        <v>4541</v>
      </c>
      <c r="W347" s="5" t="s">
        <v>4542</v>
      </c>
      <c r="X347" s="5" t="s">
        <v>4542</v>
      </c>
      <c r="Y347" s="4">
        <v>654</v>
      </c>
      <c r="Z347" s="4">
        <v>486</v>
      </c>
      <c r="AA347" s="4">
        <v>505</v>
      </c>
      <c r="AB347" s="4">
        <v>4</v>
      </c>
      <c r="AC347" s="4">
        <v>4</v>
      </c>
      <c r="AD347" s="4">
        <v>28</v>
      </c>
      <c r="AE347" s="4">
        <v>28</v>
      </c>
      <c r="AF347" s="4">
        <v>8</v>
      </c>
      <c r="AG347" s="4">
        <v>8</v>
      </c>
      <c r="AH347" s="4">
        <v>9</v>
      </c>
      <c r="AI347" s="4">
        <v>9</v>
      </c>
      <c r="AJ347" s="4">
        <v>17</v>
      </c>
      <c r="AK347" s="4">
        <v>17</v>
      </c>
      <c r="AL347" s="4">
        <v>3</v>
      </c>
      <c r="AM347" s="4">
        <v>3</v>
      </c>
      <c r="AN347" s="4">
        <v>0</v>
      </c>
      <c r="AO347" s="4">
        <v>0</v>
      </c>
      <c r="AP347" s="3" t="s">
        <v>59</v>
      </c>
      <c r="AQ347" s="3" t="s">
        <v>59</v>
      </c>
      <c r="AS347" s="6" t="str">
        <f>HYPERLINK("https://creighton-primo.hosted.exlibrisgroup.com/primo-explore/search?tab=default_tab&amp;search_scope=EVERYTHING&amp;vid=01CRU&amp;lang=en_US&amp;offset=0&amp;query=any,contains,991003583029702656","Catalog Record")</f>
        <v>Catalog Record</v>
      </c>
      <c r="AT347" s="6" t="str">
        <f>HYPERLINK("http://www.worldcat.org/oclc/44427293","WorldCat Record")</f>
        <v>WorldCat Record</v>
      </c>
      <c r="AU347" s="3" t="s">
        <v>4543</v>
      </c>
      <c r="AV347" s="3" t="s">
        <v>4544</v>
      </c>
      <c r="AW347" s="3" t="s">
        <v>4545</v>
      </c>
      <c r="AX347" s="3" t="s">
        <v>4545</v>
      </c>
      <c r="AY347" s="3" t="s">
        <v>4546</v>
      </c>
      <c r="AZ347" s="3" t="s">
        <v>75</v>
      </c>
      <c r="BB347" s="3" t="s">
        <v>4547</v>
      </c>
      <c r="BC347" s="3" t="s">
        <v>4548</v>
      </c>
      <c r="BD347" s="3" t="s">
        <v>4549</v>
      </c>
    </row>
    <row r="348" spans="1:56" ht="48" customHeight="1" x14ac:dyDescent="0.25">
      <c r="A348" s="7" t="s">
        <v>59</v>
      </c>
      <c r="B348" s="2" t="s">
        <v>4550</v>
      </c>
      <c r="C348" s="2" t="s">
        <v>4551</v>
      </c>
      <c r="D348" s="2" t="s">
        <v>4552</v>
      </c>
      <c r="F348" s="3" t="s">
        <v>59</v>
      </c>
      <c r="G348" s="3" t="s">
        <v>60</v>
      </c>
      <c r="H348" s="3" t="s">
        <v>59</v>
      </c>
      <c r="I348" s="3" t="s">
        <v>59</v>
      </c>
      <c r="J348" s="3" t="s">
        <v>61</v>
      </c>
      <c r="L348" s="2" t="s">
        <v>4553</v>
      </c>
      <c r="M348" s="3" t="s">
        <v>604</v>
      </c>
      <c r="O348" s="3" t="s">
        <v>64</v>
      </c>
      <c r="P348" s="3" t="s">
        <v>264</v>
      </c>
      <c r="Q348" s="2" t="s">
        <v>4554</v>
      </c>
      <c r="R348" s="3" t="s">
        <v>67</v>
      </c>
      <c r="S348" s="4">
        <v>8</v>
      </c>
      <c r="T348" s="4">
        <v>8</v>
      </c>
      <c r="U348" s="5" t="s">
        <v>4555</v>
      </c>
      <c r="V348" s="5" t="s">
        <v>4555</v>
      </c>
      <c r="W348" s="5" t="s">
        <v>4556</v>
      </c>
      <c r="X348" s="5" t="s">
        <v>4556</v>
      </c>
      <c r="Y348" s="4">
        <v>181</v>
      </c>
      <c r="Z348" s="4">
        <v>129</v>
      </c>
      <c r="AA348" s="4">
        <v>146</v>
      </c>
      <c r="AB348" s="4">
        <v>3</v>
      </c>
      <c r="AC348" s="4">
        <v>3</v>
      </c>
      <c r="AD348" s="4">
        <v>7</v>
      </c>
      <c r="AE348" s="4">
        <v>7</v>
      </c>
      <c r="AF348" s="4">
        <v>2</v>
      </c>
      <c r="AG348" s="4">
        <v>2</v>
      </c>
      <c r="AH348" s="4">
        <v>1</v>
      </c>
      <c r="AI348" s="4">
        <v>1</v>
      </c>
      <c r="AJ348" s="4">
        <v>5</v>
      </c>
      <c r="AK348" s="4">
        <v>5</v>
      </c>
      <c r="AL348" s="4">
        <v>2</v>
      </c>
      <c r="AM348" s="4">
        <v>2</v>
      </c>
      <c r="AN348" s="4">
        <v>0</v>
      </c>
      <c r="AO348" s="4">
        <v>0</v>
      </c>
      <c r="AP348" s="3" t="s">
        <v>59</v>
      </c>
      <c r="AQ348" s="3" t="s">
        <v>70</v>
      </c>
      <c r="AR348" s="6" t="str">
        <f>HYPERLINK("http://catalog.hathitrust.org/Record/002961031","HathiTrust Record")</f>
        <v>HathiTrust Record</v>
      </c>
      <c r="AS348" s="6" t="str">
        <f>HYPERLINK("https://creighton-primo.hosted.exlibrisgroup.com/primo-explore/search?tab=default_tab&amp;search_scope=EVERYTHING&amp;vid=01CRU&amp;lang=en_US&amp;offset=0&amp;query=any,contains,991002424799702656","Catalog Record")</f>
        <v>Catalog Record</v>
      </c>
      <c r="AT348" s="6" t="str">
        <f>HYPERLINK("http://www.worldcat.org/oclc/31606815","WorldCat Record")</f>
        <v>WorldCat Record</v>
      </c>
      <c r="AU348" s="3" t="s">
        <v>4557</v>
      </c>
      <c r="AV348" s="3" t="s">
        <v>4558</v>
      </c>
      <c r="AW348" s="3" t="s">
        <v>4559</v>
      </c>
      <c r="AX348" s="3" t="s">
        <v>4559</v>
      </c>
      <c r="AY348" s="3" t="s">
        <v>4560</v>
      </c>
      <c r="AZ348" s="3" t="s">
        <v>75</v>
      </c>
      <c r="BB348" s="3" t="s">
        <v>4561</v>
      </c>
      <c r="BC348" s="3" t="s">
        <v>4562</v>
      </c>
      <c r="BD348" s="3" t="s">
        <v>4563</v>
      </c>
    </row>
    <row r="349" spans="1:56" ht="48" customHeight="1" x14ac:dyDescent="0.25">
      <c r="A349" s="7" t="s">
        <v>59</v>
      </c>
      <c r="B349" s="2" t="s">
        <v>4564</v>
      </c>
      <c r="C349" s="2" t="s">
        <v>4565</v>
      </c>
      <c r="D349" s="2" t="s">
        <v>4566</v>
      </c>
      <c r="F349" s="3" t="s">
        <v>59</v>
      </c>
      <c r="G349" s="3" t="s">
        <v>60</v>
      </c>
      <c r="H349" s="3" t="s">
        <v>59</v>
      </c>
      <c r="I349" s="3" t="s">
        <v>59</v>
      </c>
      <c r="J349" s="3" t="s">
        <v>61</v>
      </c>
      <c r="K349" s="2" t="s">
        <v>4567</v>
      </c>
      <c r="L349" s="2" t="s">
        <v>4568</v>
      </c>
      <c r="M349" s="3" t="s">
        <v>843</v>
      </c>
      <c r="O349" s="3" t="s">
        <v>64</v>
      </c>
      <c r="P349" s="3" t="s">
        <v>84</v>
      </c>
      <c r="R349" s="3" t="s">
        <v>67</v>
      </c>
      <c r="S349" s="4">
        <v>1</v>
      </c>
      <c r="T349" s="4">
        <v>1</v>
      </c>
      <c r="U349" s="5" t="s">
        <v>4569</v>
      </c>
      <c r="V349" s="5" t="s">
        <v>4569</v>
      </c>
      <c r="W349" s="5" t="s">
        <v>3898</v>
      </c>
      <c r="X349" s="5" t="s">
        <v>3898</v>
      </c>
      <c r="Y349" s="4">
        <v>317</v>
      </c>
      <c r="Z349" s="4">
        <v>251</v>
      </c>
      <c r="AA349" s="4">
        <v>315</v>
      </c>
      <c r="AB349" s="4">
        <v>2</v>
      </c>
      <c r="AC349" s="4">
        <v>2</v>
      </c>
      <c r="AD349" s="4">
        <v>14</v>
      </c>
      <c r="AE349" s="4">
        <v>16</v>
      </c>
      <c r="AF349" s="4">
        <v>8</v>
      </c>
      <c r="AG349" s="4">
        <v>8</v>
      </c>
      <c r="AH349" s="4">
        <v>4</v>
      </c>
      <c r="AI349" s="4">
        <v>6</v>
      </c>
      <c r="AJ349" s="4">
        <v>5</v>
      </c>
      <c r="AK349" s="4">
        <v>6</v>
      </c>
      <c r="AL349" s="4">
        <v>1</v>
      </c>
      <c r="AM349" s="4">
        <v>1</v>
      </c>
      <c r="AN349" s="4">
        <v>0</v>
      </c>
      <c r="AO349" s="4">
        <v>0</v>
      </c>
      <c r="AP349" s="3" t="s">
        <v>59</v>
      </c>
      <c r="AQ349" s="3" t="s">
        <v>59</v>
      </c>
      <c r="AS349" s="6" t="str">
        <f>HYPERLINK("https://creighton-primo.hosted.exlibrisgroup.com/primo-explore/search?tab=default_tab&amp;search_scope=EVERYTHING&amp;vid=01CRU&amp;lang=en_US&amp;offset=0&amp;query=any,contains,991005221429702656","Catalog Record")</f>
        <v>Catalog Record</v>
      </c>
      <c r="AT349" s="6" t="str">
        <f>HYPERLINK("http://www.worldcat.org/oclc/62878350","WorldCat Record")</f>
        <v>WorldCat Record</v>
      </c>
      <c r="AU349" s="3" t="s">
        <v>4570</v>
      </c>
      <c r="AV349" s="3" t="s">
        <v>4571</v>
      </c>
      <c r="AW349" s="3" t="s">
        <v>4572</v>
      </c>
      <c r="AX349" s="3" t="s">
        <v>4572</v>
      </c>
      <c r="AY349" s="3" t="s">
        <v>4573</v>
      </c>
      <c r="AZ349" s="3" t="s">
        <v>75</v>
      </c>
      <c r="BB349" s="3" t="s">
        <v>4574</v>
      </c>
      <c r="BC349" s="3" t="s">
        <v>4575</v>
      </c>
      <c r="BD349" s="3" t="s">
        <v>4576</v>
      </c>
    </row>
    <row r="350" spans="1:56" ht="48" customHeight="1" x14ac:dyDescent="0.25">
      <c r="A350" s="7" t="s">
        <v>59</v>
      </c>
      <c r="B350" s="2" t="s">
        <v>4577</v>
      </c>
      <c r="C350" s="2" t="s">
        <v>4578</v>
      </c>
      <c r="D350" s="2" t="s">
        <v>4579</v>
      </c>
      <c r="F350" s="3" t="s">
        <v>59</v>
      </c>
      <c r="G350" s="3" t="s">
        <v>60</v>
      </c>
      <c r="H350" s="3" t="s">
        <v>59</v>
      </c>
      <c r="I350" s="3" t="s">
        <v>59</v>
      </c>
      <c r="J350" s="3" t="s">
        <v>61</v>
      </c>
      <c r="K350" s="2" t="s">
        <v>4580</v>
      </c>
      <c r="L350" s="2" t="s">
        <v>4581</v>
      </c>
      <c r="M350" s="3" t="s">
        <v>604</v>
      </c>
      <c r="O350" s="3" t="s">
        <v>64</v>
      </c>
      <c r="P350" s="3" t="s">
        <v>4582</v>
      </c>
      <c r="R350" s="3" t="s">
        <v>67</v>
      </c>
      <c r="S350" s="4">
        <v>10</v>
      </c>
      <c r="T350" s="4">
        <v>10</v>
      </c>
      <c r="U350" s="5" t="s">
        <v>3382</v>
      </c>
      <c r="V350" s="5" t="s">
        <v>3382</v>
      </c>
      <c r="W350" s="5" t="s">
        <v>4583</v>
      </c>
      <c r="X350" s="5" t="s">
        <v>4583</v>
      </c>
      <c r="Y350" s="4">
        <v>933</v>
      </c>
      <c r="Z350" s="4">
        <v>824</v>
      </c>
      <c r="AA350" s="4">
        <v>829</v>
      </c>
      <c r="AB350" s="4">
        <v>11</v>
      </c>
      <c r="AC350" s="4">
        <v>11</v>
      </c>
      <c r="AD350" s="4">
        <v>30</v>
      </c>
      <c r="AE350" s="4">
        <v>30</v>
      </c>
      <c r="AF350" s="4">
        <v>16</v>
      </c>
      <c r="AG350" s="4">
        <v>16</v>
      </c>
      <c r="AH350" s="4">
        <v>5</v>
      </c>
      <c r="AI350" s="4">
        <v>5</v>
      </c>
      <c r="AJ350" s="4">
        <v>9</v>
      </c>
      <c r="AK350" s="4">
        <v>9</v>
      </c>
      <c r="AL350" s="4">
        <v>6</v>
      </c>
      <c r="AM350" s="4">
        <v>6</v>
      </c>
      <c r="AN350" s="4">
        <v>0</v>
      </c>
      <c r="AO350" s="4">
        <v>0</v>
      </c>
      <c r="AP350" s="3" t="s">
        <v>59</v>
      </c>
      <c r="AQ350" s="3" t="s">
        <v>59</v>
      </c>
      <c r="AS350" s="6" t="str">
        <f>HYPERLINK("https://creighton-primo.hosted.exlibrisgroup.com/primo-explore/search?tab=default_tab&amp;search_scope=EVERYTHING&amp;vid=01CRU&amp;lang=en_US&amp;offset=0&amp;query=any,contains,991002493149702656","Catalog Record")</f>
        <v>Catalog Record</v>
      </c>
      <c r="AT350" s="6" t="str">
        <f>HYPERLINK("http://www.worldcat.org/oclc/32432109","WorldCat Record")</f>
        <v>WorldCat Record</v>
      </c>
      <c r="AU350" s="3" t="s">
        <v>4584</v>
      </c>
      <c r="AV350" s="3" t="s">
        <v>4585</v>
      </c>
      <c r="AW350" s="3" t="s">
        <v>4586</v>
      </c>
      <c r="AX350" s="3" t="s">
        <v>4586</v>
      </c>
      <c r="AY350" s="3" t="s">
        <v>4587</v>
      </c>
      <c r="AZ350" s="3" t="s">
        <v>75</v>
      </c>
      <c r="BB350" s="3" t="s">
        <v>4588</v>
      </c>
      <c r="BC350" s="3" t="s">
        <v>4589</v>
      </c>
      <c r="BD350" s="3" t="s">
        <v>4590</v>
      </c>
    </row>
    <row r="351" spans="1:56" ht="48" customHeight="1" x14ac:dyDescent="0.25">
      <c r="A351" s="7" t="s">
        <v>59</v>
      </c>
      <c r="B351" s="2" t="s">
        <v>4591</v>
      </c>
      <c r="C351" s="2" t="s">
        <v>4592</v>
      </c>
      <c r="D351" s="2" t="s">
        <v>4593</v>
      </c>
      <c r="F351" s="3" t="s">
        <v>59</v>
      </c>
      <c r="G351" s="3" t="s">
        <v>60</v>
      </c>
      <c r="H351" s="3" t="s">
        <v>59</v>
      </c>
      <c r="I351" s="3" t="s">
        <v>59</v>
      </c>
      <c r="J351" s="3" t="s">
        <v>61</v>
      </c>
      <c r="K351" s="2" t="s">
        <v>4594</v>
      </c>
      <c r="L351" s="2" t="s">
        <v>4595</v>
      </c>
      <c r="M351" s="3" t="s">
        <v>4596</v>
      </c>
      <c r="O351" s="3" t="s">
        <v>64</v>
      </c>
      <c r="P351" s="3" t="s">
        <v>912</v>
      </c>
      <c r="R351" s="3" t="s">
        <v>67</v>
      </c>
      <c r="S351" s="4">
        <v>1</v>
      </c>
      <c r="T351" s="4">
        <v>1</v>
      </c>
      <c r="U351" s="5" t="s">
        <v>4597</v>
      </c>
      <c r="V351" s="5" t="s">
        <v>4597</v>
      </c>
      <c r="W351" s="5" t="s">
        <v>4598</v>
      </c>
      <c r="X351" s="5" t="s">
        <v>4598</v>
      </c>
      <c r="Y351" s="4">
        <v>329</v>
      </c>
      <c r="Z351" s="4">
        <v>269</v>
      </c>
      <c r="AA351" s="4">
        <v>285</v>
      </c>
      <c r="AB351" s="4">
        <v>3</v>
      </c>
      <c r="AC351" s="4">
        <v>3</v>
      </c>
      <c r="AD351" s="4">
        <v>14</v>
      </c>
      <c r="AE351" s="4">
        <v>14</v>
      </c>
      <c r="AF351" s="4">
        <v>4</v>
      </c>
      <c r="AG351" s="4">
        <v>4</v>
      </c>
      <c r="AH351" s="4">
        <v>6</v>
      </c>
      <c r="AI351" s="4">
        <v>6</v>
      </c>
      <c r="AJ351" s="4">
        <v>5</v>
      </c>
      <c r="AK351" s="4">
        <v>5</v>
      </c>
      <c r="AL351" s="4">
        <v>2</v>
      </c>
      <c r="AM351" s="4">
        <v>2</v>
      </c>
      <c r="AN351" s="4">
        <v>0</v>
      </c>
      <c r="AO351" s="4">
        <v>0</v>
      </c>
      <c r="AP351" s="3" t="s">
        <v>59</v>
      </c>
      <c r="AQ351" s="3" t="s">
        <v>59</v>
      </c>
      <c r="AS351" s="6" t="str">
        <f>HYPERLINK("https://creighton-primo.hosted.exlibrisgroup.com/primo-explore/search?tab=default_tab&amp;search_scope=EVERYTHING&amp;vid=01CRU&amp;lang=en_US&amp;offset=0&amp;query=any,contains,991004752649702656","Catalog Record")</f>
        <v>Catalog Record</v>
      </c>
      <c r="AT351" s="6" t="str">
        <f>HYPERLINK("http://www.worldcat.org/oclc/57391684","WorldCat Record")</f>
        <v>WorldCat Record</v>
      </c>
      <c r="AU351" s="3" t="s">
        <v>4599</v>
      </c>
      <c r="AV351" s="3" t="s">
        <v>4600</v>
      </c>
      <c r="AW351" s="3" t="s">
        <v>4601</v>
      </c>
      <c r="AX351" s="3" t="s">
        <v>4601</v>
      </c>
      <c r="AY351" s="3" t="s">
        <v>4602</v>
      </c>
      <c r="AZ351" s="3" t="s">
        <v>75</v>
      </c>
      <c r="BB351" s="3" t="s">
        <v>4603</v>
      </c>
      <c r="BC351" s="3" t="s">
        <v>4604</v>
      </c>
      <c r="BD351" s="3" t="s">
        <v>4605</v>
      </c>
    </row>
    <row r="352" spans="1:56" ht="48" customHeight="1" x14ac:dyDescent="0.25">
      <c r="A352" s="7" t="s">
        <v>59</v>
      </c>
      <c r="B352" s="2" t="s">
        <v>4606</v>
      </c>
      <c r="C352" s="2" t="s">
        <v>4607</v>
      </c>
      <c r="D352" s="2" t="s">
        <v>4608</v>
      </c>
      <c r="F352" s="3" t="s">
        <v>59</v>
      </c>
      <c r="G352" s="3" t="s">
        <v>60</v>
      </c>
      <c r="H352" s="3" t="s">
        <v>59</v>
      </c>
      <c r="I352" s="3" t="s">
        <v>59</v>
      </c>
      <c r="J352" s="3" t="s">
        <v>61</v>
      </c>
      <c r="K352" s="2" t="s">
        <v>4609</v>
      </c>
      <c r="L352" s="2" t="s">
        <v>4610</v>
      </c>
      <c r="M352" s="3" t="s">
        <v>872</v>
      </c>
      <c r="O352" s="3" t="s">
        <v>64</v>
      </c>
      <c r="P352" s="3" t="s">
        <v>1201</v>
      </c>
      <c r="R352" s="3" t="s">
        <v>67</v>
      </c>
      <c r="S352" s="4">
        <v>2</v>
      </c>
      <c r="T352" s="4">
        <v>2</v>
      </c>
      <c r="U352" s="5" t="s">
        <v>3434</v>
      </c>
      <c r="V352" s="5" t="s">
        <v>3434</v>
      </c>
      <c r="W352" s="5" t="s">
        <v>501</v>
      </c>
      <c r="X352" s="5" t="s">
        <v>501</v>
      </c>
      <c r="Y352" s="4">
        <v>192</v>
      </c>
      <c r="Z352" s="4">
        <v>156</v>
      </c>
      <c r="AA352" s="4">
        <v>187</v>
      </c>
      <c r="AB352" s="4">
        <v>2</v>
      </c>
      <c r="AC352" s="4">
        <v>2</v>
      </c>
      <c r="AD352" s="4">
        <v>4</v>
      </c>
      <c r="AE352" s="4">
        <v>4</v>
      </c>
      <c r="AF352" s="4">
        <v>1</v>
      </c>
      <c r="AG352" s="4">
        <v>1</v>
      </c>
      <c r="AH352" s="4">
        <v>1</v>
      </c>
      <c r="AI352" s="4">
        <v>1</v>
      </c>
      <c r="AJ352" s="4">
        <v>2</v>
      </c>
      <c r="AK352" s="4">
        <v>2</v>
      </c>
      <c r="AL352" s="4">
        <v>1</v>
      </c>
      <c r="AM352" s="4">
        <v>1</v>
      </c>
      <c r="AN352" s="4">
        <v>0</v>
      </c>
      <c r="AO352" s="4">
        <v>0</v>
      </c>
      <c r="AP352" s="3" t="s">
        <v>59</v>
      </c>
      <c r="AQ352" s="3" t="s">
        <v>70</v>
      </c>
      <c r="AR352" s="6" t="str">
        <f>HYPERLINK("http://catalog.hathitrust.org/Record/001554705","HathiTrust Record")</f>
        <v>HathiTrust Record</v>
      </c>
      <c r="AS352" s="6" t="str">
        <f>HYPERLINK("https://creighton-primo.hosted.exlibrisgroup.com/primo-explore/search?tab=default_tab&amp;search_scope=EVERYTHING&amp;vid=01CRU&amp;lang=en_US&amp;offset=0&amp;query=any,contains,991003241959702656","Catalog Record")</f>
        <v>Catalog Record</v>
      </c>
      <c r="AT352" s="6" t="str">
        <f>HYPERLINK("http://www.worldcat.org/oclc/765005","WorldCat Record")</f>
        <v>WorldCat Record</v>
      </c>
      <c r="AU352" s="3" t="s">
        <v>4611</v>
      </c>
      <c r="AV352" s="3" t="s">
        <v>4612</v>
      </c>
      <c r="AW352" s="3" t="s">
        <v>4613</v>
      </c>
      <c r="AX352" s="3" t="s">
        <v>4613</v>
      </c>
      <c r="AY352" s="3" t="s">
        <v>4614</v>
      </c>
      <c r="AZ352" s="3" t="s">
        <v>75</v>
      </c>
      <c r="BC352" s="3" t="s">
        <v>4615</v>
      </c>
      <c r="BD352" s="3" t="s">
        <v>4616</v>
      </c>
    </row>
    <row r="353" spans="1:56" ht="48" customHeight="1" x14ac:dyDescent="0.25">
      <c r="A353" s="7" t="s">
        <v>59</v>
      </c>
      <c r="B353" s="2" t="s">
        <v>4617</v>
      </c>
      <c r="C353" s="2" t="s">
        <v>4618</v>
      </c>
      <c r="D353" s="2" t="s">
        <v>4619</v>
      </c>
      <c r="F353" s="3" t="s">
        <v>59</v>
      </c>
      <c r="G353" s="3" t="s">
        <v>60</v>
      </c>
      <c r="H353" s="3" t="s">
        <v>59</v>
      </c>
      <c r="I353" s="3" t="s">
        <v>59</v>
      </c>
      <c r="J353" s="3" t="s">
        <v>61</v>
      </c>
      <c r="K353" s="2" t="s">
        <v>4620</v>
      </c>
      <c r="L353" s="2" t="s">
        <v>4621</v>
      </c>
      <c r="M353" s="3" t="s">
        <v>4622</v>
      </c>
      <c r="N353" s="2" t="s">
        <v>4623</v>
      </c>
      <c r="O353" s="3" t="s">
        <v>64</v>
      </c>
      <c r="P353" s="3" t="s">
        <v>115</v>
      </c>
      <c r="R353" s="3" t="s">
        <v>67</v>
      </c>
      <c r="S353" s="4">
        <v>3</v>
      </c>
      <c r="T353" s="4">
        <v>3</v>
      </c>
      <c r="U353" s="5" t="s">
        <v>4624</v>
      </c>
      <c r="V353" s="5" t="s">
        <v>4624</v>
      </c>
      <c r="W353" s="5" t="s">
        <v>501</v>
      </c>
      <c r="X353" s="5" t="s">
        <v>501</v>
      </c>
      <c r="Y353" s="4">
        <v>55</v>
      </c>
      <c r="Z353" s="4">
        <v>53</v>
      </c>
      <c r="AA353" s="4">
        <v>181</v>
      </c>
      <c r="AB353" s="4">
        <v>1</v>
      </c>
      <c r="AC353" s="4">
        <v>3</v>
      </c>
      <c r="AD353" s="4">
        <v>1</v>
      </c>
      <c r="AE353" s="4">
        <v>8</v>
      </c>
      <c r="AF353" s="4">
        <v>0</v>
      </c>
      <c r="AG353" s="4">
        <v>0</v>
      </c>
      <c r="AH353" s="4">
        <v>0</v>
      </c>
      <c r="AI353" s="4">
        <v>3</v>
      </c>
      <c r="AJ353" s="4">
        <v>1</v>
      </c>
      <c r="AK353" s="4">
        <v>4</v>
      </c>
      <c r="AL353" s="4">
        <v>0</v>
      </c>
      <c r="AM353" s="4">
        <v>2</v>
      </c>
      <c r="AN353" s="4">
        <v>0</v>
      </c>
      <c r="AO353" s="4">
        <v>0</v>
      </c>
      <c r="AP353" s="3" t="s">
        <v>70</v>
      </c>
      <c r="AQ353" s="3" t="s">
        <v>59</v>
      </c>
      <c r="AR353" s="6" t="str">
        <f>HYPERLINK("http://catalog.hathitrust.org/Record/006610668","HathiTrust Record")</f>
        <v>HathiTrust Record</v>
      </c>
      <c r="AS353" s="6" t="str">
        <f>HYPERLINK("https://creighton-primo.hosted.exlibrisgroup.com/primo-explore/search?tab=default_tab&amp;search_scope=EVERYTHING&amp;vid=01CRU&amp;lang=en_US&amp;offset=0&amp;query=any,contains,991005000619702656","Catalog Record")</f>
        <v>Catalog Record</v>
      </c>
      <c r="AT353" s="6" t="str">
        <f>HYPERLINK("http://www.worldcat.org/oclc/6540262","WorldCat Record")</f>
        <v>WorldCat Record</v>
      </c>
      <c r="AU353" s="3" t="s">
        <v>4625</v>
      </c>
      <c r="AV353" s="3" t="s">
        <v>4626</v>
      </c>
      <c r="AW353" s="3" t="s">
        <v>4627</v>
      </c>
      <c r="AX353" s="3" t="s">
        <v>4627</v>
      </c>
      <c r="AY353" s="3" t="s">
        <v>4628</v>
      </c>
      <c r="AZ353" s="3" t="s">
        <v>75</v>
      </c>
      <c r="BC353" s="3" t="s">
        <v>4629</v>
      </c>
      <c r="BD353" s="3" t="s">
        <v>4630</v>
      </c>
    </row>
    <row r="354" spans="1:56" ht="48" customHeight="1" x14ac:dyDescent="0.25">
      <c r="A354" s="7" t="s">
        <v>59</v>
      </c>
      <c r="B354" s="2" t="s">
        <v>4631</v>
      </c>
      <c r="C354" s="2" t="s">
        <v>4632</v>
      </c>
      <c r="D354" s="2" t="s">
        <v>4633</v>
      </c>
      <c r="F354" s="3" t="s">
        <v>59</v>
      </c>
      <c r="G354" s="3" t="s">
        <v>60</v>
      </c>
      <c r="H354" s="3" t="s">
        <v>59</v>
      </c>
      <c r="I354" s="3" t="s">
        <v>59</v>
      </c>
      <c r="J354" s="3" t="s">
        <v>61</v>
      </c>
      <c r="L354" s="2" t="s">
        <v>4634</v>
      </c>
      <c r="M354" s="3" t="s">
        <v>549</v>
      </c>
      <c r="O354" s="3" t="s">
        <v>64</v>
      </c>
      <c r="P354" s="3" t="s">
        <v>65</v>
      </c>
      <c r="R354" s="3" t="s">
        <v>67</v>
      </c>
      <c r="S354" s="4">
        <v>2</v>
      </c>
      <c r="T354" s="4">
        <v>2</v>
      </c>
      <c r="U354" s="5" t="s">
        <v>4635</v>
      </c>
      <c r="V354" s="5" t="s">
        <v>4635</v>
      </c>
      <c r="W354" s="5" t="s">
        <v>2484</v>
      </c>
      <c r="X354" s="5" t="s">
        <v>2484</v>
      </c>
      <c r="Y354" s="4">
        <v>329</v>
      </c>
      <c r="Z354" s="4">
        <v>271</v>
      </c>
      <c r="AA354" s="4">
        <v>278</v>
      </c>
      <c r="AB354" s="4">
        <v>2</v>
      </c>
      <c r="AC354" s="4">
        <v>2</v>
      </c>
      <c r="AD354" s="4">
        <v>8</v>
      </c>
      <c r="AE354" s="4">
        <v>8</v>
      </c>
      <c r="AF354" s="4">
        <v>4</v>
      </c>
      <c r="AG354" s="4">
        <v>4</v>
      </c>
      <c r="AH354" s="4">
        <v>2</v>
      </c>
      <c r="AI354" s="4">
        <v>2</v>
      </c>
      <c r="AJ354" s="4">
        <v>4</v>
      </c>
      <c r="AK354" s="4">
        <v>4</v>
      </c>
      <c r="AL354" s="4">
        <v>1</v>
      </c>
      <c r="AM354" s="4">
        <v>1</v>
      </c>
      <c r="AN354" s="4">
        <v>0</v>
      </c>
      <c r="AO354" s="4">
        <v>0</v>
      </c>
      <c r="AP354" s="3" t="s">
        <v>59</v>
      </c>
      <c r="AQ354" s="3" t="s">
        <v>70</v>
      </c>
      <c r="AR354" s="6" t="str">
        <f>HYPERLINK("http://catalog.hathitrust.org/Record/000694375","HathiTrust Record")</f>
        <v>HathiTrust Record</v>
      </c>
      <c r="AS354" s="6" t="str">
        <f>HYPERLINK("https://creighton-primo.hosted.exlibrisgroup.com/primo-explore/search?tab=default_tab&amp;search_scope=EVERYTHING&amp;vid=01CRU&amp;lang=en_US&amp;offset=0&amp;query=any,contains,991003971229702656","Catalog Record")</f>
        <v>Catalog Record</v>
      </c>
      <c r="AT354" s="6" t="str">
        <f>HYPERLINK("http://www.worldcat.org/oclc/1992209","WorldCat Record")</f>
        <v>WorldCat Record</v>
      </c>
      <c r="AU354" s="3" t="s">
        <v>4636</v>
      </c>
      <c r="AV354" s="3" t="s">
        <v>4637</v>
      </c>
      <c r="AW354" s="3" t="s">
        <v>4638</v>
      </c>
      <c r="AX354" s="3" t="s">
        <v>4638</v>
      </c>
      <c r="AY354" s="3" t="s">
        <v>4639</v>
      </c>
      <c r="AZ354" s="3" t="s">
        <v>75</v>
      </c>
      <c r="BB354" s="3" t="s">
        <v>4640</v>
      </c>
      <c r="BC354" s="3" t="s">
        <v>4641</v>
      </c>
      <c r="BD354" s="3" t="s">
        <v>4642</v>
      </c>
    </row>
    <row r="355" spans="1:56" ht="48" customHeight="1" x14ac:dyDescent="0.25">
      <c r="A355" s="7" t="s">
        <v>59</v>
      </c>
      <c r="B355" s="2" t="s">
        <v>4643</v>
      </c>
      <c r="C355" s="2" t="s">
        <v>4644</v>
      </c>
      <c r="D355" s="2" t="s">
        <v>4645</v>
      </c>
      <c r="F355" s="3" t="s">
        <v>59</v>
      </c>
      <c r="G355" s="3" t="s">
        <v>60</v>
      </c>
      <c r="H355" s="3" t="s">
        <v>59</v>
      </c>
      <c r="I355" s="3" t="s">
        <v>59</v>
      </c>
      <c r="J355" s="3" t="s">
        <v>61</v>
      </c>
      <c r="K355" s="2" t="s">
        <v>4646</v>
      </c>
      <c r="L355" s="2" t="s">
        <v>4647</v>
      </c>
      <c r="M355" s="3" t="s">
        <v>843</v>
      </c>
      <c r="N355" s="2" t="s">
        <v>731</v>
      </c>
      <c r="O355" s="3" t="s">
        <v>64</v>
      </c>
      <c r="P355" s="3" t="s">
        <v>130</v>
      </c>
      <c r="R355" s="3" t="s">
        <v>67</v>
      </c>
      <c r="S355" s="4">
        <v>4</v>
      </c>
      <c r="T355" s="4">
        <v>4</v>
      </c>
      <c r="U355" s="5" t="s">
        <v>4648</v>
      </c>
      <c r="V355" s="5" t="s">
        <v>4648</v>
      </c>
      <c r="W355" s="5" t="s">
        <v>4649</v>
      </c>
      <c r="X355" s="5" t="s">
        <v>4649</v>
      </c>
      <c r="Y355" s="4">
        <v>1082</v>
      </c>
      <c r="Z355" s="4">
        <v>981</v>
      </c>
      <c r="AA355" s="4">
        <v>1090</v>
      </c>
      <c r="AB355" s="4">
        <v>10</v>
      </c>
      <c r="AC355" s="4">
        <v>10</v>
      </c>
      <c r="AD355" s="4">
        <v>29</v>
      </c>
      <c r="AE355" s="4">
        <v>30</v>
      </c>
      <c r="AF355" s="4">
        <v>9</v>
      </c>
      <c r="AG355" s="4">
        <v>10</v>
      </c>
      <c r="AH355" s="4">
        <v>7</v>
      </c>
      <c r="AI355" s="4">
        <v>7</v>
      </c>
      <c r="AJ355" s="4">
        <v>10</v>
      </c>
      <c r="AK355" s="4">
        <v>10</v>
      </c>
      <c r="AL355" s="4">
        <v>8</v>
      </c>
      <c r="AM355" s="4">
        <v>8</v>
      </c>
      <c r="AN355" s="4">
        <v>0</v>
      </c>
      <c r="AO355" s="4">
        <v>0</v>
      </c>
      <c r="AP355" s="3" t="s">
        <v>59</v>
      </c>
      <c r="AQ355" s="3" t="s">
        <v>59</v>
      </c>
      <c r="AS355" s="6" t="str">
        <f>HYPERLINK("https://creighton-primo.hosted.exlibrisgroup.com/primo-explore/search?tab=default_tab&amp;search_scope=EVERYTHING&amp;vid=01CRU&amp;lang=en_US&amp;offset=0&amp;query=any,contains,991005267189702656","Catalog Record")</f>
        <v>Catalog Record</v>
      </c>
      <c r="AT355" s="6" t="str">
        <f>HYPERLINK("http://www.worldcat.org/oclc/180752040","WorldCat Record")</f>
        <v>WorldCat Record</v>
      </c>
      <c r="AU355" s="3" t="s">
        <v>4650</v>
      </c>
      <c r="AV355" s="3" t="s">
        <v>4651</v>
      </c>
      <c r="AW355" s="3" t="s">
        <v>4652</v>
      </c>
      <c r="AX355" s="3" t="s">
        <v>4652</v>
      </c>
      <c r="AY355" s="3" t="s">
        <v>4653</v>
      </c>
      <c r="AZ355" s="3" t="s">
        <v>75</v>
      </c>
      <c r="BB355" s="3" t="s">
        <v>4654</v>
      </c>
      <c r="BC355" s="3" t="s">
        <v>4655</v>
      </c>
      <c r="BD355" s="3" t="s">
        <v>4656</v>
      </c>
    </row>
    <row r="356" spans="1:56" ht="48" customHeight="1" x14ac:dyDescent="0.25">
      <c r="A356" s="7" t="s">
        <v>59</v>
      </c>
      <c r="B356" s="2" t="s">
        <v>4657</v>
      </c>
      <c r="C356" s="2" t="s">
        <v>4658</v>
      </c>
      <c r="D356" s="2" t="s">
        <v>4659</v>
      </c>
      <c r="F356" s="3" t="s">
        <v>59</v>
      </c>
      <c r="G356" s="3" t="s">
        <v>60</v>
      </c>
      <c r="H356" s="3" t="s">
        <v>59</v>
      </c>
      <c r="I356" s="3" t="s">
        <v>59</v>
      </c>
      <c r="J356" s="3" t="s">
        <v>61</v>
      </c>
      <c r="K356" s="2" t="s">
        <v>4660</v>
      </c>
      <c r="L356" s="2" t="s">
        <v>4661</v>
      </c>
      <c r="M356" s="3" t="s">
        <v>590</v>
      </c>
      <c r="O356" s="3" t="s">
        <v>64</v>
      </c>
      <c r="P356" s="3" t="s">
        <v>264</v>
      </c>
      <c r="R356" s="3" t="s">
        <v>67</v>
      </c>
      <c r="S356" s="4">
        <v>3</v>
      </c>
      <c r="T356" s="4">
        <v>3</v>
      </c>
      <c r="U356" s="5" t="s">
        <v>4662</v>
      </c>
      <c r="V356" s="5" t="s">
        <v>4662</v>
      </c>
      <c r="W356" s="5" t="s">
        <v>4663</v>
      </c>
      <c r="X356" s="5" t="s">
        <v>4663</v>
      </c>
      <c r="Y356" s="4">
        <v>450</v>
      </c>
      <c r="Z356" s="4">
        <v>358</v>
      </c>
      <c r="AA356" s="4">
        <v>365</v>
      </c>
      <c r="AB356" s="4">
        <v>4</v>
      </c>
      <c r="AC356" s="4">
        <v>4</v>
      </c>
      <c r="AD356" s="4">
        <v>18</v>
      </c>
      <c r="AE356" s="4">
        <v>18</v>
      </c>
      <c r="AF356" s="4">
        <v>3</v>
      </c>
      <c r="AG356" s="4">
        <v>3</v>
      </c>
      <c r="AH356" s="4">
        <v>4</v>
      </c>
      <c r="AI356" s="4">
        <v>4</v>
      </c>
      <c r="AJ356" s="4">
        <v>11</v>
      </c>
      <c r="AK356" s="4">
        <v>11</v>
      </c>
      <c r="AL356" s="4">
        <v>3</v>
      </c>
      <c r="AM356" s="4">
        <v>3</v>
      </c>
      <c r="AN356" s="4">
        <v>0</v>
      </c>
      <c r="AO356" s="4">
        <v>0</v>
      </c>
      <c r="AP356" s="3" t="s">
        <v>59</v>
      </c>
      <c r="AQ356" s="3" t="s">
        <v>70</v>
      </c>
      <c r="AR356" s="6" t="str">
        <f>HYPERLINK("http://catalog.hathitrust.org/Record/000951521","HathiTrust Record")</f>
        <v>HathiTrust Record</v>
      </c>
      <c r="AS356" s="6" t="str">
        <f>HYPERLINK("https://creighton-primo.hosted.exlibrisgroup.com/primo-explore/search?tab=default_tab&amp;search_scope=EVERYTHING&amp;vid=01CRU&amp;lang=en_US&amp;offset=0&amp;query=any,contains,991001237379702656","Catalog Record")</f>
        <v>Catalog Record</v>
      </c>
      <c r="AT356" s="6" t="str">
        <f>HYPERLINK("http://www.worldcat.org/oclc/17552028","WorldCat Record")</f>
        <v>WorldCat Record</v>
      </c>
      <c r="AU356" s="3" t="s">
        <v>4664</v>
      </c>
      <c r="AV356" s="3" t="s">
        <v>4665</v>
      </c>
      <c r="AW356" s="3" t="s">
        <v>4666</v>
      </c>
      <c r="AX356" s="3" t="s">
        <v>4666</v>
      </c>
      <c r="AY356" s="3" t="s">
        <v>4667</v>
      </c>
      <c r="AZ356" s="3" t="s">
        <v>75</v>
      </c>
      <c r="BB356" s="3" t="s">
        <v>4668</v>
      </c>
      <c r="BC356" s="3" t="s">
        <v>4669</v>
      </c>
      <c r="BD356" s="3" t="s">
        <v>4670</v>
      </c>
    </row>
    <row r="357" spans="1:56" ht="48" customHeight="1" x14ac:dyDescent="0.25">
      <c r="A357" s="7" t="s">
        <v>59</v>
      </c>
      <c r="B357" s="2" t="s">
        <v>4671</v>
      </c>
      <c r="C357" s="2" t="s">
        <v>4672</v>
      </c>
      <c r="D357" s="2" t="s">
        <v>4673</v>
      </c>
      <c r="F357" s="3" t="s">
        <v>59</v>
      </c>
      <c r="G357" s="3" t="s">
        <v>60</v>
      </c>
      <c r="H357" s="3" t="s">
        <v>59</v>
      </c>
      <c r="I357" s="3" t="s">
        <v>59</v>
      </c>
      <c r="J357" s="3" t="s">
        <v>61</v>
      </c>
      <c r="K357" s="2" t="s">
        <v>4674</v>
      </c>
      <c r="L357" s="2" t="s">
        <v>4675</v>
      </c>
      <c r="M357" s="3" t="s">
        <v>604</v>
      </c>
      <c r="O357" s="3" t="s">
        <v>64</v>
      </c>
      <c r="P357" s="3" t="s">
        <v>264</v>
      </c>
      <c r="R357" s="3" t="s">
        <v>67</v>
      </c>
      <c r="S357" s="4">
        <v>6</v>
      </c>
      <c r="T357" s="4">
        <v>6</v>
      </c>
      <c r="U357" s="5" t="s">
        <v>4676</v>
      </c>
      <c r="V357" s="5" t="s">
        <v>4676</v>
      </c>
      <c r="W357" s="5" t="s">
        <v>4677</v>
      </c>
      <c r="X357" s="5" t="s">
        <v>4677</v>
      </c>
      <c r="Y357" s="4">
        <v>745</v>
      </c>
      <c r="Z357" s="4">
        <v>558</v>
      </c>
      <c r="AA357" s="4">
        <v>580</v>
      </c>
      <c r="AB357" s="4">
        <v>5</v>
      </c>
      <c r="AC357" s="4">
        <v>5</v>
      </c>
      <c r="AD357" s="4">
        <v>27</v>
      </c>
      <c r="AE357" s="4">
        <v>28</v>
      </c>
      <c r="AF357" s="4">
        <v>11</v>
      </c>
      <c r="AG357" s="4">
        <v>11</v>
      </c>
      <c r="AH357" s="4">
        <v>4</v>
      </c>
      <c r="AI357" s="4">
        <v>4</v>
      </c>
      <c r="AJ357" s="4">
        <v>14</v>
      </c>
      <c r="AK357" s="4">
        <v>15</v>
      </c>
      <c r="AL357" s="4">
        <v>4</v>
      </c>
      <c r="AM357" s="4">
        <v>4</v>
      </c>
      <c r="AN357" s="4">
        <v>0</v>
      </c>
      <c r="AO357" s="4">
        <v>0</v>
      </c>
      <c r="AP357" s="3" t="s">
        <v>59</v>
      </c>
      <c r="AQ357" s="3" t="s">
        <v>59</v>
      </c>
      <c r="AS357" s="6" t="str">
        <f>HYPERLINK("https://creighton-primo.hosted.exlibrisgroup.com/primo-explore/search?tab=default_tab&amp;search_scope=EVERYTHING&amp;vid=01CRU&amp;lang=en_US&amp;offset=0&amp;query=any,contains,991002382179702656","Catalog Record")</f>
        <v>Catalog Record</v>
      </c>
      <c r="AT357" s="6" t="str">
        <f>HYPERLINK("http://www.worldcat.org/oclc/30971691","WorldCat Record")</f>
        <v>WorldCat Record</v>
      </c>
      <c r="AU357" s="3" t="s">
        <v>4678</v>
      </c>
      <c r="AV357" s="3" t="s">
        <v>4679</v>
      </c>
      <c r="AW357" s="3" t="s">
        <v>4680</v>
      </c>
      <c r="AX357" s="3" t="s">
        <v>4680</v>
      </c>
      <c r="AY357" s="3" t="s">
        <v>4681</v>
      </c>
      <c r="AZ357" s="3" t="s">
        <v>75</v>
      </c>
      <c r="BB357" s="3" t="s">
        <v>4682</v>
      </c>
      <c r="BC357" s="3" t="s">
        <v>4683</v>
      </c>
      <c r="BD357" s="3" t="s">
        <v>4684</v>
      </c>
    </row>
    <row r="358" spans="1:56" ht="48" customHeight="1" x14ac:dyDescent="0.25">
      <c r="A358" s="7" t="s">
        <v>59</v>
      </c>
      <c r="B358" s="2" t="s">
        <v>4685</v>
      </c>
      <c r="C358" s="2" t="s">
        <v>4686</v>
      </c>
      <c r="D358" s="2" t="s">
        <v>4687</v>
      </c>
      <c r="F358" s="3" t="s">
        <v>59</v>
      </c>
      <c r="G358" s="3" t="s">
        <v>60</v>
      </c>
      <c r="H358" s="3" t="s">
        <v>59</v>
      </c>
      <c r="I358" s="3" t="s">
        <v>59</v>
      </c>
      <c r="J358" s="3" t="s">
        <v>61</v>
      </c>
      <c r="L358" s="2" t="s">
        <v>4688</v>
      </c>
      <c r="M358" s="3" t="s">
        <v>219</v>
      </c>
      <c r="O358" s="3" t="s">
        <v>64</v>
      </c>
      <c r="P358" s="3" t="s">
        <v>84</v>
      </c>
      <c r="R358" s="3" t="s">
        <v>67</v>
      </c>
      <c r="S358" s="4">
        <v>2</v>
      </c>
      <c r="T358" s="4">
        <v>2</v>
      </c>
      <c r="U358" s="5" t="s">
        <v>4689</v>
      </c>
      <c r="V358" s="5" t="s">
        <v>4689</v>
      </c>
      <c r="W358" s="5" t="s">
        <v>4690</v>
      </c>
      <c r="X358" s="5" t="s">
        <v>4690</v>
      </c>
      <c r="Y358" s="4">
        <v>389</v>
      </c>
      <c r="Z358" s="4">
        <v>280</v>
      </c>
      <c r="AA358" s="4">
        <v>280</v>
      </c>
      <c r="AB358" s="4">
        <v>3</v>
      </c>
      <c r="AC358" s="4">
        <v>3</v>
      </c>
      <c r="AD358" s="4">
        <v>18</v>
      </c>
      <c r="AE358" s="4">
        <v>18</v>
      </c>
      <c r="AF358" s="4">
        <v>7</v>
      </c>
      <c r="AG358" s="4">
        <v>7</v>
      </c>
      <c r="AH358" s="4">
        <v>6</v>
      </c>
      <c r="AI358" s="4">
        <v>6</v>
      </c>
      <c r="AJ358" s="4">
        <v>9</v>
      </c>
      <c r="AK358" s="4">
        <v>9</v>
      </c>
      <c r="AL358" s="4">
        <v>2</v>
      </c>
      <c r="AM358" s="4">
        <v>2</v>
      </c>
      <c r="AN358" s="4">
        <v>0</v>
      </c>
      <c r="AO358" s="4">
        <v>0</v>
      </c>
      <c r="AP358" s="3" t="s">
        <v>59</v>
      </c>
      <c r="AQ358" s="3" t="s">
        <v>59</v>
      </c>
      <c r="AS358" s="6" t="str">
        <f>HYPERLINK("https://creighton-primo.hosted.exlibrisgroup.com/primo-explore/search?tab=default_tab&amp;search_scope=EVERYTHING&amp;vid=01CRU&amp;lang=en_US&amp;offset=0&amp;query=any,contains,991001493499702656","Catalog Record")</f>
        <v>Catalog Record</v>
      </c>
      <c r="AT358" s="6" t="str">
        <f>HYPERLINK("http://www.worldcat.org/oclc/19740394","WorldCat Record")</f>
        <v>WorldCat Record</v>
      </c>
      <c r="AU358" s="3" t="s">
        <v>4691</v>
      </c>
      <c r="AV358" s="3" t="s">
        <v>4692</v>
      </c>
      <c r="AW358" s="3" t="s">
        <v>4693</v>
      </c>
      <c r="AX358" s="3" t="s">
        <v>4693</v>
      </c>
      <c r="AY358" s="3" t="s">
        <v>4694</v>
      </c>
      <c r="AZ358" s="3" t="s">
        <v>75</v>
      </c>
      <c r="BB358" s="3" t="s">
        <v>4695</v>
      </c>
      <c r="BC358" s="3" t="s">
        <v>4696</v>
      </c>
      <c r="BD358" s="3" t="s">
        <v>4697</v>
      </c>
    </row>
    <row r="359" spans="1:56" ht="48" customHeight="1" x14ac:dyDescent="0.25">
      <c r="A359" s="7" t="s">
        <v>59</v>
      </c>
      <c r="B359" s="2" t="s">
        <v>4698</v>
      </c>
      <c r="C359" s="2" t="s">
        <v>4699</v>
      </c>
      <c r="D359" s="2" t="s">
        <v>4700</v>
      </c>
      <c r="F359" s="3" t="s">
        <v>59</v>
      </c>
      <c r="G359" s="3" t="s">
        <v>60</v>
      </c>
      <c r="H359" s="3" t="s">
        <v>59</v>
      </c>
      <c r="I359" s="3" t="s">
        <v>59</v>
      </c>
      <c r="J359" s="3" t="s">
        <v>61</v>
      </c>
      <c r="L359" s="2" t="s">
        <v>4701</v>
      </c>
      <c r="M359" s="3" t="s">
        <v>319</v>
      </c>
      <c r="O359" s="3" t="s">
        <v>64</v>
      </c>
      <c r="P359" s="3" t="s">
        <v>130</v>
      </c>
      <c r="R359" s="3" t="s">
        <v>67</v>
      </c>
      <c r="S359" s="4">
        <v>4</v>
      </c>
      <c r="T359" s="4">
        <v>4</v>
      </c>
      <c r="U359" s="5" t="s">
        <v>4702</v>
      </c>
      <c r="V359" s="5" t="s">
        <v>4702</v>
      </c>
      <c r="W359" s="5" t="s">
        <v>4108</v>
      </c>
      <c r="X359" s="5" t="s">
        <v>4108</v>
      </c>
      <c r="Y359" s="4">
        <v>232</v>
      </c>
      <c r="Z359" s="4">
        <v>178</v>
      </c>
      <c r="AA359" s="4">
        <v>198</v>
      </c>
      <c r="AB359" s="4">
        <v>1</v>
      </c>
      <c r="AC359" s="4">
        <v>1</v>
      </c>
      <c r="AD359" s="4">
        <v>4</v>
      </c>
      <c r="AE359" s="4">
        <v>5</v>
      </c>
      <c r="AF359" s="4">
        <v>0</v>
      </c>
      <c r="AG359" s="4">
        <v>1</v>
      </c>
      <c r="AH359" s="4">
        <v>2</v>
      </c>
      <c r="AI359" s="4">
        <v>2</v>
      </c>
      <c r="AJ359" s="4">
        <v>3</v>
      </c>
      <c r="AK359" s="4">
        <v>4</v>
      </c>
      <c r="AL359" s="4">
        <v>0</v>
      </c>
      <c r="AM359" s="4">
        <v>0</v>
      </c>
      <c r="AN359" s="4">
        <v>0</v>
      </c>
      <c r="AO359" s="4">
        <v>0</v>
      </c>
      <c r="AP359" s="3" t="s">
        <v>59</v>
      </c>
      <c r="AQ359" s="3" t="s">
        <v>70</v>
      </c>
      <c r="AR359" s="6" t="str">
        <f>HYPERLINK("http://catalog.hathitrust.org/Record/000455041","HathiTrust Record")</f>
        <v>HathiTrust Record</v>
      </c>
      <c r="AS359" s="6" t="str">
        <f>HYPERLINK("https://creighton-primo.hosted.exlibrisgroup.com/primo-explore/search?tab=default_tab&amp;search_scope=EVERYTHING&amp;vid=01CRU&amp;lang=en_US&amp;offset=0&amp;query=any,contains,991000341099702656","Catalog Record")</f>
        <v>Catalog Record</v>
      </c>
      <c r="AT359" s="6" t="str">
        <f>HYPERLINK("http://www.worldcat.org/oclc/10272902","WorldCat Record")</f>
        <v>WorldCat Record</v>
      </c>
      <c r="AU359" s="3" t="s">
        <v>4703</v>
      </c>
      <c r="AV359" s="3" t="s">
        <v>4704</v>
      </c>
      <c r="AW359" s="3" t="s">
        <v>4705</v>
      </c>
      <c r="AX359" s="3" t="s">
        <v>4705</v>
      </c>
      <c r="AY359" s="3" t="s">
        <v>4706</v>
      </c>
      <c r="AZ359" s="3" t="s">
        <v>75</v>
      </c>
      <c r="BB359" s="3" t="s">
        <v>4707</v>
      </c>
      <c r="BC359" s="3" t="s">
        <v>4708</v>
      </c>
      <c r="BD359" s="3" t="s">
        <v>4709</v>
      </c>
    </row>
    <row r="360" spans="1:56" ht="48" customHeight="1" x14ac:dyDescent="0.25">
      <c r="A360" s="7" t="s">
        <v>59</v>
      </c>
      <c r="B360" s="2" t="s">
        <v>4710</v>
      </c>
      <c r="C360" s="2" t="s">
        <v>4711</v>
      </c>
      <c r="D360" s="2" t="s">
        <v>4712</v>
      </c>
      <c r="E360" s="3" t="s">
        <v>723</v>
      </c>
      <c r="F360" s="3" t="s">
        <v>70</v>
      </c>
      <c r="G360" s="3" t="s">
        <v>60</v>
      </c>
      <c r="H360" s="3" t="s">
        <v>59</v>
      </c>
      <c r="I360" s="3" t="s">
        <v>59</v>
      </c>
      <c r="J360" s="3" t="s">
        <v>61</v>
      </c>
      <c r="K360" s="2" t="s">
        <v>4713</v>
      </c>
      <c r="L360" s="2" t="s">
        <v>4714</v>
      </c>
      <c r="M360" s="3" t="s">
        <v>113</v>
      </c>
      <c r="O360" s="3" t="s">
        <v>64</v>
      </c>
      <c r="P360" s="3" t="s">
        <v>176</v>
      </c>
      <c r="R360" s="3" t="s">
        <v>67</v>
      </c>
      <c r="S360" s="4">
        <v>6</v>
      </c>
      <c r="T360" s="4">
        <v>28</v>
      </c>
      <c r="U360" s="5" t="s">
        <v>4715</v>
      </c>
      <c r="V360" s="5" t="s">
        <v>4716</v>
      </c>
      <c r="W360" s="5" t="s">
        <v>4108</v>
      </c>
      <c r="X360" s="5" t="s">
        <v>4108</v>
      </c>
      <c r="Y360" s="4">
        <v>126</v>
      </c>
      <c r="Z360" s="4">
        <v>94</v>
      </c>
      <c r="AA360" s="4">
        <v>98</v>
      </c>
      <c r="AB360" s="4">
        <v>1</v>
      </c>
      <c r="AC360" s="4">
        <v>1</v>
      </c>
      <c r="AD360" s="4">
        <v>0</v>
      </c>
      <c r="AE360" s="4">
        <v>0</v>
      </c>
      <c r="AF360" s="4">
        <v>0</v>
      </c>
      <c r="AG360" s="4">
        <v>0</v>
      </c>
      <c r="AH360" s="4">
        <v>0</v>
      </c>
      <c r="AI360" s="4">
        <v>0</v>
      </c>
      <c r="AJ360" s="4">
        <v>0</v>
      </c>
      <c r="AK360" s="4">
        <v>0</v>
      </c>
      <c r="AL360" s="4">
        <v>0</v>
      </c>
      <c r="AM360" s="4">
        <v>0</v>
      </c>
      <c r="AN360" s="4">
        <v>0</v>
      </c>
      <c r="AO360" s="4">
        <v>0</v>
      </c>
      <c r="AP360" s="3" t="s">
        <v>59</v>
      </c>
      <c r="AQ360" s="3" t="s">
        <v>70</v>
      </c>
      <c r="AR360" s="6" t="str">
        <f>HYPERLINK("http://catalog.hathitrust.org/Record/009325363","HathiTrust Record")</f>
        <v>HathiTrust Record</v>
      </c>
      <c r="AS360" s="6" t="str">
        <f>HYPERLINK("https://creighton-primo.hosted.exlibrisgroup.com/primo-explore/search?tab=default_tab&amp;search_scope=EVERYTHING&amp;vid=01CRU&amp;lang=en_US&amp;offset=0&amp;query=any,contains,991001237589702656","Catalog Record")</f>
        <v>Catalog Record</v>
      </c>
      <c r="AT360" s="6" t="str">
        <f>HYPERLINK("http://www.worldcat.org/oclc/17554028","WorldCat Record")</f>
        <v>WorldCat Record</v>
      </c>
      <c r="AU360" s="3" t="s">
        <v>4717</v>
      </c>
      <c r="AV360" s="3" t="s">
        <v>4718</v>
      </c>
      <c r="AW360" s="3" t="s">
        <v>4719</v>
      </c>
      <c r="AX360" s="3" t="s">
        <v>4719</v>
      </c>
      <c r="AY360" s="3" t="s">
        <v>4720</v>
      </c>
      <c r="AZ360" s="3" t="s">
        <v>75</v>
      </c>
      <c r="BC360" s="3" t="s">
        <v>4721</v>
      </c>
      <c r="BD360" s="3" t="s">
        <v>4722</v>
      </c>
    </row>
    <row r="361" spans="1:56" ht="48" customHeight="1" x14ac:dyDescent="0.25">
      <c r="A361" s="7" t="s">
        <v>59</v>
      </c>
      <c r="B361" s="2" t="s">
        <v>4710</v>
      </c>
      <c r="C361" s="2" t="s">
        <v>4711</v>
      </c>
      <c r="D361" s="2" t="s">
        <v>4712</v>
      </c>
      <c r="E361" s="3" t="s">
        <v>713</v>
      </c>
      <c r="F361" s="3" t="s">
        <v>70</v>
      </c>
      <c r="G361" s="3" t="s">
        <v>60</v>
      </c>
      <c r="H361" s="3" t="s">
        <v>59</v>
      </c>
      <c r="I361" s="3" t="s">
        <v>59</v>
      </c>
      <c r="J361" s="3" t="s">
        <v>61</v>
      </c>
      <c r="K361" s="2" t="s">
        <v>4713</v>
      </c>
      <c r="L361" s="2" t="s">
        <v>4714</v>
      </c>
      <c r="M361" s="3" t="s">
        <v>113</v>
      </c>
      <c r="O361" s="3" t="s">
        <v>64</v>
      </c>
      <c r="P361" s="3" t="s">
        <v>176</v>
      </c>
      <c r="R361" s="3" t="s">
        <v>67</v>
      </c>
      <c r="S361" s="4">
        <v>8</v>
      </c>
      <c r="T361" s="4">
        <v>28</v>
      </c>
      <c r="U361" s="5" t="s">
        <v>4716</v>
      </c>
      <c r="V361" s="5" t="s">
        <v>4716</v>
      </c>
      <c r="W361" s="5" t="s">
        <v>4108</v>
      </c>
      <c r="X361" s="5" t="s">
        <v>4108</v>
      </c>
      <c r="Y361" s="4">
        <v>126</v>
      </c>
      <c r="Z361" s="4">
        <v>94</v>
      </c>
      <c r="AA361" s="4">
        <v>98</v>
      </c>
      <c r="AB361" s="4">
        <v>1</v>
      </c>
      <c r="AC361" s="4">
        <v>1</v>
      </c>
      <c r="AD361" s="4">
        <v>0</v>
      </c>
      <c r="AE361" s="4">
        <v>0</v>
      </c>
      <c r="AF361" s="4">
        <v>0</v>
      </c>
      <c r="AG361" s="4">
        <v>0</v>
      </c>
      <c r="AH361" s="4">
        <v>0</v>
      </c>
      <c r="AI361" s="4">
        <v>0</v>
      </c>
      <c r="AJ361" s="4">
        <v>0</v>
      </c>
      <c r="AK361" s="4">
        <v>0</v>
      </c>
      <c r="AL361" s="4">
        <v>0</v>
      </c>
      <c r="AM361" s="4">
        <v>0</v>
      </c>
      <c r="AN361" s="4">
        <v>0</v>
      </c>
      <c r="AO361" s="4">
        <v>0</v>
      </c>
      <c r="AP361" s="3" t="s">
        <v>59</v>
      </c>
      <c r="AQ361" s="3" t="s">
        <v>70</v>
      </c>
      <c r="AR361" s="6" t="str">
        <f>HYPERLINK("http://catalog.hathitrust.org/Record/009325363","HathiTrust Record")</f>
        <v>HathiTrust Record</v>
      </c>
      <c r="AS361" s="6" t="str">
        <f>HYPERLINK("https://creighton-primo.hosted.exlibrisgroup.com/primo-explore/search?tab=default_tab&amp;search_scope=EVERYTHING&amp;vid=01CRU&amp;lang=en_US&amp;offset=0&amp;query=any,contains,991001237589702656","Catalog Record")</f>
        <v>Catalog Record</v>
      </c>
      <c r="AT361" s="6" t="str">
        <f>HYPERLINK("http://www.worldcat.org/oclc/17554028","WorldCat Record")</f>
        <v>WorldCat Record</v>
      </c>
      <c r="AU361" s="3" t="s">
        <v>4717</v>
      </c>
      <c r="AV361" s="3" t="s">
        <v>4718</v>
      </c>
      <c r="AW361" s="3" t="s">
        <v>4719</v>
      </c>
      <c r="AX361" s="3" t="s">
        <v>4719</v>
      </c>
      <c r="AY361" s="3" t="s">
        <v>4720</v>
      </c>
      <c r="AZ361" s="3" t="s">
        <v>75</v>
      </c>
      <c r="BC361" s="3" t="s">
        <v>4723</v>
      </c>
      <c r="BD361" s="3" t="s">
        <v>4724</v>
      </c>
    </row>
    <row r="362" spans="1:56" ht="48" customHeight="1" x14ac:dyDescent="0.25">
      <c r="A362" s="7" t="s">
        <v>59</v>
      </c>
      <c r="B362" s="2" t="s">
        <v>4710</v>
      </c>
      <c r="C362" s="2" t="s">
        <v>4711</v>
      </c>
      <c r="D362" s="2" t="s">
        <v>4712</v>
      </c>
      <c r="E362" s="3" t="s">
        <v>1470</v>
      </c>
      <c r="F362" s="3" t="s">
        <v>70</v>
      </c>
      <c r="G362" s="3" t="s">
        <v>60</v>
      </c>
      <c r="H362" s="3" t="s">
        <v>59</v>
      </c>
      <c r="I362" s="3" t="s">
        <v>59</v>
      </c>
      <c r="J362" s="3" t="s">
        <v>61</v>
      </c>
      <c r="K362" s="2" t="s">
        <v>4713</v>
      </c>
      <c r="L362" s="2" t="s">
        <v>4714</v>
      </c>
      <c r="M362" s="3" t="s">
        <v>113</v>
      </c>
      <c r="O362" s="3" t="s">
        <v>64</v>
      </c>
      <c r="P362" s="3" t="s">
        <v>176</v>
      </c>
      <c r="R362" s="3" t="s">
        <v>67</v>
      </c>
      <c r="S362" s="4">
        <v>6</v>
      </c>
      <c r="T362" s="4">
        <v>28</v>
      </c>
      <c r="U362" s="5" t="s">
        <v>4715</v>
      </c>
      <c r="V362" s="5" t="s">
        <v>4716</v>
      </c>
      <c r="W362" s="5" t="s">
        <v>4108</v>
      </c>
      <c r="X362" s="5" t="s">
        <v>4108</v>
      </c>
      <c r="Y362" s="4">
        <v>126</v>
      </c>
      <c r="Z362" s="4">
        <v>94</v>
      </c>
      <c r="AA362" s="4">
        <v>98</v>
      </c>
      <c r="AB362" s="4">
        <v>1</v>
      </c>
      <c r="AC362" s="4">
        <v>1</v>
      </c>
      <c r="AD362" s="4">
        <v>0</v>
      </c>
      <c r="AE362" s="4">
        <v>0</v>
      </c>
      <c r="AF362" s="4">
        <v>0</v>
      </c>
      <c r="AG362" s="4">
        <v>0</v>
      </c>
      <c r="AH362" s="4">
        <v>0</v>
      </c>
      <c r="AI362" s="4">
        <v>0</v>
      </c>
      <c r="AJ362" s="4">
        <v>0</v>
      </c>
      <c r="AK362" s="4">
        <v>0</v>
      </c>
      <c r="AL362" s="4">
        <v>0</v>
      </c>
      <c r="AM362" s="4">
        <v>0</v>
      </c>
      <c r="AN362" s="4">
        <v>0</v>
      </c>
      <c r="AO362" s="4">
        <v>0</v>
      </c>
      <c r="AP362" s="3" t="s">
        <v>59</v>
      </c>
      <c r="AQ362" s="3" t="s">
        <v>70</v>
      </c>
      <c r="AR362" s="6" t="str">
        <f>HYPERLINK("http://catalog.hathitrust.org/Record/009325363","HathiTrust Record")</f>
        <v>HathiTrust Record</v>
      </c>
      <c r="AS362" s="6" t="str">
        <f>HYPERLINK("https://creighton-primo.hosted.exlibrisgroup.com/primo-explore/search?tab=default_tab&amp;search_scope=EVERYTHING&amp;vid=01CRU&amp;lang=en_US&amp;offset=0&amp;query=any,contains,991001237589702656","Catalog Record")</f>
        <v>Catalog Record</v>
      </c>
      <c r="AT362" s="6" t="str">
        <f>HYPERLINK("http://www.worldcat.org/oclc/17554028","WorldCat Record")</f>
        <v>WorldCat Record</v>
      </c>
      <c r="AU362" s="3" t="s">
        <v>4717</v>
      </c>
      <c r="AV362" s="3" t="s">
        <v>4718</v>
      </c>
      <c r="AW362" s="3" t="s">
        <v>4719</v>
      </c>
      <c r="AX362" s="3" t="s">
        <v>4719</v>
      </c>
      <c r="AY362" s="3" t="s">
        <v>4720</v>
      </c>
      <c r="AZ362" s="3" t="s">
        <v>75</v>
      </c>
      <c r="BC362" s="3" t="s">
        <v>4725</v>
      </c>
      <c r="BD362" s="3" t="s">
        <v>4726</v>
      </c>
    </row>
    <row r="363" spans="1:56" ht="48" customHeight="1" x14ac:dyDescent="0.25">
      <c r="A363" s="7" t="s">
        <v>59</v>
      </c>
      <c r="B363" s="2" t="s">
        <v>4710</v>
      </c>
      <c r="C363" s="2" t="s">
        <v>4711</v>
      </c>
      <c r="D363" s="2" t="s">
        <v>4712</v>
      </c>
      <c r="E363" s="3" t="s">
        <v>4727</v>
      </c>
      <c r="F363" s="3" t="s">
        <v>70</v>
      </c>
      <c r="G363" s="3" t="s">
        <v>60</v>
      </c>
      <c r="H363" s="3" t="s">
        <v>59</v>
      </c>
      <c r="I363" s="3" t="s">
        <v>59</v>
      </c>
      <c r="J363" s="3" t="s">
        <v>61</v>
      </c>
      <c r="K363" s="2" t="s">
        <v>4713</v>
      </c>
      <c r="L363" s="2" t="s">
        <v>4714</v>
      </c>
      <c r="M363" s="3" t="s">
        <v>113</v>
      </c>
      <c r="O363" s="3" t="s">
        <v>64</v>
      </c>
      <c r="P363" s="3" t="s">
        <v>176</v>
      </c>
      <c r="R363" s="3" t="s">
        <v>67</v>
      </c>
      <c r="S363" s="4">
        <v>8</v>
      </c>
      <c r="T363" s="4">
        <v>28</v>
      </c>
      <c r="U363" s="5" t="s">
        <v>4728</v>
      </c>
      <c r="V363" s="5" t="s">
        <v>4716</v>
      </c>
      <c r="W363" s="5" t="s">
        <v>4108</v>
      </c>
      <c r="X363" s="5" t="s">
        <v>4108</v>
      </c>
      <c r="Y363" s="4">
        <v>126</v>
      </c>
      <c r="Z363" s="4">
        <v>94</v>
      </c>
      <c r="AA363" s="4">
        <v>98</v>
      </c>
      <c r="AB363" s="4">
        <v>1</v>
      </c>
      <c r="AC363" s="4">
        <v>1</v>
      </c>
      <c r="AD363" s="4">
        <v>0</v>
      </c>
      <c r="AE363" s="4">
        <v>0</v>
      </c>
      <c r="AF363" s="4">
        <v>0</v>
      </c>
      <c r="AG363" s="4">
        <v>0</v>
      </c>
      <c r="AH363" s="4">
        <v>0</v>
      </c>
      <c r="AI363" s="4">
        <v>0</v>
      </c>
      <c r="AJ363" s="4">
        <v>0</v>
      </c>
      <c r="AK363" s="4">
        <v>0</v>
      </c>
      <c r="AL363" s="4">
        <v>0</v>
      </c>
      <c r="AM363" s="4">
        <v>0</v>
      </c>
      <c r="AN363" s="4">
        <v>0</v>
      </c>
      <c r="AO363" s="4">
        <v>0</v>
      </c>
      <c r="AP363" s="3" t="s">
        <v>59</v>
      </c>
      <c r="AQ363" s="3" t="s">
        <v>70</v>
      </c>
      <c r="AR363" s="6" t="str">
        <f>HYPERLINK("http://catalog.hathitrust.org/Record/009325363","HathiTrust Record")</f>
        <v>HathiTrust Record</v>
      </c>
      <c r="AS363" s="6" t="str">
        <f>HYPERLINK("https://creighton-primo.hosted.exlibrisgroup.com/primo-explore/search?tab=default_tab&amp;search_scope=EVERYTHING&amp;vid=01CRU&amp;lang=en_US&amp;offset=0&amp;query=any,contains,991001237589702656","Catalog Record")</f>
        <v>Catalog Record</v>
      </c>
      <c r="AT363" s="6" t="str">
        <f>HYPERLINK("http://www.worldcat.org/oclc/17554028","WorldCat Record")</f>
        <v>WorldCat Record</v>
      </c>
      <c r="AU363" s="3" t="s">
        <v>4717</v>
      </c>
      <c r="AV363" s="3" t="s">
        <v>4718</v>
      </c>
      <c r="AW363" s="3" t="s">
        <v>4719</v>
      </c>
      <c r="AX363" s="3" t="s">
        <v>4719</v>
      </c>
      <c r="AY363" s="3" t="s">
        <v>4720</v>
      </c>
      <c r="AZ363" s="3" t="s">
        <v>75</v>
      </c>
      <c r="BC363" s="3" t="s">
        <v>4729</v>
      </c>
      <c r="BD363" s="3" t="s">
        <v>4730</v>
      </c>
    </row>
    <row r="364" spans="1:56" ht="48" customHeight="1" x14ac:dyDescent="0.25">
      <c r="A364" s="7" t="s">
        <v>59</v>
      </c>
      <c r="B364" s="2" t="s">
        <v>4731</v>
      </c>
      <c r="C364" s="2" t="s">
        <v>4732</v>
      </c>
      <c r="D364" s="2" t="s">
        <v>4733</v>
      </c>
      <c r="E364" s="3" t="s">
        <v>723</v>
      </c>
      <c r="F364" s="3" t="s">
        <v>70</v>
      </c>
      <c r="G364" s="3" t="s">
        <v>60</v>
      </c>
      <c r="H364" s="3" t="s">
        <v>59</v>
      </c>
      <c r="I364" s="3" t="s">
        <v>59</v>
      </c>
      <c r="J364" s="3" t="s">
        <v>61</v>
      </c>
      <c r="K364" s="2" t="s">
        <v>4734</v>
      </c>
      <c r="L364" s="2" t="s">
        <v>4735</v>
      </c>
      <c r="M364" s="3" t="s">
        <v>590</v>
      </c>
      <c r="O364" s="3" t="s">
        <v>64</v>
      </c>
      <c r="P364" s="3" t="s">
        <v>176</v>
      </c>
      <c r="R364" s="3" t="s">
        <v>67</v>
      </c>
      <c r="S364" s="4">
        <v>7</v>
      </c>
      <c r="T364" s="4">
        <v>12</v>
      </c>
      <c r="U364" s="5" t="s">
        <v>4715</v>
      </c>
      <c r="V364" s="5" t="s">
        <v>4736</v>
      </c>
      <c r="W364" s="5" t="s">
        <v>4108</v>
      </c>
      <c r="X364" s="5" t="s">
        <v>4108</v>
      </c>
      <c r="Y364" s="4">
        <v>90</v>
      </c>
      <c r="Z364" s="4">
        <v>69</v>
      </c>
      <c r="AA364" s="4">
        <v>201</v>
      </c>
      <c r="AB364" s="4">
        <v>1</v>
      </c>
      <c r="AC364" s="4">
        <v>4</v>
      </c>
      <c r="AD364" s="4">
        <v>0</v>
      </c>
      <c r="AE364" s="4">
        <v>8</v>
      </c>
      <c r="AF364" s="4">
        <v>0</v>
      </c>
      <c r="AG364" s="4">
        <v>1</v>
      </c>
      <c r="AH364" s="4">
        <v>0</v>
      </c>
      <c r="AI364" s="4">
        <v>3</v>
      </c>
      <c r="AJ364" s="4">
        <v>0</v>
      </c>
      <c r="AK364" s="4">
        <v>2</v>
      </c>
      <c r="AL364" s="4">
        <v>0</v>
      </c>
      <c r="AM364" s="4">
        <v>3</v>
      </c>
      <c r="AN364" s="4">
        <v>0</v>
      </c>
      <c r="AO364" s="4">
        <v>0</v>
      </c>
      <c r="AP364" s="3" t="s">
        <v>59</v>
      </c>
      <c r="AQ364" s="3" t="s">
        <v>70</v>
      </c>
      <c r="AR364" s="6" t="str">
        <f>HYPERLINK("http://catalog.hathitrust.org/Record/010517859","HathiTrust Record")</f>
        <v>HathiTrust Record</v>
      </c>
      <c r="AS364" s="6" t="str">
        <f>HYPERLINK("https://creighton-primo.hosted.exlibrisgroup.com/primo-explore/search?tab=default_tab&amp;search_scope=EVERYTHING&amp;vid=01CRU&amp;lang=en_US&amp;offset=0&amp;query=any,contains,991001549789702656","Catalog Record")</f>
        <v>Catalog Record</v>
      </c>
      <c r="AT364" s="6" t="str">
        <f>HYPERLINK("http://www.worldcat.org/oclc/20217804","WorldCat Record")</f>
        <v>WorldCat Record</v>
      </c>
      <c r="AU364" s="3" t="s">
        <v>4737</v>
      </c>
      <c r="AV364" s="3" t="s">
        <v>4738</v>
      </c>
      <c r="AW364" s="3" t="s">
        <v>4739</v>
      </c>
      <c r="AX364" s="3" t="s">
        <v>4739</v>
      </c>
      <c r="AY364" s="3" t="s">
        <v>4740</v>
      </c>
      <c r="AZ364" s="3" t="s">
        <v>75</v>
      </c>
      <c r="BC364" s="3" t="s">
        <v>4741</v>
      </c>
      <c r="BD364" s="3" t="s">
        <v>4742</v>
      </c>
    </row>
    <row r="365" spans="1:56" ht="48" customHeight="1" x14ac:dyDescent="0.25">
      <c r="A365" s="7" t="s">
        <v>59</v>
      </c>
      <c r="B365" s="2" t="s">
        <v>4731</v>
      </c>
      <c r="C365" s="2" t="s">
        <v>4732</v>
      </c>
      <c r="D365" s="2" t="s">
        <v>4733</v>
      </c>
      <c r="E365" s="3" t="s">
        <v>713</v>
      </c>
      <c r="F365" s="3" t="s">
        <v>70</v>
      </c>
      <c r="G365" s="3" t="s">
        <v>60</v>
      </c>
      <c r="H365" s="3" t="s">
        <v>59</v>
      </c>
      <c r="I365" s="3" t="s">
        <v>59</v>
      </c>
      <c r="J365" s="3" t="s">
        <v>61</v>
      </c>
      <c r="K365" s="2" t="s">
        <v>4734</v>
      </c>
      <c r="L365" s="2" t="s">
        <v>4735</v>
      </c>
      <c r="M365" s="3" t="s">
        <v>590</v>
      </c>
      <c r="O365" s="3" t="s">
        <v>64</v>
      </c>
      <c r="P365" s="3" t="s">
        <v>176</v>
      </c>
      <c r="R365" s="3" t="s">
        <v>67</v>
      </c>
      <c r="S365" s="4">
        <v>5</v>
      </c>
      <c r="T365" s="4">
        <v>12</v>
      </c>
      <c r="U365" s="5" t="s">
        <v>4736</v>
      </c>
      <c r="V365" s="5" t="s">
        <v>4736</v>
      </c>
      <c r="W365" s="5" t="s">
        <v>4743</v>
      </c>
      <c r="X365" s="5" t="s">
        <v>4108</v>
      </c>
      <c r="Y365" s="4">
        <v>90</v>
      </c>
      <c r="Z365" s="4">
        <v>69</v>
      </c>
      <c r="AA365" s="4">
        <v>201</v>
      </c>
      <c r="AB365" s="4">
        <v>1</v>
      </c>
      <c r="AC365" s="4">
        <v>4</v>
      </c>
      <c r="AD365" s="4">
        <v>0</v>
      </c>
      <c r="AE365" s="4">
        <v>8</v>
      </c>
      <c r="AF365" s="4">
        <v>0</v>
      </c>
      <c r="AG365" s="4">
        <v>1</v>
      </c>
      <c r="AH365" s="4">
        <v>0</v>
      </c>
      <c r="AI365" s="4">
        <v>3</v>
      </c>
      <c r="AJ365" s="4">
        <v>0</v>
      </c>
      <c r="AK365" s="4">
        <v>2</v>
      </c>
      <c r="AL365" s="4">
        <v>0</v>
      </c>
      <c r="AM365" s="4">
        <v>3</v>
      </c>
      <c r="AN365" s="4">
        <v>0</v>
      </c>
      <c r="AO365" s="4">
        <v>0</v>
      </c>
      <c r="AP365" s="3" t="s">
        <v>59</v>
      </c>
      <c r="AQ365" s="3" t="s">
        <v>70</v>
      </c>
      <c r="AR365" s="6" t="str">
        <f>HYPERLINK("http://catalog.hathitrust.org/Record/010517859","HathiTrust Record")</f>
        <v>HathiTrust Record</v>
      </c>
      <c r="AS365" s="6" t="str">
        <f>HYPERLINK("https://creighton-primo.hosted.exlibrisgroup.com/primo-explore/search?tab=default_tab&amp;search_scope=EVERYTHING&amp;vid=01CRU&amp;lang=en_US&amp;offset=0&amp;query=any,contains,991001549789702656","Catalog Record")</f>
        <v>Catalog Record</v>
      </c>
      <c r="AT365" s="6" t="str">
        <f>HYPERLINK("http://www.worldcat.org/oclc/20217804","WorldCat Record")</f>
        <v>WorldCat Record</v>
      </c>
      <c r="AU365" s="3" t="s">
        <v>4737</v>
      </c>
      <c r="AV365" s="3" t="s">
        <v>4738</v>
      </c>
      <c r="AW365" s="3" t="s">
        <v>4739</v>
      </c>
      <c r="AX365" s="3" t="s">
        <v>4739</v>
      </c>
      <c r="AY365" s="3" t="s">
        <v>4740</v>
      </c>
      <c r="AZ365" s="3" t="s">
        <v>75</v>
      </c>
      <c r="BC365" s="3" t="s">
        <v>4744</v>
      </c>
      <c r="BD365" s="3" t="s">
        <v>4745</v>
      </c>
    </row>
    <row r="366" spans="1:56" ht="48" customHeight="1" x14ac:dyDescent="0.25">
      <c r="A366" s="7" t="s">
        <v>59</v>
      </c>
      <c r="B366" s="2" t="s">
        <v>4746</v>
      </c>
      <c r="C366" s="2" t="s">
        <v>4747</v>
      </c>
      <c r="D366" s="2" t="s">
        <v>4748</v>
      </c>
      <c r="E366" s="3" t="s">
        <v>713</v>
      </c>
      <c r="F366" s="3" t="s">
        <v>70</v>
      </c>
      <c r="G366" s="3" t="s">
        <v>60</v>
      </c>
      <c r="H366" s="3" t="s">
        <v>59</v>
      </c>
      <c r="I366" s="3" t="s">
        <v>59</v>
      </c>
      <c r="J366" s="3" t="s">
        <v>61</v>
      </c>
      <c r="K366" s="2" t="s">
        <v>4749</v>
      </c>
      <c r="L366" s="2" t="s">
        <v>4750</v>
      </c>
      <c r="M366" s="3" t="s">
        <v>219</v>
      </c>
      <c r="O366" s="3" t="s">
        <v>64</v>
      </c>
      <c r="P366" s="3" t="s">
        <v>130</v>
      </c>
      <c r="R366" s="3" t="s">
        <v>67</v>
      </c>
      <c r="S366" s="4">
        <v>6</v>
      </c>
      <c r="T366" s="4">
        <v>22</v>
      </c>
      <c r="U366" s="5" t="s">
        <v>4736</v>
      </c>
      <c r="V366" s="5" t="s">
        <v>4736</v>
      </c>
      <c r="W366" s="5" t="s">
        <v>4751</v>
      </c>
      <c r="X366" s="5" t="s">
        <v>4751</v>
      </c>
      <c r="Y366" s="4">
        <v>89</v>
      </c>
      <c r="Z366" s="4">
        <v>73</v>
      </c>
      <c r="AA366" s="4">
        <v>197</v>
      </c>
      <c r="AB366" s="4">
        <v>1</v>
      </c>
      <c r="AC366" s="4">
        <v>4</v>
      </c>
      <c r="AD366" s="4">
        <v>0</v>
      </c>
      <c r="AE366" s="4">
        <v>8</v>
      </c>
      <c r="AF366" s="4">
        <v>0</v>
      </c>
      <c r="AG366" s="4">
        <v>1</v>
      </c>
      <c r="AH366" s="4">
        <v>0</v>
      </c>
      <c r="AI366" s="4">
        <v>3</v>
      </c>
      <c r="AJ366" s="4">
        <v>0</v>
      </c>
      <c r="AK366" s="4">
        <v>2</v>
      </c>
      <c r="AL366" s="4">
        <v>0</v>
      </c>
      <c r="AM366" s="4">
        <v>3</v>
      </c>
      <c r="AN366" s="4">
        <v>0</v>
      </c>
      <c r="AO366" s="4">
        <v>0</v>
      </c>
      <c r="AP366" s="3" t="s">
        <v>59</v>
      </c>
      <c r="AQ366" s="3" t="s">
        <v>70</v>
      </c>
      <c r="AR366" s="6" t="str">
        <f>HYPERLINK("http://catalog.hathitrust.org/Record/008310632","HathiTrust Record")</f>
        <v>HathiTrust Record</v>
      </c>
      <c r="AS366" s="6" t="str">
        <f>HYPERLINK("https://creighton-primo.hosted.exlibrisgroup.com/primo-explore/search?tab=default_tab&amp;search_scope=EVERYTHING&amp;vid=01CRU&amp;lang=en_US&amp;offset=0&amp;query=any,contains,991001740109702656","Catalog Record")</f>
        <v>Catalog Record</v>
      </c>
      <c r="AT366" s="6" t="str">
        <f>HYPERLINK("http://www.worldcat.org/oclc/22000913","WorldCat Record")</f>
        <v>WorldCat Record</v>
      </c>
      <c r="AU366" s="3" t="s">
        <v>4752</v>
      </c>
      <c r="AV366" s="3" t="s">
        <v>4753</v>
      </c>
      <c r="AW366" s="3" t="s">
        <v>4754</v>
      </c>
      <c r="AX366" s="3" t="s">
        <v>4754</v>
      </c>
      <c r="AY366" s="3" t="s">
        <v>4755</v>
      </c>
      <c r="AZ366" s="3" t="s">
        <v>75</v>
      </c>
      <c r="BC366" s="3" t="s">
        <v>4756</v>
      </c>
      <c r="BD366" s="3" t="s">
        <v>4757</v>
      </c>
    </row>
    <row r="367" spans="1:56" ht="48" customHeight="1" x14ac:dyDescent="0.25">
      <c r="A367" s="7" t="s">
        <v>59</v>
      </c>
      <c r="B367" s="2" t="s">
        <v>4746</v>
      </c>
      <c r="C367" s="2" t="s">
        <v>4747</v>
      </c>
      <c r="D367" s="2" t="s">
        <v>4748</v>
      </c>
      <c r="E367" s="3" t="s">
        <v>723</v>
      </c>
      <c r="F367" s="3" t="s">
        <v>70</v>
      </c>
      <c r="G367" s="3" t="s">
        <v>60</v>
      </c>
      <c r="H367" s="3" t="s">
        <v>59</v>
      </c>
      <c r="I367" s="3" t="s">
        <v>59</v>
      </c>
      <c r="J367" s="3" t="s">
        <v>61</v>
      </c>
      <c r="K367" s="2" t="s">
        <v>4749</v>
      </c>
      <c r="L367" s="2" t="s">
        <v>4750</v>
      </c>
      <c r="M367" s="3" t="s">
        <v>219</v>
      </c>
      <c r="O367" s="3" t="s">
        <v>64</v>
      </c>
      <c r="P367" s="3" t="s">
        <v>130</v>
      </c>
      <c r="R367" s="3" t="s">
        <v>67</v>
      </c>
      <c r="S367" s="4">
        <v>6</v>
      </c>
      <c r="T367" s="4">
        <v>22</v>
      </c>
      <c r="U367" s="5" t="s">
        <v>4715</v>
      </c>
      <c r="V367" s="5" t="s">
        <v>4736</v>
      </c>
      <c r="W367" s="5" t="s">
        <v>4751</v>
      </c>
      <c r="X367" s="5" t="s">
        <v>4751</v>
      </c>
      <c r="Y367" s="4">
        <v>89</v>
      </c>
      <c r="Z367" s="4">
        <v>73</v>
      </c>
      <c r="AA367" s="4">
        <v>197</v>
      </c>
      <c r="AB367" s="4">
        <v>1</v>
      </c>
      <c r="AC367" s="4">
        <v>4</v>
      </c>
      <c r="AD367" s="4">
        <v>0</v>
      </c>
      <c r="AE367" s="4">
        <v>8</v>
      </c>
      <c r="AF367" s="4">
        <v>0</v>
      </c>
      <c r="AG367" s="4">
        <v>1</v>
      </c>
      <c r="AH367" s="4">
        <v>0</v>
      </c>
      <c r="AI367" s="4">
        <v>3</v>
      </c>
      <c r="AJ367" s="4">
        <v>0</v>
      </c>
      <c r="AK367" s="4">
        <v>2</v>
      </c>
      <c r="AL367" s="4">
        <v>0</v>
      </c>
      <c r="AM367" s="4">
        <v>3</v>
      </c>
      <c r="AN367" s="4">
        <v>0</v>
      </c>
      <c r="AO367" s="4">
        <v>0</v>
      </c>
      <c r="AP367" s="3" t="s">
        <v>59</v>
      </c>
      <c r="AQ367" s="3" t="s">
        <v>70</v>
      </c>
      <c r="AR367" s="6" t="str">
        <f>HYPERLINK("http://catalog.hathitrust.org/Record/008310632","HathiTrust Record")</f>
        <v>HathiTrust Record</v>
      </c>
      <c r="AS367" s="6" t="str">
        <f>HYPERLINK("https://creighton-primo.hosted.exlibrisgroup.com/primo-explore/search?tab=default_tab&amp;search_scope=EVERYTHING&amp;vid=01CRU&amp;lang=en_US&amp;offset=0&amp;query=any,contains,991001740109702656","Catalog Record")</f>
        <v>Catalog Record</v>
      </c>
      <c r="AT367" s="6" t="str">
        <f>HYPERLINK("http://www.worldcat.org/oclc/22000913","WorldCat Record")</f>
        <v>WorldCat Record</v>
      </c>
      <c r="AU367" s="3" t="s">
        <v>4752</v>
      </c>
      <c r="AV367" s="3" t="s">
        <v>4753</v>
      </c>
      <c r="AW367" s="3" t="s">
        <v>4754</v>
      </c>
      <c r="AX367" s="3" t="s">
        <v>4754</v>
      </c>
      <c r="AY367" s="3" t="s">
        <v>4755</v>
      </c>
      <c r="AZ367" s="3" t="s">
        <v>75</v>
      </c>
      <c r="BC367" s="3" t="s">
        <v>4758</v>
      </c>
      <c r="BD367" s="3" t="s">
        <v>4759</v>
      </c>
    </row>
    <row r="368" spans="1:56" ht="48" customHeight="1" x14ac:dyDescent="0.25">
      <c r="A368" s="7" t="s">
        <v>59</v>
      </c>
      <c r="B368" s="2" t="s">
        <v>4746</v>
      </c>
      <c r="C368" s="2" t="s">
        <v>4747</v>
      </c>
      <c r="D368" s="2" t="s">
        <v>4748</v>
      </c>
      <c r="E368" s="3" t="s">
        <v>1470</v>
      </c>
      <c r="F368" s="3" t="s">
        <v>70</v>
      </c>
      <c r="G368" s="3" t="s">
        <v>60</v>
      </c>
      <c r="H368" s="3" t="s">
        <v>59</v>
      </c>
      <c r="I368" s="3" t="s">
        <v>59</v>
      </c>
      <c r="J368" s="3" t="s">
        <v>61</v>
      </c>
      <c r="K368" s="2" t="s">
        <v>4749</v>
      </c>
      <c r="L368" s="2" t="s">
        <v>4750</v>
      </c>
      <c r="M368" s="3" t="s">
        <v>219</v>
      </c>
      <c r="O368" s="3" t="s">
        <v>64</v>
      </c>
      <c r="P368" s="3" t="s">
        <v>130</v>
      </c>
      <c r="R368" s="3" t="s">
        <v>67</v>
      </c>
      <c r="S368" s="4">
        <v>10</v>
      </c>
      <c r="T368" s="4">
        <v>22</v>
      </c>
      <c r="U368" s="5" t="s">
        <v>4728</v>
      </c>
      <c r="V368" s="5" t="s">
        <v>4736</v>
      </c>
      <c r="W368" s="5" t="s">
        <v>4751</v>
      </c>
      <c r="X368" s="5" t="s">
        <v>4751</v>
      </c>
      <c r="Y368" s="4">
        <v>89</v>
      </c>
      <c r="Z368" s="4">
        <v>73</v>
      </c>
      <c r="AA368" s="4">
        <v>197</v>
      </c>
      <c r="AB368" s="4">
        <v>1</v>
      </c>
      <c r="AC368" s="4">
        <v>4</v>
      </c>
      <c r="AD368" s="4">
        <v>0</v>
      </c>
      <c r="AE368" s="4">
        <v>8</v>
      </c>
      <c r="AF368" s="4">
        <v>0</v>
      </c>
      <c r="AG368" s="4">
        <v>1</v>
      </c>
      <c r="AH368" s="4">
        <v>0</v>
      </c>
      <c r="AI368" s="4">
        <v>3</v>
      </c>
      <c r="AJ368" s="4">
        <v>0</v>
      </c>
      <c r="AK368" s="4">
        <v>2</v>
      </c>
      <c r="AL368" s="4">
        <v>0</v>
      </c>
      <c r="AM368" s="4">
        <v>3</v>
      </c>
      <c r="AN368" s="4">
        <v>0</v>
      </c>
      <c r="AO368" s="4">
        <v>0</v>
      </c>
      <c r="AP368" s="3" t="s">
        <v>59</v>
      </c>
      <c r="AQ368" s="3" t="s">
        <v>70</v>
      </c>
      <c r="AR368" s="6" t="str">
        <f>HYPERLINK("http://catalog.hathitrust.org/Record/008310632","HathiTrust Record")</f>
        <v>HathiTrust Record</v>
      </c>
      <c r="AS368" s="6" t="str">
        <f>HYPERLINK("https://creighton-primo.hosted.exlibrisgroup.com/primo-explore/search?tab=default_tab&amp;search_scope=EVERYTHING&amp;vid=01CRU&amp;lang=en_US&amp;offset=0&amp;query=any,contains,991001740109702656","Catalog Record")</f>
        <v>Catalog Record</v>
      </c>
      <c r="AT368" s="6" t="str">
        <f>HYPERLINK("http://www.worldcat.org/oclc/22000913","WorldCat Record")</f>
        <v>WorldCat Record</v>
      </c>
      <c r="AU368" s="3" t="s">
        <v>4752</v>
      </c>
      <c r="AV368" s="3" t="s">
        <v>4753</v>
      </c>
      <c r="AW368" s="3" t="s">
        <v>4754</v>
      </c>
      <c r="AX368" s="3" t="s">
        <v>4754</v>
      </c>
      <c r="AY368" s="3" t="s">
        <v>4755</v>
      </c>
      <c r="AZ368" s="3" t="s">
        <v>75</v>
      </c>
      <c r="BC368" s="3" t="s">
        <v>4760</v>
      </c>
      <c r="BD368" s="3" t="s">
        <v>4761</v>
      </c>
    </row>
    <row r="369" spans="1:56" ht="48" customHeight="1" x14ac:dyDescent="0.25">
      <c r="A369" s="7" t="s">
        <v>59</v>
      </c>
      <c r="B369" s="2" t="s">
        <v>4762</v>
      </c>
      <c r="C369" s="2" t="s">
        <v>4763</v>
      </c>
      <c r="D369" s="2" t="s">
        <v>4764</v>
      </c>
      <c r="F369" s="3" t="s">
        <v>59</v>
      </c>
      <c r="G369" s="3" t="s">
        <v>60</v>
      </c>
      <c r="H369" s="3" t="s">
        <v>59</v>
      </c>
      <c r="I369" s="3" t="s">
        <v>59</v>
      </c>
      <c r="J369" s="3" t="s">
        <v>61</v>
      </c>
      <c r="K369" s="2" t="s">
        <v>4765</v>
      </c>
      <c r="L369" s="2" t="s">
        <v>4766</v>
      </c>
      <c r="M369" s="3" t="s">
        <v>897</v>
      </c>
      <c r="O369" s="3" t="s">
        <v>64</v>
      </c>
      <c r="P369" s="3" t="s">
        <v>912</v>
      </c>
      <c r="R369" s="3" t="s">
        <v>67</v>
      </c>
      <c r="S369" s="4">
        <v>10</v>
      </c>
      <c r="T369" s="4">
        <v>10</v>
      </c>
      <c r="U369" s="5" t="s">
        <v>4767</v>
      </c>
      <c r="V369" s="5" t="s">
        <v>4767</v>
      </c>
      <c r="W369" s="5" t="s">
        <v>4768</v>
      </c>
      <c r="X369" s="5" t="s">
        <v>4768</v>
      </c>
      <c r="Y369" s="4">
        <v>331</v>
      </c>
      <c r="Z369" s="4">
        <v>255</v>
      </c>
      <c r="AA369" s="4">
        <v>1073</v>
      </c>
      <c r="AB369" s="4">
        <v>2</v>
      </c>
      <c r="AC369" s="4">
        <v>43</v>
      </c>
      <c r="AD369" s="4">
        <v>8</v>
      </c>
      <c r="AE369" s="4">
        <v>33</v>
      </c>
      <c r="AF369" s="4">
        <v>2</v>
      </c>
      <c r="AG369" s="4">
        <v>10</v>
      </c>
      <c r="AH369" s="4">
        <v>4</v>
      </c>
      <c r="AI369" s="4">
        <v>7</v>
      </c>
      <c r="AJ369" s="4">
        <v>6</v>
      </c>
      <c r="AK369" s="4">
        <v>11</v>
      </c>
      <c r="AL369" s="4">
        <v>1</v>
      </c>
      <c r="AM369" s="4">
        <v>12</v>
      </c>
      <c r="AN369" s="4">
        <v>0</v>
      </c>
      <c r="AO369" s="4">
        <v>0</v>
      </c>
      <c r="AP369" s="3" t="s">
        <v>59</v>
      </c>
      <c r="AQ369" s="3" t="s">
        <v>70</v>
      </c>
      <c r="AR369" s="6" t="str">
        <f>HYPERLINK("http://catalog.hathitrust.org/Record/002475375","HathiTrust Record")</f>
        <v>HathiTrust Record</v>
      </c>
      <c r="AS369" s="6" t="str">
        <f>HYPERLINK("https://creighton-primo.hosted.exlibrisgroup.com/primo-explore/search?tab=default_tab&amp;search_scope=EVERYTHING&amp;vid=01CRU&amp;lang=en_US&amp;offset=0&amp;query=any,contains,991001745549702656","Catalog Record")</f>
        <v>Catalog Record</v>
      </c>
      <c r="AT369" s="6" t="str">
        <f>HYPERLINK("http://www.worldcat.org/oclc/22112379","WorldCat Record")</f>
        <v>WorldCat Record</v>
      </c>
      <c r="AU369" s="3" t="s">
        <v>4769</v>
      </c>
      <c r="AV369" s="3" t="s">
        <v>4770</v>
      </c>
      <c r="AW369" s="3" t="s">
        <v>4771</v>
      </c>
      <c r="AX369" s="3" t="s">
        <v>4771</v>
      </c>
      <c r="AY369" s="3" t="s">
        <v>4772</v>
      </c>
      <c r="AZ369" s="3" t="s">
        <v>75</v>
      </c>
      <c r="BB369" s="3" t="s">
        <v>4773</v>
      </c>
      <c r="BC369" s="3" t="s">
        <v>4774</v>
      </c>
      <c r="BD369" s="3" t="s">
        <v>4775</v>
      </c>
    </row>
    <row r="370" spans="1:56" ht="48" customHeight="1" x14ac:dyDescent="0.25">
      <c r="A370" s="7" t="s">
        <v>59</v>
      </c>
      <c r="B370" s="2" t="s">
        <v>4776</v>
      </c>
      <c r="C370" s="2" t="s">
        <v>4777</v>
      </c>
      <c r="D370" s="2" t="s">
        <v>4778</v>
      </c>
      <c r="F370" s="3" t="s">
        <v>59</v>
      </c>
      <c r="G370" s="3" t="s">
        <v>60</v>
      </c>
      <c r="H370" s="3" t="s">
        <v>59</v>
      </c>
      <c r="I370" s="3" t="s">
        <v>59</v>
      </c>
      <c r="J370" s="3" t="s">
        <v>61</v>
      </c>
      <c r="L370" s="2" t="s">
        <v>4779</v>
      </c>
      <c r="M370" s="3" t="s">
        <v>897</v>
      </c>
      <c r="O370" s="3" t="s">
        <v>64</v>
      </c>
      <c r="P370" s="3" t="s">
        <v>912</v>
      </c>
      <c r="Q370" s="2" t="s">
        <v>4780</v>
      </c>
      <c r="R370" s="3" t="s">
        <v>67</v>
      </c>
      <c r="S370" s="4">
        <v>5</v>
      </c>
      <c r="T370" s="4">
        <v>5</v>
      </c>
      <c r="U370" s="5" t="s">
        <v>4767</v>
      </c>
      <c r="V370" s="5" t="s">
        <v>4767</v>
      </c>
      <c r="W370" s="5" t="s">
        <v>2089</v>
      </c>
      <c r="X370" s="5" t="s">
        <v>2089</v>
      </c>
      <c r="Y370" s="4">
        <v>187</v>
      </c>
      <c r="Z370" s="4">
        <v>157</v>
      </c>
      <c r="AA370" s="4">
        <v>184</v>
      </c>
      <c r="AB370" s="4">
        <v>2</v>
      </c>
      <c r="AC370" s="4">
        <v>2</v>
      </c>
      <c r="AD370" s="4">
        <v>13</v>
      </c>
      <c r="AE370" s="4">
        <v>13</v>
      </c>
      <c r="AF370" s="4">
        <v>4</v>
      </c>
      <c r="AG370" s="4">
        <v>4</v>
      </c>
      <c r="AH370" s="4">
        <v>4</v>
      </c>
      <c r="AI370" s="4">
        <v>4</v>
      </c>
      <c r="AJ370" s="4">
        <v>10</v>
      </c>
      <c r="AK370" s="4">
        <v>10</v>
      </c>
      <c r="AL370" s="4">
        <v>1</v>
      </c>
      <c r="AM370" s="4">
        <v>1</v>
      </c>
      <c r="AN370" s="4">
        <v>0</v>
      </c>
      <c r="AO370" s="4">
        <v>0</v>
      </c>
      <c r="AP370" s="3" t="s">
        <v>59</v>
      </c>
      <c r="AQ370" s="3" t="s">
        <v>70</v>
      </c>
      <c r="AR370" s="6" t="str">
        <f>HYPERLINK("http://catalog.hathitrust.org/Record/002526888","HathiTrust Record")</f>
        <v>HathiTrust Record</v>
      </c>
      <c r="AS370" s="6" t="str">
        <f>HYPERLINK("https://creighton-primo.hosted.exlibrisgroup.com/primo-explore/search?tab=default_tab&amp;search_scope=EVERYTHING&amp;vid=01CRU&amp;lang=en_US&amp;offset=0&amp;query=any,contains,991001868079702656","Catalog Record")</f>
        <v>Catalog Record</v>
      </c>
      <c r="AT370" s="6" t="str">
        <f>HYPERLINK("http://www.worldcat.org/oclc/25875396","WorldCat Record")</f>
        <v>WorldCat Record</v>
      </c>
      <c r="AU370" s="3" t="s">
        <v>4781</v>
      </c>
      <c r="AV370" s="3" t="s">
        <v>4782</v>
      </c>
      <c r="AW370" s="3" t="s">
        <v>4783</v>
      </c>
      <c r="AX370" s="3" t="s">
        <v>4783</v>
      </c>
      <c r="AY370" s="3" t="s">
        <v>4784</v>
      </c>
      <c r="AZ370" s="3" t="s">
        <v>75</v>
      </c>
      <c r="BB370" s="3" t="s">
        <v>4785</v>
      </c>
      <c r="BC370" s="3" t="s">
        <v>4786</v>
      </c>
      <c r="BD370" s="3" t="s">
        <v>4787</v>
      </c>
    </row>
    <row r="371" spans="1:56" ht="48" customHeight="1" x14ac:dyDescent="0.25">
      <c r="A371" s="7" t="s">
        <v>59</v>
      </c>
      <c r="B371" s="2" t="s">
        <v>4788</v>
      </c>
      <c r="C371" s="2" t="s">
        <v>4789</v>
      </c>
      <c r="D371" s="2" t="s">
        <v>4790</v>
      </c>
      <c r="E371" s="3" t="s">
        <v>723</v>
      </c>
      <c r="F371" s="3" t="s">
        <v>70</v>
      </c>
      <c r="G371" s="3" t="s">
        <v>60</v>
      </c>
      <c r="H371" s="3" t="s">
        <v>59</v>
      </c>
      <c r="I371" s="3" t="s">
        <v>59</v>
      </c>
      <c r="J371" s="3" t="s">
        <v>61</v>
      </c>
      <c r="L371" s="2" t="s">
        <v>4791</v>
      </c>
      <c r="M371" s="3" t="s">
        <v>590</v>
      </c>
      <c r="O371" s="3" t="s">
        <v>64</v>
      </c>
      <c r="P371" s="3" t="s">
        <v>264</v>
      </c>
      <c r="R371" s="3" t="s">
        <v>67</v>
      </c>
      <c r="S371" s="4">
        <v>11</v>
      </c>
      <c r="T371" s="4">
        <v>18</v>
      </c>
      <c r="U371" s="5" t="s">
        <v>4792</v>
      </c>
      <c r="V371" s="5" t="s">
        <v>4793</v>
      </c>
      <c r="W371" s="5" t="s">
        <v>4794</v>
      </c>
      <c r="X371" s="5" t="s">
        <v>4795</v>
      </c>
      <c r="Y371" s="4">
        <v>503</v>
      </c>
      <c r="Z371" s="4">
        <v>407</v>
      </c>
      <c r="AA371" s="4">
        <v>588</v>
      </c>
      <c r="AB371" s="4">
        <v>2</v>
      </c>
      <c r="AC371" s="4">
        <v>2</v>
      </c>
      <c r="AD371" s="4">
        <v>13</v>
      </c>
      <c r="AE371" s="4">
        <v>20</v>
      </c>
      <c r="AF371" s="4">
        <v>2</v>
      </c>
      <c r="AG371" s="4">
        <v>5</v>
      </c>
      <c r="AH371" s="4">
        <v>5</v>
      </c>
      <c r="AI371" s="4">
        <v>8</v>
      </c>
      <c r="AJ371" s="4">
        <v>7</v>
      </c>
      <c r="AK371" s="4">
        <v>11</v>
      </c>
      <c r="AL371" s="4">
        <v>1</v>
      </c>
      <c r="AM371" s="4">
        <v>1</v>
      </c>
      <c r="AN371" s="4">
        <v>0</v>
      </c>
      <c r="AO371" s="4">
        <v>0</v>
      </c>
      <c r="AP371" s="3" t="s">
        <v>59</v>
      </c>
      <c r="AQ371" s="3" t="s">
        <v>70</v>
      </c>
      <c r="AR371" s="6" t="str">
        <f>HYPERLINK("http://catalog.hathitrust.org/Record/000907729","HathiTrust Record")</f>
        <v>HathiTrust Record</v>
      </c>
      <c r="AS371" s="6" t="str">
        <f>HYPERLINK("https://creighton-primo.hosted.exlibrisgroup.com/primo-explore/search?tab=default_tab&amp;search_scope=EVERYTHING&amp;vid=01CRU&amp;lang=en_US&amp;offset=0&amp;query=any,contains,991001070079702656","Catalog Record")</f>
        <v>Catalog Record</v>
      </c>
      <c r="AT371" s="6" t="str">
        <f>HYPERLINK("http://www.worldcat.org/oclc/15860311","WorldCat Record")</f>
        <v>WorldCat Record</v>
      </c>
      <c r="AU371" s="3" t="s">
        <v>4796</v>
      </c>
      <c r="AV371" s="3" t="s">
        <v>4797</v>
      </c>
      <c r="AW371" s="3" t="s">
        <v>4798</v>
      </c>
      <c r="AX371" s="3" t="s">
        <v>4798</v>
      </c>
      <c r="AY371" s="3" t="s">
        <v>4799</v>
      </c>
      <c r="AZ371" s="3" t="s">
        <v>75</v>
      </c>
      <c r="BB371" s="3" t="s">
        <v>4800</v>
      </c>
      <c r="BC371" s="3" t="s">
        <v>4801</v>
      </c>
      <c r="BD371" s="3" t="s">
        <v>4802</v>
      </c>
    </row>
    <row r="372" spans="1:56" ht="48" customHeight="1" x14ac:dyDescent="0.25">
      <c r="A372" s="7" t="s">
        <v>59</v>
      </c>
      <c r="B372" s="2" t="s">
        <v>4788</v>
      </c>
      <c r="C372" s="2" t="s">
        <v>4789</v>
      </c>
      <c r="D372" s="2" t="s">
        <v>4790</v>
      </c>
      <c r="E372" s="3" t="s">
        <v>713</v>
      </c>
      <c r="F372" s="3" t="s">
        <v>70</v>
      </c>
      <c r="G372" s="3" t="s">
        <v>60</v>
      </c>
      <c r="H372" s="3" t="s">
        <v>59</v>
      </c>
      <c r="I372" s="3" t="s">
        <v>59</v>
      </c>
      <c r="J372" s="3" t="s">
        <v>61</v>
      </c>
      <c r="L372" s="2" t="s">
        <v>4791</v>
      </c>
      <c r="M372" s="3" t="s">
        <v>590</v>
      </c>
      <c r="O372" s="3" t="s">
        <v>64</v>
      </c>
      <c r="P372" s="3" t="s">
        <v>264</v>
      </c>
      <c r="R372" s="3" t="s">
        <v>67</v>
      </c>
      <c r="S372" s="4">
        <v>7</v>
      </c>
      <c r="T372" s="4">
        <v>18</v>
      </c>
      <c r="U372" s="5" t="s">
        <v>4793</v>
      </c>
      <c r="V372" s="5" t="s">
        <v>4793</v>
      </c>
      <c r="W372" s="5" t="s">
        <v>4795</v>
      </c>
      <c r="X372" s="5" t="s">
        <v>4795</v>
      </c>
      <c r="Y372" s="4">
        <v>503</v>
      </c>
      <c r="Z372" s="4">
        <v>407</v>
      </c>
      <c r="AA372" s="4">
        <v>588</v>
      </c>
      <c r="AB372" s="4">
        <v>2</v>
      </c>
      <c r="AC372" s="4">
        <v>2</v>
      </c>
      <c r="AD372" s="4">
        <v>13</v>
      </c>
      <c r="AE372" s="4">
        <v>20</v>
      </c>
      <c r="AF372" s="4">
        <v>2</v>
      </c>
      <c r="AG372" s="4">
        <v>5</v>
      </c>
      <c r="AH372" s="4">
        <v>5</v>
      </c>
      <c r="AI372" s="4">
        <v>8</v>
      </c>
      <c r="AJ372" s="4">
        <v>7</v>
      </c>
      <c r="AK372" s="4">
        <v>11</v>
      </c>
      <c r="AL372" s="4">
        <v>1</v>
      </c>
      <c r="AM372" s="4">
        <v>1</v>
      </c>
      <c r="AN372" s="4">
        <v>0</v>
      </c>
      <c r="AO372" s="4">
        <v>0</v>
      </c>
      <c r="AP372" s="3" t="s">
        <v>59</v>
      </c>
      <c r="AQ372" s="3" t="s">
        <v>70</v>
      </c>
      <c r="AR372" s="6" t="str">
        <f>HYPERLINK("http://catalog.hathitrust.org/Record/000907729","HathiTrust Record")</f>
        <v>HathiTrust Record</v>
      </c>
      <c r="AS372" s="6" t="str">
        <f>HYPERLINK("https://creighton-primo.hosted.exlibrisgroup.com/primo-explore/search?tab=default_tab&amp;search_scope=EVERYTHING&amp;vid=01CRU&amp;lang=en_US&amp;offset=0&amp;query=any,contains,991001070079702656","Catalog Record")</f>
        <v>Catalog Record</v>
      </c>
      <c r="AT372" s="6" t="str">
        <f>HYPERLINK("http://www.worldcat.org/oclc/15860311","WorldCat Record")</f>
        <v>WorldCat Record</v>
      </c>
      <c r="AU372" s="3" t="s">
        <v>4796</v>
      </c>
      <c r="AV372" s="3" t="s">
        <v>4797</v>
      </c>
      <c r="AW372" s="3" t="s">
        <v>4798</v>
      </c>
      <c r="AX372" s="3" t="s">
        <v>4798</v>
      </c>
      <c r="AY372" s="3" t="s">
        <v>4799</v>
      </c>
      <c r="AZ372" s="3" t="s">
        <v>75</v>
      </c>
      <c r="BB372" s="3" t="s">
        <v>4800</v>
      </c>
      <c r="BC372" s="3" t="s">
        <v>4803</v>
      </c>
      <c r="BD372" s="3" t="s">
        <v>4804</v>
      </c>
    </row>
    <row r="373" spans="1:56" ht="48" customHeight="1" x14ac:dyDescent="0.25">
      <c r="A373" s="7" t="s">
        <v>59</v>
      </c>
      <c r="B373" s="2" t="s">
        <v>4805</v>
      </c>
      <c r="C373" s="2" t="s">
        <v>4806</v>
      </c>
      <c r="D373" s="2" t="s">
        <v>4807</v>
      </c>
      <c r="F373" s="3" t="s">
        <v>59</v>
      </c>
      <c r="G373" s="3" t="s">
        <v>60</v>
      </c>
      <c r="H373" s="3" t="s">
        <v>59</v>
      </c>
      <c r="I373" s="3" t="s">
        <v>59</v>
      </c>
      <c r="J373" s="3" t="s">
        <v>61</v>
      </c>
      <c r="L373" s="2" t="s">
        <v>4249</v>
      </c>
      <c r="M373" s="3" t="s">
        <v>604</v>
      </c>
      <c r="O373" s="3" t="s">
        <v>64</v>
      </c>
      <c r="P373" s="3" t="s">
        <v>912</v>
      </c>
      <c r="R373" s="3" t="s">
        <v>67</v>
      </c>
      <c r="S373" s="4">
        <v>1</v>
      </c>
      <c r="T373" s="4">
        <v>1</v>
      </c>
      <c r="U373" s="5" t="s">
        <v>4808</v>
      </c>
      <c r="V373" s="5" t="s">
        <v>4808</v>
      </c>
      <c r="W373" s="5" t="s">
        <v>4211</v>
      </c>
      <c r="X373" s="5" t="s">
        <v>4211</v>
      </c>
      <c r="Y373" s="4">
        <v>176</v>
      </c>
      <c r="Z373" s="4">
        <v>146</v>
      </c>
      <c r="AA373" s="4">
        <v>170</v>
      </c>
      <c r="AB373" s="4">
        <v>2</v>
      </c>
      <c r="AC373" s="4">
        <v>2</v>
      </c>
      <c r="AD373" s="4">
        <v>8</v>
      </c>
      <c r="AE373" s="4">
        <v>8</v>
      </c>
      <c r="AF373" s="4">
        <v>3</v>
      </c>
      <c r="AG373" s="4">
        <v>3</v>
      </c>
      <c r="AH373" s="4">
        <v>2</v>
      </c>
      <c r="AI373" s="4">
        <v>2</v>
      </c>
      <c r="AJ373" s="4">
        <v>4</v>
      </c>
      <c r="AK373" s="4">
        <v>4</v>
      </c>
      <c r="AL373" s="4">
        <v>1</v>
      </c>
      <c r="AM373" s="4">
        <v>1</v>
      </c>
      <c r="AN373" s="4">
        <v>0</v>
      </c>
      <c r="AO373" s="4">
        <v>0</v>
      </c>
      <c r="AP373" s="3" t="s">
        <v>59</v>
      </c>
      <c r="AQ373" s="3" t="s">
        <v>70</v>
      </c>
      <c r="AR373" s="6" t="str">
        <f>HYPERLINK("http://catalog.hathitrust.org/Record/002954649","HathiTrust Record")</f>
        <v>HathiTrust Record</v>
      </c>
      <c r="AS373" s="6" t="str">
        <f>HYPERLINK("https://creighton-primo.hosted.exlibrisgroup.com/primo-explore/search?tab=default_tab&amp;search_scope=EVERYTHING&amp;vid=01CRU&amp;lang=en_US&amp;offset=0&amp;query=any,contains,991002397989702656","Catalog Record")</f>
        <v>Catalog Record</v>
      </c>
      <c r="AT373" s="6" t="str">
        <f>HYPERLINK("http://www.worldcat.org/oclc/31166487","WorldCat Record")</f>
        <v>WorldCat Record</v>
      </c>
      <c r="AU373" s="3" t="s">
        <v>4809</v>
      </c>
      <c r="AV373" s="3" t="s">
        <v>4810</v>
      </c>
      <c r="AW373" s="3" t="s">
        <v>4811</v>
      </c>
      <c r="AX373" s="3" t="s">
        <v>4811</v>
      </c>
      <c r="AY373" s="3" t="s">
        <v>4812</v>
      </c>
      <c r="AZ373" s="3" t="s">
        <v>75</v>
      </c>
      <c r="BB373" s="3" t="s">
        <v>4813</v>
      </c>
      <c r="BC373" s="3" t="s">
        <v>4814</v>
      </c>
      <c r="BD373" s="3" t="s">
        <v>4815</v>
      </c>
    </row>
    <row r="374" spans="1:56" ht="48" customHeight="1" x14ac:dyDescent="0.25">
      <c r="A374" s="7" t="s">
        <v>59</v>
      </c>
      <c r="B374" s="2" t="s">
        <v>4816</v>
      </c>
      <c r="C374" s="2" t="s">
        <v>4817</v>
      </c>
      <c r="D374" s="2" t="s">
        <v>4818</v>
      </c>
      <c r="F374" s="3" t="s">
        <v>59</v>
      </c>
      <c r="G374" s="3" t="s">
        <v>60</v>
      </c>
      <c r="H374" s="3" t="s">
        <v>59</v>
      </c>
      <c r="I374" s="3" t="s">
        <v>59</v>
      </c>
      <c r="J374" s="3" t="s">
        <v>61</v>
      </c>
      <c r="L374" s="2" t="s">
        <v>4819</v>
      </c>
      <c r="M374" s="3" t="s">
        <v>129</v>
      </c>
      <c r="N374" s="2" t="s">
        <v>731</v>
      </c>
      <c r="O374" s="3" t="s">
        <v>64</v>
      </c>
      <c r="P374" s="3" t="s">
        <v>84</v>
      </c>
      <c r="R374" s="3" t="s">
        <v>67</v>
      </c>
      <c r="S374" s="4">
        <v>7</v>
      </c>
      <c r="T374" s="4">
        <v>7</v>
      </c>
      <c r="U374" s="5" t="s">
        <v>4820</v>
      </c>
      <c r="V374" s="5" t="s">
        <v>4820</v>
      </c>
      <c r="W374" s="5" t="s">
        <v>4821</v>
      </c>
      <c r="X374" s="5" t="s">
        <v>4821</v>
      </c>
      <c r="Y374" s="4">
        <v>78</v>
      </c>
      <c r="Z374" s="4">
        <v>47</v>
      </c>
      <c r="AA374" s="4">
        <v>72</v>
      </c>
      <c r="AB374" s="4">
        <v>1</v>
      </c>
      <c r="AC374" s="4">
        <v>1</v>
      </c>
      <c r="AD374" s="4">
        <v>1</v>
      </c>
      <c r="AE374" s="4">
        <v>2</v>
      </c>
      <c r="AF374" s="4">
        <v>0</v>
      </c>
      <c r="AG374" s="4">
        <v>1</v>
      </c>
      <c r="AH374" s="4">
        <v>1</v>
      </c>
      <c r="AI374" s="4">
        <v>1</v>
      </c>
      <c r="AJ374" s="4">
        <v>0</v>
      </c>
      <c r="AK374" s="4">
        <v>1</v>
      </c>
      <c r="AL374" s="4">
        <v>0</v>
      </c>
      <c r="AM374" s="4">
        <v>0</v>
      </c>
      <c r="AN374" s="4">
        <v>0</v>
      </c>
      <c r="AO374" s="4">
        <v>0</v>
      </c>
      <c r="AP374" s="3" t="s">
        <v>59</v>
      </c>
      <c r="AQ374" s="3" t="s">
        <v>70</v>
      </c>
      <c r="AR374" s="6" t="str">
        <f>HYPERLINK("http://catalog.hathitrust.org/Record/002615756","HathiTrust Record")</f>
        <v>HathiTrust Record</v>
      </c>
      <c r="AS374" s="6" t="str">
        <f>HYPERLINK("https://creighton-primo.hosted.exlibrisgroup.com/primo-explore/search?tab=default_tab&amp;search_scope=EVERYTHING&amp;vid=01CRU&amp;lang=en_US&amp;offset=0&amp;query=any,contains,991002177359702656","Catalog Record")</f>
        <v>Catalog Record</v>
      </c>
      <c r="AT374" s="6" t="str">
        <f>HYPERLINK("http://www.worldcat.org/oclc/28026455","WorldCat Record")</f>
        <v>WorldCat Record</v>
      </c>
      <c r="AU374" s="3" t="s">
        <v>4822</v>
      </c>
      <c r="AV374" s="3" t="s">
        <v>4823</v>
      </c>
      <c r="AW374" s="3" t="s">
        <v>4824</v>
      </c>
      <c r="AX374" s="3" t="s">
        <v>4824</v>
      </c>
      <c r="AY374" s="3" t="s">
        <v>4825</v>
      </c>
      <c r="AZ374" s="3" t="s">
        <v>75</v>
      </c>
      <c r="BB374" s="3" t="s">
        <v>4826</v>
      </c>
      <c r="BC374" s="3" t="s">
        <v>4827</v>
      </c>
      <c r="BD374" s="3" t="s">
        <v>4828</v>
      </c>
    </row>
    <row r="375" spans="1:56" ht="48" customHeight="1" x14ac:dyDescent="0.25">
      <c r="A375" s="7" t="s">
        <v>59</v>
      </c>
      <c r="B375" s="2" t="s">
        <v>4829</v>
      </c>
      <c r="C375" s="2" t="s">
        <v>4830</v>
      </c>
      <c r="D375" s="2" t="s">
        <v>4831</v>
      </c>
      <c r="F375" s="3" t="s">
        <v>59</v>
      </c>
      <c r="G375" s="3" t="s">
        <v>60</v>
      </c>
      <c r="H375" s="3" t="s">
        <v>59</v>
      </c>
      <c r="I375" s="3" t="s">
        <v>59</v>
      </c>
      <c r="J375" s="3" t="s">
        <v>61</v>
      </c>
      <c r="L375" s="2" t="s">
        <v>189</v>
      </c>
      <c r="M375" s="3" t="s">
        <v>190</v>
      </c>
      <c r="O375" s="3" t="s">
        <v>64</v>
      </c>
      <c r="P375" s="3" t="s">
        <v>191</v>
      </c>
      <c r="Q375" s="2" t="s">
        <v>4832</v>
      </c>
      <c r="R375" s="3" t="s">
        <v>67</v>
      </c>
      <c r="S375" s="4">
        <v>2</v>
      </c>
      <c r="T375" s="4">
        <v>2</v>
      </c>
      <c r="U375" s="5" t="s">
        <v>4833</v>
      </c>
      <c r="V375" s="5" t="s">
        <v>4833</v>
      </c>
      <c r="W375" s="5" t="s">
        <v>4834</v>
      </c>
      <c r="X375" s="5" t="s">
        <v>4834</v>
      </c>
      <c r="Y375" s="4">
        <v>322</v>
      </c>
      <c r="Z375" s="4">
        <v>252</v>
      </c>
      <c r="AA375" s="4">
        <v>300</v>
      </c>
      <c r="AB375" s="4">
        <v>3</v>
      </c>
      <c r="AC375" s="4">
        <v>3</v>
      </c>
      <c r="AD375" s="4">
        <v>8</v>
      </c>
      <c r="AE375" s="4">
        <v>11</v>
      </c>
      <c r="AF375" s="4">
        <v>1</v>
      </c>
      <c r="AG375" s="4">
        <v>3</v>
      </c>
      <c r="AH375" s="4">
        <v>3</v>
      </c>
      <c r="AI375" s="4">
        <v>5</v>
      </c>
      <c r="AJ375" s="4">
        <v>4</v>
      </c>
      <c r="AK375" s="4">
        <v>4</v>
      </c>
      <c r="AL375" s="4">
        <v>2</v>
      </c>
      <c r="AM375" s="4">
        <v>2</v>
      </c>
      <c r="AN375" s="4">
        <v>0</v>
      </c>
      <c r="AO375" s="4">
        <v>0</v>
      </c>
      <c r="AP375" s="3" t="s">
        <v>59</v>
      </c>
      <c r="AQ375" s="3" t="s">
        <v>70</v>
      </c>
      <c r="AR375" s="6" t="str">
        <f>HYPERLINK("http://catalog.hathitrust.org/Record/000393745","HathiTrust Record")</f>
        <v>HathiTrust Record</v>
      </c>
      <c r="AS375" s="6" t="str">
        <f>HYPERLINK("https://creighton-primo.hosted.exlibrisgroup.com/primo-explore/search?tab=default_tab&amp;search_scope=EVERYTHING&amp;vid=01CRU&amp;lang=en_US&amp;offset=0&amp;query=any,contains,991000601299702656","Catalog Record")</f>
        <v>Catalog Record</v>
      </c>
      <c r="AT375" s="6" t="str">
        <f>HYPERLINK("http://www.worldcat.org/oclc/11841473","WorldCat Record")</f>
        <v>WorldCat Record</v>
      </c>
      <c r="AU375" s="3" t="s">
        <v>4835</v>
      </c>
      <c r="AV375" s="3" t="s">
        <v>4836</v>
      </c>
      <c r="AW375" s="3" t="s">
        <v>4837</v>
      </c>
      <c r="AX375" s="3" t="s">
        <v>4837</v>
      </c>
      <c r="AY375" s="3" t="s">
        <v>4838</v>
      </c>
      <c r="AZ375" s="3" t="s">
        <v>75</v>
      </c>
      <c r="BB375" s="3" t="s">
        <v>4839</v>
      </c>
      <c r="BC375" s="3" t="s">
        <v>4840</v>
      </c>
      <c r="BD375" s="3" t="s">
        <v>4841</v>
      </c>
    </row>
    <row r="376" spans="1:56" ht="48" customHeight="1" x14ac:dyDescent="0.25">
      <c r="A376" s="7" t="s">
        <v>59</v>
      </c>
      <c r="B376" s="2" t="s">
        <v>4842</v>
      </c>
      <c r="C376" s="2" t="s">
        <v>4843</v>
      </c>
      <c r="D376" s="2" t="s">
        <v>4844</v>
      </c>
      <c r="F376" s="3" t="s">
        <v>59</v>
      </c>
      <c r="G376" s="3" t="s">
        <v>60</v>
      </c>
      <c r="H376" s="3" t="s">
        <v>59</v>
      </c>
      <c r="I376" s="3" t="s">
        <v>59</v>
      </c>
      <c r="J376" s="3" t="s">
        <v>61</v>
      </c>
      <c r="K376" s="2" t="s">
        <v>4845</v>
      </c>
      <c r="L376" s="2" t="s">
        <v>813</v>
      </c>
      <c r="M376" s="3" t="s">
        <v>319</v>
      </c>
      <c r="O376" s="3" t="s">
        <v>64</v>
      </c>
      <c r="P376" s="3" t="s">
        <v>84</v>
      </c>
      <c r="R376" s="3" t="s">
        <v>67</v>
      </c>
      <c r="S376" s="4">
        <v>7</v>
      </c>
      <c r="T376" s="4">
        <v>7</v>
      </c>
      <c r="U376" s="5" t="s">
        <v>3421</v>
      </c>
      <c r="V376" s="5" t="s">
        <v>3421</v>
      </c>
      <c r="W376" s="5" t="s">
        <v>4108</v>
      </c>
      <c r="X376" s="5" t="s">
        <v>4108</v>
      </c>
      <c r="Y376" s="4">
        <v>543</v>
      </c>
      <c r="Z376" s="4">
        <v>452</v>
      </c>
      <c r="AA376" s="4">
        <v>457</v>
      </c>
      <c r="AB376" s="4">
        <v>4</v>
      </c>
      <c r="AC376" s="4">
        <v>4</v>
      </c>
      <c r="AD376" s="4">
        <v>24</v>
      </c>
      <c r="AE376" s="4">
        <v>24</v>
      </c>
      <c r="AF376" s="4">
        <v>11</v>
      </c>
      <c r="AG376" s="4">
        <v>11</v>
      </c>
      <c r="AH376" s="4">
        <v>3</v>
      </c>
      <c r="AI376" s="4">
        <v>3</v>
      </c>
      <c r="AJ376" s="4">
        <v>12</v>
      </c>
      <c r="AK376" s="4">
        <v>12</v>
      </c>
      <c r="AL376" s="4">
        <v>3</v>
      </c>
      <c r="AM376" s="4">
        <v>3</v>
      </c>
      <c r="AN376" s="4">
        <v>0</v>
      </c>
      <c r="AO376" s="4">
        <v>0</v>
      </c>
      <c r="AP376" s="3" t="s">
        <v>59</v>
      </c>
      <c r="AQ376" s="3" t="s">
        <v>59</v>
      </c>
      <c r="AS376" s="6" t="str">
        <f>HYPERLINK("https://creighton-primo.hosted.exlibrisgroup.com/primo-explore/search?tab=default_tab&amp;search_scope=EVERYTHING&amp;vid=01CRU&amp;lang=en_US&amp;offset=0&amp;query=any,contains,991000221879702656","Catalog Record")</f>
        <v>Catalog Record</v>
      </c>
      <c r="AT376" s="6" t="str">
        <f>HYPERLINK("http://www.worldcat.org/oclc/9576664","WorldCat Record")</f>
        <v>WorldCat Record</v>
      </c>
      <c r="AU376" s="3" t="s">
        <v>4846</v>
      </c>
      <c r="AV376" s="3" t="s">
        <v>4847</v>
      </c>
      <c r="AW376" s="3" t="s">
        <v>4848</v>
      </c>
      <c r="AX376" s="3" t="s">
        <v>4848</v>
      </c>
      <c r="AY376" s="3" t="s">
        <v>4849</v>
      </c>
      <c r="AZ376" s="3" t="s">
        <v>75</v>
      </c>
      <c r="BB376" s="3" t="s">
        <v>4850</v>
      </c>
      <c r="BC376" s="3" t="s">
        <v>4851</v>
      </c>
      <c r="BD376" s="3" t="s">
        <v>4852</v>
      </c>
    </row>
    <row r="377" spans="1:56" ht="48" customHeight="1" x14ac:dyDescent="0.25">
      <c r="A377" s="7" t="s">
        <v>59</v>
      </c>
      <c r="B377" s="2" t="s">
        <v>4853</v>
      </c>
      <c r="C377" s="2" t="s">
        <v>4854</v>
      </c>
      <c r="D377" s="2" t="s">
        <v>4855</v>
      </c>
      <c r="F377" s="3" t="s">
        <v>59</v>
      </c>
      <c r="G377" s="3" t="s">
        <v>60</v>
      </c>
      <c r="H377" s="3" t="s">
        <v>59</v>
      </c>
      <c r="I377" s="3" t="s">
        <v>59</v>
      </c>
      <c r="J377" s="3" t="s">
        <v>61</v>
      </c>
      <c r="L377" s="2" t="s">
        <v>4856</v>
      </c>
      <c r="M377" s="3" t="s">
        <v>519</v>
      </c>
      <c r="O377" s="3" t="s">
        <v>64</v>
      </c>
      <c r="P377" s="3" t="s">
        <v>130</v>
      </c>
      <c r="R377" s="3" t="s">
        <v>67</v>
      </c>
      <c r="S377" s="4">
        <v>13</v>
      </c>
      <c r="T377" s="4">
        <v>13</v>
      </c>
      <c r="U377" s="5" t="s">
        <v>4857</v>
      </c>
      <c r="V377" s="5" t="s">
        <v>4857</v>
      </c>
      <c r="W377" s="5" t="s">
        <v>4858</v>
      </c>
      <c r="X377" s="5" t="s">
        <v>4858</v>
      </c>
      <c r="Y377" s="4">
        <v>408</v>
      </c>
      <c r="Z377" s="4">
        <v>301</v>
      </c>
      <c r="AA377" s="4">
        <v>303</v>
      </c>
      <c r="AB377" s="4">
        <v>1</v>
      </c>
      <c r="AC377" s="4">
        <v>1</v>
      </c>
      <c r="AD377" s="4">
        <v>14</v>
      </c>
      <c r="AE377" s="4">
        <v>14</v>
      </c>
      <c r="AF377" s="4">
        <v>7</v>
      </c>
      <c r="AG377" s="4">
        <v>7</v>
      </c>
      <c r="AH377" s="4">
        <v>5</v>
      </c>
      <c r="AI377" s="4">
        <v>5</v>
      </c>
      <c r="AJ377" s="4">
        <v>9</v>
      </c>
      <c r="AK377" s="4">
        <v>9</v>
      </c>
      <c r="AL377" s="4">
        <v>0</v>
      </c>
      <c r="AM377" s="4">
        <v>0</v>
      </c>
      <c r="AN377" s="4">
        <v>0</v>
      </c>
      <c r="AO377" s="4">
        <v>0</v>
      </c>
      <c r="AP377" s="3" t="s">
        <v>59</v>
      </c>
      <c r="AQ377" s="3" t="s">
        <v>59</v>
      </c>
      <c r="AS377" s="6" t="str">
        <f>HYPERLINK("https://creighton-primo.hosted.exlibrisgroup.com/primo-explore/search?tab=default_tab&amp;search_scope=EVERYTHING&amp;vid=01CRU&amp;lang=en_US&amp;offset=0&amp;query=any,contains,991002235239702656","Catalog Record")</f>
        <v>Catalog Record</v>
      </c>
      <c r="AT377" s="6" t="str">
        <f>HYPERLINK("http://www.worldcat.org/oclc/28802042","WorldCat Record")</f>
        <v>WorldCat Record</v>
      </c>
      <c r="AU377" s="3" t="s">
        <v>4859</v>
      </c>
      <c r="AV377" s="3" t="s">
        <v>4860</v>
      </c>
      <c r="AW377" s="3" t="s">
        <v>4861</v>
      </c>
      <c r="AX377" s="3" t="s">
        <v>4861</v>
      </c>
      <c r="AY377" s="3" t="s">
        <v>4862</v>
      </c>
      <c r="AZ377" s="3" t="s">
        <v>75</v>
      </c>
      <c r="BB377" s="3" t="s">
        <v>4863</v>
      </c>
      <c r="BC377" s="3" t="s">
        <v>4864</v>
      </c>
      <c r="BD377" s="3" t="s">
        <v>4865</v>
      </c>
    </row>
    <row r="378" spans="1:56" ht="48" customHeight="1" x14ac:dyDescent="0.25">
      <c r="A378" s="7" t="s">
        <v>59</v>
      </c>
      <c r="B378" s="2" t="s">
        <v>4866</v>
      </c>
      <c r="C378" s="2" t="s">
        <v>4867</v>
      </c>
      <c r="D378" s="2" t="s">
        <v>4868</v>
      </c>
      <c r="F378" s="3" t="s">
        <v>59</v>
      </c>
      <c r="G378" s="3" t="s">
        <v>60</v>
      </c>
      <c r="H378" s="3" t="s">
        <v>59</v>
      </c>
      <c r="I378" s="3" t="s">
        <v>59</v>
      </c>
      <c r="J378" s="3" t="s">
        <v>61</v>
      </c>
      <c r="K378" s="2" t="s">
        <v>4660</v>
      </c>
      <c r="L378" s="2" t="s">
        <v>4869</v>
      </c>
      <c r="M378" s="3" t="s">
        <v>319</v>
      </c>
      <c r="O378" s="3" t="s">
        <v>64</v>
      </c>
      <c r="P378" s="3" t="s">
        <v>264</v>
      </c>
      <c r="R378" s="3" t="s">
        <v>67</v>
      </c>
      <c r="S378" s="4">
        <v>3</v>
      </c>
      <c r="T378" s="4">
        <v>3</v>
      </c>
      <c r="U378" s="5" t="s">
        <v>3593</v>
      </c>
      <c r="V378" s="5" t="s">
        <v>3593</v>
      </c>
      <c r="W378" s="5" t="s">
        <v>4108</v>
      </c>
      <c r="X378" s="5" t="s">
        <v>4108</v>
      </c>
      <c r="Y378" s="4">
        <v>468</v>
      </c>
      <c r="Z378" s="4">
        <v>339</v>
      </c>
      <c r="AA378" s="4">
        <v>345</v>
      </c>
      <c r="AB378" s="4">
        <v>2</v>
      </c>
      <c r="AC378" s="4">
        <v>2</v>
      </c>
      <c r="AD378" s="4">
        <v>8</v>
      </c>
      <c r="AE378" s="4">
        <v>8</v>
      </c>
      <c r="AF378" s="4">
        <v>4</v>
      </c>
      <c r="AG378" s="4">
        <v>4</v>
      </c>
      <c r="AH378" s="4">
        <v>1</v>
      </c>
      <c r="AI378" s="4">
        <v>1</v>
      </c>
      <c r="AJ378" s="4">
        <v>5</v>
      </c>
      <c r="AK378" s="4">
        <v>5</v>
      </c>
      <c r="AL378" s="4">
        <v>1</v>
      </c>
      <c r="AM378" s="4">
        <v>1</v>
      </c>
      <c r="AN378" s="4">
        <v>0</v>
      </c>
      <c r="AO378" s="4">
        <v>0</v>
      </c>
      <c r="AP378" s="3" t="s">
        <v>59</v>
      </c>
      <c r="AQ378" s="3" t="s">
        <v>70</v>
      </c>
      <c r="AR378" s="6" t="str">
        <f>HYPERLINK("http://catalog.hathitrust.org/Record/000613855","HathiTrust Record")</f>
        <v>HathiTrust Record</v>
      </c>
      <c r="AS378" s="6" t="str">
        <f>HYPERLINK("https://creighton-primo.hosted.exlibrisgroup.com/primo-explore/search?tab=default_tab&amp;search_scope=EVERYTHING&amp;vid=01CRU&amp;lang=en_US&amp;offset=0&amp;query=any,contains,991000435989702656","Catalog Record")</f>
        <v>Catalog Record</v>
      </c>
      <c r="AT378" s="6" t="str">
        <f>HYPERLINK("http://www.worldcat.org/oclc/10798963","WorldCat Record")</f>
        <v>WorldCat Record</v>
      </c>
      <c r="AU378" s="3" t="s">
        <v>4870</v>
      </c>
      <c r="AV378" s="3" t="s">
        <v>4871</v>
      </c>
      <c r="AW378" s="3" t="s">
        <v>4872</v>
      </c>
      <c r="AX378" s="3" t="s">
        <v>4872</v>
      </c>
      <c r="AY378" s="3" t="s">
        <v>4873</v>
      </c>
      <c r="AZ378" s="3" t="s">
        <v>75</v>
      </c>
      <c r="BB378" s="3" t="s">
        <v>4874</v>
      </c>
      <c r="BC378" s="3" t="s">
        <v>4875</v>
      </c>
      <c r="BD378" s="3" t="s">
        <v>4876</v>
      </c>
    </row>
    <row r="379" spans="1:56" ht="48" customHeight="1" x14ac:dyDescent="0.25">
      <c r="A379" s="7" t="s">
        <v>59</v>
      </c>
      <c r="B379" s="2" t="s">
        <v>4877</v>
      </c>
      <c r="C379" s="2" t="s">
        <v>4878</v>
      </c>
      <c r="D379" s="2" t="s">
        <v>4879</v>
      </c>
      <c r="F379" s="3" t="s">
        <v>59</v>
      </c>
      <c r="G379" s="3" t="s">
        <v>60</v>
      </c>
      <c r="H379" s="3" t="s">
        <v>59</v>
      </c>
      <c r="I379" s="3" t="s">
        <v>59</v>
      </c>
      <c r="J379" s="3" t="s">
        <v>61</v>
      </c>
      <c r="L379" s="2" t="s">
        <v>4880</v>
      </c>
      <c r="M379" s="3" t="s">
        <v>363</v>
      </c>
      <c r="O379" s="3" t="s">
        <v>64</v>
      </c>
      <c r="P379" s="3" t="s">
        <v>130</v>
      </c>
      <c r="R379" s="3" t="s">
        <v>67</v>
      </c>
      <c r="S379" s="4">
        <v>4</v>
      </c>
      <c r="T379" s="4">
        <v>4</v>
      </c>
      <c r="U379" s="5" t="s">
        <v>4881</v>
      </c>
      <c r="V379" s="5" t="s">
        <v>4881</v>
      </c>
      <c r="W379" s="5" t="s">
        <v>4108</v>
      </c>
      <c r="X379" s="5" t="s">
        <v>4108</v>
      </c>
      <c r="Y379" s="4">
        <v>213</v>
      </c>
      <c r="Z379" s="4">
        <v>164</v>
      </c>
      <c r="AA379" s="4">
        <v>167</v>
      </c>
      <c r="AB379" s="4">
        <v>2</v>
      </c>
      <c r="AC379" s="4">
        <v>2</v>
      </c>
      <c r="AD379" s="4">
        <v>9</v>
      </c>
      <c r="AE379" s="4">
        <v>9</v>
      </c>
      <c r="AF379" s="4">
        <v>3</v>
      </c>
      <c r="AG379" s="4">
        <v>3</v>
      </c>
      <c r="AH379" s="4">
        <v>2</v>
      </c>
      <c r="AI379" s="4">
        <v>2</v>
      </c>
      <c r="AJ379" s="4">
        <v>5</v>
      </c>
      <c r="AK379" s="4">
        <v>5</v>
      </c>
      <c r="AL379" s="4">
        <v>1</v>
      </c>
      <c r="AM379" s="4">
        <v>1</v>
      </c>
      <c r="AN379" s="4">
        <v>0</v>
      </c>
      <c r="AO379" s="4">
        <v>0</v>
      </c>
      <c r="AP379" s="3" t="s">
        <v>59</v>
      </c>
      <c r="AQ379" s="3" t="s">
        <v>70</v>
      </c>
      <c r="AR379" s="6" t="str">
        <f>HYPERLINK("http://catalog.hathitrust.org/Record/000286621","HathiTrust Record")</f>
        <v>HathiTrust Record</v>
      </c>
      <c r="AS379" s="6" t="str">
        <f>HYPERLINK("https://creighton-primo.hosted.exlibrisgroup.com/primo-explore/search?tab=default_tab&amp;search_scope=EVERYTHING&amp;vid=01CRU&amp;lang=en_US&amp;offset=0&amp;query=any,contains,991005214519702656","Catalog Record")</f>
        <v>Catalog Record</v>
      </c>
      <c r="AT379" s="6" t="str">
        <f>HYPERLINK("http://www.worldcat.org/oclc/8176649","WorldCat Record")</f>
        <v>WorldCat Record</v>
      </c>
      <c r="AU379" s="3" t="s">
        <v>4882</v>
      </c>
      <c r="AV379" s="3" t="s">
        <v>4883</v>
      </c>
      <c r="AW379" s="3" t="s">
        <v>4884</v>
      </c>
      <c r="AX379" s="3" t="s">
        <v>4884</v>
      </c>
      <c r="AY379" s="3" t="s">
        <v>4885</v>
      </c>
      <c r="AZ379" s="3" t="s">
        <v>75</v>
      </c>
      <c r="BB379" s="3" t="s">
        <v>4886</v>
      </c>
      <c r="BC379" s="3" t="s">
        <v>4887</v>
      </c>
      <c r="BD379" s="3" t="s">
        <v>4888</v>
      </c>
    </row>
    <row r="380" spans="1:56" ht="48" customHeight="1" x14ac:dyDescent="0.25">
      <c r="A380" s="7" t="s">
        <v>59</v>
      </c>
      <c r="B380" s="2" t="s">
        <v>4889</v>
      </c>
      <c r="C380" s="2" t="s">
        <v>4890</v>
      </c>
      <c r="D380" s="2" t="s">
        <v>4891</v>
      </c>
      <c r="F380" s="3" t="s">
        <v>59</v>
      </c>
      <c r="G380" s="3" t="s">
        <v>60</v>
      </c>
      <c r="H380" s="3" t="s">
        <v>59</v>
      </c>
      <c r="I380" s="3" t="s">
        <v>59</v>
      </c>
      <c r="J380" s="3" t="s">
        <v>61</v>
      </c>
      <c r="K380" s="2" t="s">
        <v>4892</v>
      </c>
      <c r="L380" s="2" t="s">
        <v>858</v>
      </c>
      <c r="M380" s="3" t="s">
        <v>417</v>
      </c>
      <c r="O380" s="3" t="s">
        <v>64</v>
      </c>
      <c r="P380" s="3" t="s">
        <v>130</v>
      </c>
      <c r="Q380" s="2" t="s">
        <v>4893</v>
      </c>
      <c r="R380" s="3" t="s">
        <v>67</v>
      </c>
      <c r="S380" s="4">
        <v>8</v>
      </c>
      <c r="T380" s="4">
        <v>8</v>
      </c>
      <c r="U380" s="5" t="s">
        <v>4210</v>
      </c>
      <c r="V380" s="5" t="s">
        <v>4210</v>
      </c>
      <c r="W380" s="5" t="s">
        <v>2604</v>
      </c>
      <c r="X380" s="5" t="s">
        <v>2604</v>
      </c>
      <c r="Y380" s="4">
        <v>169</v>
      </c>
      <c r="Z380" s="4">
        <v>132</v>
      </c>
      <c r="AA380" s="4">
        <v>134</v>
      </c>
      <c r="AB380" s="4">
        <v>1</v>
      </c>
      <c r="AC380" s="4">
        <v>1</v>
      </c>
      <c r="AD380" s="4">
        <v>4</v>
      </c>
      <c r="AE380" s="4">
        <v>4</v>
      </c>
      <c r="AF380" s="4">
        <v>1</v>
      </c>
      <c r="AG380" s="4">
        <v>1</v>
      </c>
      <c r="AH380" s="4">
        <v>2</v>
      </c>
      <c r="AI380" s="4">
        <v>2</v>
      </c>
      <c r="AJ380" s="4">
        <v>3</v>
      </c>
      <c r="AK380" s="4">
        <v>3</v>
      </c>
      <c r="AL380" s="4">
        <v>0</v>
      </c>
      <c r="AM380" s="4">
        <v>0</v>
      </c>
      <c r="AN380" s="4">
        <v>0</v>
      </c>
      <c r="AO380" s="4">
        <v>0</v>
      </c>
      <c r="AP380" s="3" t="s">
        <v>59</v>
      </c>
      <c r="AQ380" s="3" t="s">
        <v>70</v>
      </c>
      <c r="AR380" s="6" t="str">
        <f>HYPERLINK("http://catalog.hathitrust.org/Record/000204430","HathiTrust Record")</f>
        <v>HathiTrust Record</v>
      </c>
      <c r="AS380" s="6" t="str">
        <f>HYPERLINK("https://creighton-primo.hosted.exlibrisgroup.com/primo-explore/search?tab=default_tab&amp;search_scope=EVERYTHING&amp;vid=01CRU&amp;lang=en_US&amp;offset=0&amp;query=any,contains,991000239839702656","Catalog Record")</f>
        <v>Catalog Record</v>
      </c>
      <c r="AT380" s="6" t="str">
        <f>HYPERLINK("http://www.worldcat.org/oclc/9682975","WorldCat Record")</f>
        <v>WorldCat Record</v>
      </c>
      <c r="AU380" s="3" t="s">
        <v>4894</v>
      </c>
      <c r="AV380" s="3" t="s">
        <v>4895</v>
      </c>
      <c r="AW380" s="3" t="s">
        <v>4896</v>
      </c>
      <c r="AX380" s="3" t="s">
        <v>4896</v>
      </c>
      <c r="AY380" s="3" t="s">
        <v>4897</v>
      </c>
      <c r="AZ380" s="3" t="s">
        <v>75</v>
      </c>
      <c r="BB380" s="3" t="s">
        <v>4898</v>
      </c>
      <c r="BC380" s="3" t="s">
        <v>4899</v>
      </c>
      <c r="BD380" s="3" t="s">
        <v>4900</v>
      </c>
    </row>
    <row r="381" spans="1:56" ht="48" customHeight="1" x14ac:dyDescent="0.25">
      <c r="A381" s="7" t="s">
        <v>59</v>
      </c>
      <c r="B381" s="2" t="s">
        <v>4901</v>
      </c>
      <c r="C381" s="2" t="s">
        <v>4902</v>
      </c>
      <c r="D381" s="2" t="s">
        <v>4903</v>
      </c>
      <c r="F381" s="3" t="s">
        <v>59</v>
      </c>
      <c r="G381" s="3" t="s">
        <v>60</v>
      </c>
      <c r="H381" s="3" t="s">
        <v>59</v>
      </c>
      <c r="I381" s="3" t="s">
        <v>59</v>
      </c>
      <c r="J381" s="3" t="s">
        <v>61</v>
      </c>
      <c r="L381" s="2" t="s">
        <v>4904</v>
      </c>
      <c r="M381" s="3" t="s">
        <v>113</v>
      </c>
      <c r="O381" s="3" t="s">
        <v>64</v>
      </c>
      <c r="P381" s="3" t="s">
        <v>130</v>
      </c>
      <c r="Q381" s="2" t="s">
        <v>4905</v>
      </c>
      <c r="R381" s="3" t="s">
        <v>67</v>
      </c>
      <c r="S381" s="4">
        <v>3</v>
      </c>
      <c r="T381" s="4">
        <v>3</v>
      </c>
      <c r="U381" s="5" t="s">
        <v>100</v>
      </c>
      <c r="V381" s="5" t="s">
        <v>100</v>
      </c>
      <c r="W381" s="5" t="s">
        <v>4108</v>
      </c>
      <c r="X381" s="5" t="s">
        <v>4108</v>
      </c>
      <c r="Y381" s="4">
        <v>243</v>
      </c>
      <c r="Z381" s="4">
        <v>176</v>
      </c>
      <c r="AA381" s="4">
        <v>183</v>
      </c>
      <c r="AB381" s="4">
        <v>2</v>
      </c>
      <c r="AC381" s="4">
        <v>2</v>
      </c>
      <c r="AD381" s="4">
        <v>7</v>
      </c>
      <c r="AE381" s="4">
        <v>7</v>
      </c>
      <c r="AF381" s="4">
        <v>2</v>
      </c>
      <c r="AG381" s="4">
        <v>2</v>
      </c>
      <c r="AH381" s="4">
        <v>3</v>
      </c>
      <c r="AI381" s="4">
        <v>3</v>
      </c>
      <c r="AJ381" s="4">
        <v>5</v>
      </c>
      <c r="AK381" s="4">
        <v>5</v>
      </c>
      <c r="AL381" s="4">
        <v>1</v>
      </c>
      <c r="AM381" s="4">
        <v>1</v>
      </c>
      <c r="AN381" s="4">
        <v>0</v>
      </c>
      <c r="AO381" s="4">
        <v>0</v>
      </c>
      <c r="AP381" s="3" t="s">
        <v>59</v>
      </c>
      <c r="AQ381" s="3" t="s">
        <v>70</v>
      </c>
      <c r="AR381" s="6" t="str">
        <f>HYPERLINK("http://catalog.hathitrust.org/Record/000833229","HathiTrust Record")</f>
        <v>HathiTrust Record</v>
      </c>
      <c r="AS381" s="6" t="str">
        <f>HYPERLINK("https://creighton-primo.hosted.exlibrisgroup.com/primo-explore/search?tab=default_tab&amp;search_scope=EVERYTHING&amp;vid=01CRU&amp;lang=en_US&amp;offset=0&amp;query=any,contains,991000934989702656","Catalog Record")</f>
        <v>Catalog Record</v>
      </c>
      <c r="AT381" s="6" t="str">
        <f>HYPERLINK("http://www.worldcat.org/oclc/14358847","WorldCat Record")</f>
        <v>WorldCat Record</v>
      </c>
      <c r="AU381" s="3" t="s">
        <v>4906</v>
      </c>
      <c r="AV381" s="3" t="s">
        <v>4907</v>
      </c>
      <c r="AW381" s="3" t="s">
        <v>4908</v>
      </c>
      <c r="AX381" s="3" t="s">
        <v>4908</v>
      </c>
      <c r="AY381" s="3" t="s">
        <v>4909</v>
      </c>
      <c r="AZ381" s="3" t="s">
        <v>75</v>
      </c>
      <c r="BB381" s="3" t="s">
        <v>4910</v>
      </c>
      <c r="BC381" s="3" t="s">
        <v>4911</v>
      </c>
      <c r="BD381" s="3" t="s">
        <v>4912</v>
      </c>
    </row>
    <row r="382" spans="1:56" ht="48" customHeight="1" x14ac:dyDescent="0.25">
      <c r="A382" s="7" t="s">
        <v>59</v>
      </c>
      <c r="B382" s="2" t="s">
        <v>4913</v>
      </c>
      <c r="C382" s="2" t="s">
        <v>4914</v>
      </c>
      <c r="D382" s="2" t="s">
        <v>4915</v>
      </c>
      <c r="F382" s="3" t="s">
        <v>59</v>
      </c>
      <c r="G382" s="3" t="s">
        <v>60</v>
      </c>
      <c r="H382" s="3" t="s">
        <v>59</v>
      </c>
      <c r="I382" s="3" t="s">
        <v>59</v>
      </c>
      <c r="J382" s="3" t="s">
        <v>61</v>
      </c>
      <c r="L382" s="2" t="s">
        <v>4916</v>
      </c>
      <c r="M382" s="3" t="s">
        <v>190</v>
      </c>
      <c r="O382" s="3" t="s">
        <v>64</v>
      </c>
      <c r="P382" s="3" t="s">
        <v>84</v>
      </c>
      <c r="Q382" s="2" t="s">
        <v>4917</v>
      </c>
      <c r="R382" s="3" t="s">
        <v>67</v>
      </c>
      <c r="S382" s="4">
        <v>8</v>
      </c>
      <c r="T382" s="4">
        <v>8</v>
      </c>
      <c r="U382" s="5" t="s">
        <v>4918</v>
      </c>
      <c r="V382" s="5" t="s">
        <v>4918</v>
      </c>
      <c r="W382" s="5" t="s">
        <v>4108</v>
      </c>
      <c r="X382" s="5" t="s">
        <v>4108</v>
      </c>
      <c r="Y382" s="4">
        <v>262</v>
      </c>
      <c r="Z382" s="4">
        <v>187</v>
      </c>
      <c r="AA382" s="4">
        <v>194</v>
      </c>
      <c r="AB382" s="4">
        <v>2</v>
      </c>
      <c r="AC382" s="4">
        <v>2</v>
      </c>
      <c r="AD382" s="4">
        <v>5</v>
      </c>
      <c r="AE382" s="4">
        <v>5</v>
      </c>
      <c r="AF382" s="4">
        <v>1</v>
      </c>
      <c r="AG382" s="4">
        <v>1</v>
      </c>
      <c r="AH382" s="4">
        <v>2</v>
      </c>
      <c r="AI382" s="4">
        <v>2</v>
      </c>
      <c r="AJ382" s="4">
        <v>3</v>
      </c>
      <c r="AK382" s="4">
        <v>3</v>
      </c>
      <c r="AL382" s="4">
        <v>1</v>
      </c>
      <c r="AM382" s="4">
        <v>1</v>
      </c>
      <c r="AN382" s="4">
        <v>0</v>
      </c>
      <c r="AO382" s="4">
        <v>0</v>
      </c>
      <c r="AP382" s="3" t="s">
        <v>59</v>
      </c>
      <c r="AQ382" s="3" t="s">
        <v>70</v>
      </c>
      <c r="AR382" s="6" t="str">
        <f>HYPERLINK("http://catalog.hathitrust.org/Record/000482850","HathiTrust Record")</f>
        <v>HathiTrust Record</v>
      </c>
      <c r="AS382" s="6" t="str">
        <f>HYPERLINK("https://creighton-primo.hosted.exlibrisgroup.com/primo-explore/search?tab=default_tab&amp;search_scope=EVERYTHING&amp;vid=01CRU&amp;lang=en_US&amp;offset=0&amp;query=any,contains,991000791959702656","Catalog Record")</f>
        <v>Catalog Record</v>
      </c>
      <c r="AT382" s="6" t="str">
        <f>HYPERLINK("http://www.worldcat.org/oclc/13159048","WorldCat Record")</f>
        <v>WorldCat Record</v>
      </c>
      <c r="AU382" s="3" t="s">
        <v>4919</v>
      </c>
      <c r="AV382" s="3" t="s">
        <v>4920</v>
      </c>
      <c r="AW382" s="3" t="s">
        <v>4921</v>
      </c>
      <c r="AX382" s="3" t="s">
        <v>4921</v>
      </c>
      <c r="AY382" s="3" t="s">
        <v>4922</v>
      </c>
      <c r="AZ382" s="3" t="s">
        <v>75</v>
      </c>
      <c r="BB382" s="3" t="s">
        <v>4923</v>
      </c>
      <c r="BC382" s="3" t="s">
        <v>4924</v>
      </c>
      <c r="BD382" s="3" t="s">
        <v>4925</v>
      </c>
    </row>
    <row r="383" spans="1:56" ht="48" customHeight="1" x14ac:dyDescent="0.25">
      <c r="A383" s="7" t="s">
        <v>59</v>
      </c>
      <c r="B383" s="2" t="s">
        <v>4926</v>
      </c>
      <c r="C383" s="2" t="s">
        <v>4927</v>
      </c>
      <c r="D383" s="2" t="s">
        <v>4928</v>
      </c>
      <c r="F383" s="3" t="s">
        <v>59</v>
      </c>
      <c r="G383" s="3" t="s">
        <v>60</v>
      </c>
      <c r="H383" s="3" t="s">
        <v>59</v>
      </c>
      <c r="I383" s="3" t="s">
        <v>59</v>
      </c>
      <c r="J383" s="3" t="s">
        <v>61</v>
      </c>
      <c r="L383" s="2" t="s">
        <v>1098</v>
      </c>
      <c r="M383" s="3" t="s">
        <v>161</v>
      </c>
      <c r="O383" s="3" t="s">
        <v>64</v>
      </c>
      <c r="P383" s="3" t="s">
        <v>130</v>
      </c>
      <c r="R383" s="3" t="s">
        <v>67</v>
      </c>
      <c r="S383" s="4">
        <v>2</v>
      </c>
      <c r="T383" s="4">
        <v>2</v>
      </c>
      <c r="U383" s="5" t="s">
        <v>4929</v>
      </c>
      <c r="V383" s="5" t="s">
        <v>4929</v>
      </c>
      <c r="W383" s="5" t="s">
        <v>4108</v>
      </c>
      <c r="X383" s="5" t="s">
        <v>4108</v>
      </c>
      <c r="Y383" s="4">
        <v>296</v>
      </c>
      <c r="Z383" s="4">
        <v>210</v>
      </c>
      <c r="AA383" s="4">
        <v>217</v>
      </c>
      <c r="AB383" s="4">
        <v>2</v>
      </c>
      <c r="AC383" s="4">
        <v>2</v>
      </c>
      <c r="AD383" s="4">
        <v>8</v>
      </c>
      <c r="AE383" s="4">
        <v>8</v>
      </c>
      <c r="AF383" s="4">
        <v>1</v>
      </c>
      <c r="AG383" s="4">
        <v>1</v>
      </c>
      <c r="AH383" s="4">
        <v>3</v>
      </c>
      <c r="AI383" s="4">
        <v>3</v>
      </c>
      <c r="AJ383" s="4">
        <v>6</v>
      </c>
      <c r="AK383" s="4">
        <v>6</v>
      </c>
      <c r="AL383" s="4">
        <v>1</v>
      </c>
      <c r="AM383" s="4">
        <v>1</v>
      </c>
      <c r="AN383" s="4">
        <v>0</v>
      </c>
      <c r="AO383" s="4">
        <v>0</v>
      </c>
      <c r="AP383" s="3" t="s">
        <v>59</v>
      </c>
      <c r="AQ383" s="3" t="s">
        <v>70</v>
      </c>
      <c r="AR383" s="6" t="str">
        <f>HYPERLINK("http://catalog.hathitrust.org/Record/000688401","HathiTrust Record")</f>
        <v>HathiTrust Record</v>
      </c>
      <c r="AS383" s="6" t="str">
        <f>HYPERLINK("https://creighton-primo.hosted.exlibrisgroup.com/primo-explore/search?tab=default_tab&amp;search_scope=EVERYTHING&amp;vid=01CRU&amp;lang=en_US&amp;offset=0&amp;query=any,contains,991004918999702656","Catalog Record")</f>
        <v>Catalog Record</v>
      </c>
      <c r="AT383" s="6" t="str">
        <f>HYPERLINK("http://www.worldcat.org/oclc/6040580","WorldCat Record")</f>
        <v>WorldCat Record</v>
      </c>
      <c r="AU383" s="3" t="s">
        <v>4930</v>
      </c>
      <c r="AV383" s="3" t="s">
        <v>4931</v>
      </c>
      <c r="AW383" s="3" t="s">
        <v>4932</v>
      </c>
      <c r="AX383" s="3" t="s">
        <v>4932</v>
      </c>
      <c r="AY383" s="3" t="s">
        <v>4933</v>
      </c>
      <c r="AZ383" s="3" t="s">
        <v>75</v>
      </c>
      <c r="BB383" s="3" t="s">
        <v>4934</v>
      </c>
      <c r="BC383" s="3" t="s">
        <v>4935</v>
      </c>
      <c r="BD383" s="3" t="s">
        <v>4936</v>
      </c>
    </row>
    <row r="384" spans="1:56" ht="48" customHeight="1" x14ac:dyDescent="0.25">
      <c r="A384" s="7" t="s">
        <v>59</v>
      </c>
      <c r="B384" s="2" t="s">
        <v>4937</v>
      </c>
      <c r="C384" s="2" t="s">
        <v>4938</v>
      </c>
      <c r="D384" s="2" t="s">
        <v>4939</v>
      </c>
      <c r="F384" s="3" t="s">
        <v>59</v>
      </c>
      <c r="G384" s="3" t="s">
        <v>60</v>
      </c>
      <c r="H384" s="3" t="s">
        <v>59</v>
      </c>
      <c r="I384" s="3" t="s">
        <v>59</v>
      </c>
      <c r="J384" s="3" t="s">
        <v>61</v>
      </c>
      <c r="L384" s="2" t="s">
        <v>4940</v>
      </c>
      <c r="M384" s="3" t="s">
        <v>219</v>
      </c>
      <c r="O384" s="3" t="s">
        <v>64</v>
      </c>
      <c r="P384" s="3" t="s">
        <v>84</v>
      </c>
      <c r="R384" s="3" t="s">
        <v>67</v>
      </c>
      <c r="S384" s="4">
        <v>4</v>
      </c>
      <c r="T384" s="4">
        <v>4</v>
      </c>
      <c r="U384" s="5" t="s">
        <v>4941</v>
      </c>
      <c r="V384" s="5" t="s">
        <v>4941</v>
      </c>
      <c r="W384" s="5" t="s">
        <v>4265</v>
      </c>
      <c r="X384" s="5" t="s">
        <v>4265</v>
      </c>
      <c r="Y384" s="4">
        <v>54</v>
      </c>
      <c r="Z384" s="4">
        <v>28</v>
      </c>
      <c r="AA384" s="4">
        <v>70</v>
      </c>
      <c r="AB384" s="4">
        <v>1</v>
      </c>
      <c r="AC384" s="4">
        <v>1</v>
      </c>
      <c r="AD384" s="4">
        <v>2</v>
      </c>
      <c r="AE384" s="4">
        <v>4</v>
      </c>
      <c r="AF384" s="4">
        <v>0</v>
      </c>
      <c r="AG384" s="4">
        <v>1</v>
      </c>
      <c r="AH384" s="4">
        <v>1</v>
      </c>
      <c r="AI384" s="4">
        <v>2</v>
      </c>
      <c r="AJ384" s="4">
        <v>2</v>
      </c>
      <c r="AK384" s="4">
        <v>2</v>
      </c>
      <c r="AL384" s="4">
        <v>0</v>
      </c>
      <c r="AM384" s="4">
        <v>0</v>
      </c>
      <c r="AN384" s="4">
        <v>0</v>
      </c>
      <c r="AO384" s="4">
        <v>0</v>
      </c>
      <c r="AP384" s="3" t="s">
        <v>59</v>
      </c>
      <c r="AQ384" s="3" t="s">
        <v>70</v>
      </c>
      <c r="AR384" s="6" t="str">
        <f>HYPERLINK("http://catalog.hathitrust.org/Record/002498886","HathiTrust Record")</f>
        <v>HathiTrust Record</v>
      </c>
      <c r="AS384" s="6" t="str">
        <f>HYPERLINK("https://creighton-primo.hosted.exlibrisgroup.com/primo-explore/search?tab=default_tab&amp;search_scope=EVERYTHING&amp;vid=01CRU&amp;lang=en_US&amp;offset=0&amp;query=any,contains,991001710779702656","Catalog Record")</f>
        <v>Catalog Record</v>
      </c>
      <c r="AT384" s="6" t="str">
        <f>HYPERLINK("http://www.worldcat.org/oclc/21596042","WorldCat Record")</f>
        <v>WorldCat Record</v>
      </c>
      <c r="AU384" s="3" t="s">
        <v>4942</v>
      </c>
      <c r="AV384" s="3" t="s">
        <v>4943</v>
      </c>
      <c r="AW384" s="3" t="s">
        <v>4944</v>
      </c>
      <c r="AX384" s="3" t="s">
        <v>4944</v>
      </c>
      <c r="AY384" s="3" t="s">
        <v>4945</v>
      </c>
      <c r="AZ384" s="3" t="s">
        <v>75</v>
      </c>
      <c r="BB384" s="3" t="s">
        <v>4946</v>
      </c>
      <c r="BC384" s="3" t="s">
        <v>4947</v>
      </c>
      <c r="BD384" s="3" t="s">
        <v>4948</v>
      </c>
    </row>
    <row r="385" spans="1:56" ht="48" customHeight="1" x14ac:dyDescent="0.25">
      <c r="A385" s="7" t="s">
        <v>59</v>
      </c>
      <c r="B385" s="2" t="s">
        <v>4949</v>
      </c>
      <c r="C385" s="2" t="s">
        <v>4950</v>
      </c>
      <c r="D385" s="2" t="s">
        <v>4951</v>
      </c>
      <c r="F385" s="3" t="s">
        <v>59</v>
      </c>
      <c r="G385" s="3" t="s">
        <v>60</v>
      </c>
      <c r="H385" s="3" t="s">
        <v>59</v>
      </c>
      <c r="I385" s="3" t="s">
        <v>59</v>
      </c>
      <c r="J385" s="3" t="s">
        <v>61</v>
      </c>
      <c r="L385" s="2" t="s">
        <v>4952</v>
      </c>
      <c r="M385" s="3" t="s">
        <v>519</v>
      </c>
      <c r="O385" s="3" t="s">
        <v>64</v>
      </c>
      <c r="P385" s="3" t="s">
        <v>4208</v>
      </c>
      <c r="Q385" s="2" t="s">
        <v>4953</v>
      </c>
      <c r="R385" s="3" t="s">
        <v>67</v>
      </c>
      <c r="S385" s="4">
        <v>2</v>
      </c>
      <c r="T385" s="4">
        <v>2</v>
      </c>
      <c r="U385" s="5" t="s">
        <v>3885</v>
      </c>
      <c r="V385" s="5" t="s">
        <v>3885</v>
      </c>
      <c r="W385" s="5" t="s">
        <v>4954</v>
      </c>
      <c r="X385" s="5" t="s">
        <v>4954</v>
      </c>
      <c r="Y385" s="4">
        <v>111</v>
      </c>
      <c r="Z385" s="4">
        <v>85</v>
      </c>
      <c r="AA385" s="4">
        <v>86</v>
      </c>
      <c r="AB385" s="4">
        <v>1</v>
      </c>
      <c r="AC385" s="4">
        <v>1</v>
      </c>
      <c r="AD385" s="4">
        <v>1</v>
      </c>
      <c r="AE385" s="4">
        <v>1</v>
      </c>
      <c r="AF385" s="4">
        <v>0</v>
      </c>
      <c r="AG385" s="4">
        <v>0</v>
      </c>
      <c r="AH385" s="4">
        <v>1</v>
      </c>
      <c r="AI385" s="4">
        <v>1</v>
      </c>
      <c r="AJ385" s="4">
        <v>1</v>
      </c>
      <c r="AK385" s="4">
        <v>1</v>
      </c>
      <c r="AL385" s="4">
        <v>0</v>
      </c>
      <c r="AM385" s="4">
        <v>0</v>
      </c>
      <c r="AN385" s="4">
        <v>0</v>
      </c>
      <c r="AO385" s="4">
        <v>0</v>
      </c>
      <c r="AP385" s="3" t="s">
        <v>59</v>
      </c>
      <c r="AQ385" s="3" t="s">
        <v>70</v>
      </c>
      <c r="AR385" s="6" t="str">
        <f>HYPERLINK("http://catalog.hathitrust.org/Record/002960119","HathiTrust Record")</f>
        <v>HathiTrust Record</v>
      </c>
      <c r="AS385" s="6" t="str">
        <f>HYPERLINK("https://creighton-primo.hosted.exlibrisgroup.com/primo-explore/search?tab=default_tab&amp;search_scope=EVERYTHING&amp;vid=01CRU&amp;lang=en_US&amp;offset=0&amp;query=any,contains,991002330209702656","Catalog Record")</f>
        <v>Catalog Record</v>
      </c>
      <c r="AT385" s="6" t="str">
        <f>HYPERLINK("http://www.worldcat.org/oclc/30319865","WorldCat Record")</f>
        <v>WorldCat Record</v>
      </c>
      <c r="AU385" s="3" t="s">
        <v>4955</v>
      </c>
      <c r="AV385" s="3" t="s">
        <v>4956</v>
      </c>
      <c r="AW385" s="3" t="s">
        <v>4957</v>
      </c>
      <c r="AX385" s="3" t="s">
        <v>4957</v>
      </c>
      <c r="AY385" s="3" t="s">
        <v>4958</v>
      </c>
      <c r="AZ385" s="3" t="s">
        <v>75</v>
      </c>
      <c r="BB385" s="3" t="s">
        <v>4959</v>
      </c>
      <c r="BC385" s="3" t="s">
        <v>4960</v>
      </c>
      <c r="BD385" s="3" t="s">
        <v>4961</v>
      </c>
    </row>
    <row r="386" spans="1:56" ht="48" customHeight="1" x14ac:dyDescent="0.25">
      <c r="A386" s="7" t="s">
        <v>59</v>
      </c>
      <c r="B386" s="2" t="s">
        <v>4962</v>
      </c>
      <c r="C386" s="2" t="s">
        <v>4963</v>
      </c>
      <c r="D386" s="2" t="s">
        <v>4964</v>
      </c>
      <c r="F386" s="3" t="s">
        <v>59</v>
      </c>
      <c r="G386" s="3" t="s">
        <v>60</v>
      </c>
      <c r="H386" s="3" t="s">
        <v>59</v>
      </c>
      <c r="I386" s="3" t="s">
        <v>59</v>
      </c>
      <c r="J386" s="3" t="s">
        <v>61</v>
      </c>
      <c r="K386" s="2" t="s">
        <v>4965</v>
      </c>
      <c r="L386" s="2" t="s">
        <v>4966</v>
      </c>
      <c r="M386" s="3" t="s">
        <v>604</v>
      </c>
      <c r="N386" s="2" t="s">
        <v>4967</v>
      </c>
      <c r="O386" s="3" t="s">
        <v>64</v>
      </c>
      <c r="P386" s="3" t="s">
        <v>130</v>
      </c>
      <c r="R386" s="3" t="s">
        <v>67</v>
      </c>
      <c r="S386" s="4">
        <v>14</v>
      </c>
      <c r="T386" s="4">
        <v>14</v>
      </c>
      <c r="U386" s="5" t="s">
        <v>4968</v>
      </c>
      <c r="V386" s="5" t="s">
        <v>4968</v>
      </c>
      <c r="W386" s="5" t="s">
        <v>4969</v>
      </c>
      <c r="X386" s="5" t="s">
        <v>4969</v>
      </c>
      <c r="Y386" s="4">
        <v>124</v>
      </c>
      <c r="Z386" s="4">
        <v>117</v>
      </c>
      <c r="AA386" s="4">
        <v>607</v>
      </c>
      <c r="AB386" s="4">
        <v>1</v>
      </c>
      <c r="AC386" s="4">
        <v>4</v>
      </c>
      <c r="AD386" s="4">
        <v>1</v>
      </c>
      <c r="AE386" s="4">
        <v>19</v>
      </c>
      <c r="AF386" s="4">
        <v>1</v>
      </c>
      <c r="AG386" s="4">
        <v>6</v>
      </c>
      <c r="AH386" s="4">
        <v>0</v>
      </c>
      <c r="AI386" s="4">
        <v>5</v>
      </c>
      <c r="AJ386" s="4">
        <v>0</v>
      </c>
      <c r="AK386" s="4">
        <v>11</v>
      </c>
      <c r="AL386" s="4">
        <v>0</v>
      </c>
      <c r="AM386" s="4">
        <v>2</v>
      </c>
      <c r="AN386" s="4">
        <v>0</v>
      </c>
      <c r="AO386" s="4">
        <v>0</v>
      </c>
      <c r="AP386" s="3" t="s">
        <v>59</v>
      </c>
      <c r="AQ386" s="3" t="s">
        <v>59</v>
      </c>
      <c r="AS386" s="6" t="str">
        <f>HYPERLINK("https://creighton-primo.hosted.exlibrisgroup.com/primo-explore/search?tab=default_tab&amp;search_scope=EVERYTHING&amp;vid=01CRU&amp;lang=en_US&amp;offset=0&amp;query=any,contains,991002487619702656","Catalog Record")</f>
        <v>Catalog Record</v>
      </c>
      <c r="AT386" s="6" t="str">
        <f>HYPERLINK("http://www.worldcat.org/oclc/32375653","WorldCat Record")</f>
        <v>WorldCat Record</v>
      </c>
      <c r="AU386" s="3" t="s">
        <v>4970</v>
      </c>
      <c r="AV386" s="3" t="s">
        <v>4971</v>
      </c>
      <c r="AW386" s="3" t="s">
        <v>4972</v>
      </c>
      <c r="AX386" s="3" t="s">
        <v>4972</v>
      </c>
      <c r="AY386" s="3" t="s">
        <v>4973</v>
      </c>
      <c r="AZ386" s="3" t="s">
        <v>75</v>
      </c>
      <c r="BB386" s="3" t="s">
        <v>4974</v>
      </c>
      <c r="BC386" s="3" t="s">
        <v>4975</v>
      </c>
      <c r="BD386" s="3" t="s">
        <v>4976</v>
      </c>
    </row>
    <row r="387" spans="1:56" ht="48" customHeight="1" x14ac:dyDescent="0.25">
      <c r="A387" s="7" t="s">
        <v>59</v>
      </c>
      <c r="B387" s="2" t="s">
        <v>4977</v>
      </c>
      <c r="C387" s="2" t="s">
        <v>4978</v>
      </c>
      <c r="D387" s="2" t="s">
        <v>4979</v>
      </c>
      <c r="F387" s="3" t="s">
        <v>59</v>
      </c>
      <c r="G387" s="3" t="s">
        <v>60</v>
      </c>
      <c r="H387" s="3" t="s">
        <v>59</v>
      </c>
      <c r="I387" s="3" t="s">
        <v>59</v>
      </c>
      <c r="J387" s="3" t="s">
        <v>61</v>
      </c>
      <c r="L387" s="2" t="s">
        <v>4980</v>
      </c>
      <c r="M387" s="3" t="s">
        <v>333</v>
      </c>
      <c r="O387" s="3" t="s">
        <v>64</v>
      </c>
      <c r="P387" s="3" t="s">
        <v>1257</v>
      </c>
      <c r="R387" s="3" t="s">
        <v>67</v>
      </c>
      <c r="S387" s="4">
        <v>1</v>
      </c>
      <c r="T387" s="4">
        <v>1</v>
      </c>
      <c r="U387" s="5" t="s">
        <v>4981</v>
      </c>
      <c r="V387" s="5" t="s">
        <v>4981</v>
      </c>
      <c r="W387" s="5" t="s">
        <v>4108</v>
      </c>
      <c r="X387" s="5" t="s">
        <v>4108</v>
      </c>
      <c r="Y387" s="4">
        <v>114</v>
      </c>
      <c r="Z387" s="4">
        <v>73</v>
      </c>
      <c r="AA387" s="4">
        <v>74</v>
      </c>
      <c r="AB387" s="4">
        <v>2</v>
      </c>
      <c r="AC387" s="4">
        <v>2</v>
      </c>
      <c r="AD387" s="4">
        <v>4</v>
      </c>
      <c r="AE387" s="4">
        <v>4</v>
      </c>
      <c r="AF387" s="4">
        <v>2</v>
      </c>
      <c r="AG387" s="4">
        <v>2</v>
      </c>
      <c r="AH387" s="4">
        <v>0</v>
      </c>
      <c r="AI387" s="4">
        <v>0</v>
      </c>
      <c r="AJ387" s="4">
        <v>2</v>
      </c>
      <c r="AK387" s="4">
        <v>2</v>
      </c>
      <c r="AL387" s="4">
        <v>1</v>
      </c>
      <c r="AM387" s="4">
        <v>1</v>
      </c>
      <c r="AN387" s="4">
        <v>0</v>
      </c>
      <c r="AO387" s="4">
        <v>0</v>
      </c>
      <c r="AP387" s="3" t="s">
        <v>59</v>
      </c>
      <c r="AQ387" s="3" t="s">
        <v>70</v>
      </c>
      <c r="AR387" s="6" t="str">
        <f>HYPERLINK("http://catalog.hathitrust.org/Record/000816989","HathiTrust Record")</f>
        <v>HathiTrust Record</v>
      </c>
      <c r="AS387" s="6" t="str">
        <f>HYPERLINK("https://creighton-primo.hosted.exlibrisgroup.com/primo-explore/search?tab=default_tab&amp;search_scope=EVERYTHING&amp;vid=01CRU&amp;lang=en_US&amp;offset=0&amp;query=any,contains,991000838219702656","Catalog Record")</f>
        <v>Catalog Record</v>
      </c>
      <c r="AT387" s="6" t="str">
        <f>HYPERLINK("http://www.worldcat.org/oclc/13510978","WorldCat Record")</f>
        <v>WorldCat Record</v>
      </c>
      <c r="AU387" s="3" t="s">
        <v>4982</v>
      </c>
      <c r="AV387" s="3" t="s">
        <v>4983</v>
      </c>
      <c r="AW387" s="3" t="s">
        <v>4984</v>
      </c>
      <c r="AX387" s="3" t="s">
        <v>4984</v>
      </c>
      <c r="AY387" s="3" t="s">
        <v>4985</v>
      </c>
      <c r="AZ387" s="3" t="s">
        <v>75</v>
      </c>
      <c r="BB387" s="3" t="s">
        <v>4986</v>
      </c>
      <c r="BC387" s="3" t="s">
        <v>4987</v>
      </c>
      <c r="BD387" s="3" t="s">
        <v>4988</v>
      </c>
    </row>
    <row r="388" spans="1:56" ht="48" customHeight="1" x14ac:dyDescent="0.25">
      <c r="A388" s="7" t="s">
        <v>59</v>
      </c>
      <c r="B388" s="2" t="s">
        <v>4989</v>
      </c>
      <c r="C388" s="2" t="s">
        <v>4990</v>
      </c>
      <c r="D388" s="2" t="s">
        <v>4991</v>
      </c>
      <c r="F388" s="3" t="s">
        <v>59</v>
      </c>
      <c r="G388" s="3" t="s">
        <v>60</v>
      </c>
      <c r="H388" s="3" t="s">
        <v>59</v>
      </c>
      <c r="I388" s="3" t="s">
        <v>59</v>
      </c>
      <c r="J388" s="3" t="s">
        <v>61</v>
      </c>
      <c r="K388" s="2" t="s">
        <v>4992</v>
      </c>
      <c r="L388" s="2" t="s">
        <v>4993</v>
      </c>
      <c r="M388" s="3" t="s">
        <v>843</v>
      </c>
      <c r="O388" s="3" t="s">
        <v>64</v>
      </c>
      <c r="P388" s="3" t="s">
        <v>264</v>
      </c>
      <c r="R388" s="3" t="s">
        <v>67</v>
      </c>
      <c r="S388" s="4">
        <v>2</v>
      </c>
      <c r="T388" s="4">
        <v>2</v>
      </c>
      <c r="U388" s="5" t="s">
        <v>4994</v>
      </c>
      <c r="V388" s="5" t="s">
        <v>4994</v>
      </c>
      <c r="W388" s="5" t="s">
        <v>4994</v>
      </c>
      <c r="X388" s="5" t="s">
        <v>4994</v>
      </c>
      <c r="Y388" s="4">
        <v>2263</v>
      </c>
      <c r="Z388" s="4">
        <v>2167</v>
      </c>
      <c r="AA388" s="4">
        <v>2183</v>
      </c>
      <c r="AB388" s="4">
        <v>19</v>
      </c>
      <c r="AC388" s="4">
        <v>19</v>
      </c>
      <c r="AD388" s="4">
        <v>28</v>
      </c>
      <c r="AE388" s="4">
        <v>28</v>
      </c>
      <c r="AF388" s="4">
        <v>13</v>
      </c>
      <c r="AG388" s="4">
        <v>13</v>
      </c>
      <c r="AH388" s="4">
        <v>6</v>
      </c>
      <c r="AI388" s="4">
        <v>6</v>
      </c>
      <c r="AJ388" s="4">
        <v>13</v>
      </c>
      <c r="AK388" s="4">
        <v>13</v>
      </c>
      <c r="AL388" s="4">
        <v>4</v>
      </c>
      <c r="AM388" s="4">
        <v>4</v>
      </c>
      <c r="AN388" s="4">
        <v>0</v>
      </c>
      <c r="AO388" s="4">
        <v>0</v>
      </c>
      <c r="AP388" s="3" t="s">
        <v>59</v>
      </c>
      <c r="AQ388" s="3" t="s">
        <v>59</v>
      </c>
      <c r="AS388" s="6" t="str">
        <f>HYPERLINK("https://creighton-primo.hosted.exlibrisgroup.com/primo-explore/search?tab=default_tab&amp;search_scope=EVERYTHING&amp;vid=01CRU&amp;lang=en_US&amp;offset=0&amp;query=any,contains,991005325299702656","Catalog Record")</f>
        <v>Catalog Record</v>
      </c>
      <c r="AT388" s="6" t="str">
        <f>HYPERLINK("http://www.worldcat.org/oclc/231745610","WorldCat Record")</f>
        <v>WorldCat Record</v>
      </c>
      <c r="AU388" s="3" t="s">
        <v>4995</v>
      </c>
      <c r="AV388" s="3" t="s">
        <v>4996</v>
      </c>
      <c r="AW388" s="3" t="s">
        <v>4997</v>
      </c>
      <c r="AX388" s="3" t="s">
        <v>4997</v>
      </c>
      <c r="AY388" s="3" t="s">
        <v>4998</v>
      </c>
      <c r="AZ388" s="3" t="s">
        <v>75</v>
      </c>
      <c r="BB388" s="3" t="s">
        <v>4999</v>
      </c>
      <c r="BC388" s="3" t="s">
        <v>5000</v>
      </c>
      <c r="BD388" s="3" t="s">
        <v>5001</v>
      </c>
    </row>
    <row r="389" spans="1:56" ht="48" customHeight="1" x14ac:dyDescent="0.25">
      <c r="A389" s="7" t="s">
        <v>59</v>
      </c>
      <c r="B389" s="2" t="s">
        <v>5002</v>
      </c>
      <c r="C389" s="2" t="s">
        <v>5003</v>
      </c>
      <c r="D389" s="2" t="s">
        <v>5004</v>
      </c>
      <c r="F389" s="3" t="s">
        <v>59</v>
      </c>
      <c r="G389" s="3" t="s">
        <v>60</v>
      </c>
      <c r="H389" s="3" t="s">
        <v>59</v>
      </c>
      <c r="I389" s="3" t="s">
        <v>59</v>
      </c>
      <c r="J389" s="3" t="s">
        <v>61</v>
      </c>
      <c r="K389" s="2" t="s">
        <v>5005</v>
      </c>
      <c r="L389" s="2" t="s">
        <v>5006</v>
      </c>
      <c r="M389" s="3" t="s">
        <v>872</v>
      </c>
      <c r="O389" s="3" t="s">
        <v>64</v>
      </c>
      <c r="P389" s="3" t="s">
        <v>130</v>
      </c>
      <c r="R389" s="3" t="s">
        <v>67</v>
      </c>
      <c r="S389" s="4">
        <v>0</v>
      </c>
      <c r="T389" s="4">
        <v>0</v>
      </c>
      <c r="U389" s="5" t="s">
        <v>5007</v>
      </c>
      <c r="V389" s="5" t="s">
        <v>5007</v>
      </c>
      <c r="W389" s="5" t="s">
        <v>5008</v>
      </c>
      <c r="X389" s="5" t="s">
        <v>5008</v>
      </c>
      <c r="Y389" s="4">
        <v>154</v>
      </c>
      <c r="Z389" s="4">
        <v>138</v>
      </c>
      <c r="AA389" s="4">
        <v>284</v>
      </c>
      <c r="AB389" s="4">
        <v>3</v>
      </c>
      <c r="AC389" s="4">
        <v>3</v>
      </c>
      <c r="AD389" s="4">
        <v>8</v>
      </c>
      <c r="AE389" s="4">
        <v>14</v>
      </c>
      <c r="AF389" s="4">
        <v>2</v>
      </c>
      <c r="AG389" s="4">
        <v>3</v>
      </c>
      <c r="AH389" s="4">
        <v>2</v>
      </c>
      <c r="AI389" s="4">
        <v>5</v>
      </c>
      <c r="AJ389" s="4">
        <v>3</v>
      </c>
      <c r="AK389" s="4">
        <v>6</v>
      </c>
      <c r="AL389" s="4">
        <v>2</v>
      </c>
      <c r="AM389" s="4">
        <v>2</v>
      </c>
      <c r="AN389" s="4">
        <v>0</v>
      </c>
      <c r="AO389" s="4">
        <v>0</v>
      </c>
      <c r="AP389" s="3" t="s">
        <v>59</v>
      </c>
      <c r="AQ389" s="3" t="s">
        <v>59</v>
      </c>
      <c r="AS389" s="6" t="str">
        <f>HYPERLINK("https://creighton-primo.hosted.exlibrisgroup.com/primo-explore/search?tab=default_tab&amp;search_scope=EVERYTHING&amp;vid=01CRU&amp;lang=en_US&amp;offset=0&amp;query=any,contains,991002401189702656","Catalog Record")</f>
        <v>Catalog Record</v>
      </c>
      <c r="AT389" s="6" t="str">
        <f>HYPERLINK("http://www.worldcat.org/oclc/336780","WorldCat Record")</f>
        <v>WorldCat Record</v>
      </c>
      <c r="AU389" s="3" t="s">
        <v>5009</v>
      </c>
      <c r="AV389" s="3" t="s">
        <v>5010</v>
      </c>
      <c r="AW389" s="3" t="s">
        <v>5011</v>
      </c>
      <c r="AX389" s="3" t="s">
        <v>5011</v>
      </c>
      <c r="AY389" s="3" t="s">
        <v>5012</v>
      </c>
      <c r="AZ389" s="3" t="s">
        <v>75</v>
      </c>
      <c r="BC389" s="3" t="s">
        <v>5013</v>
      </c>
      <c r="BD389" s="3" t="s">
        <v>5014</v>
      </c>
    </row>
    <row r="390" spans="1:56" ht="48" customHeight="1" x14ac:dyDescent="0.25">
      <c r="A390" s="7" t="s">
        <v>59</v>
      </c>
      <c r="B390" s="2" t="s">
        <v>5015</v>
      </c>
      <c r="C390" s="2" t="s">
        <v>5016</v>
      </c>
      <c r="D390" s="2" t="s">
        <v>5017</v>
      </c>
      <c r="F390" s="3" t="s">
        <v>59</v>
      </c>
      <c r="G390" s="3" t="s">
        <v>60</v>
      </c>
      <c r="H390" s="3" t="s">
        <v>59</v>
      </c>
      <c r="I390" s="3" t="s">
        <v>59</v>
      </c>
      <c r="J390" s="3" t="s">
        <v>61</v>
      </c>
      <c r="K390" s="2" t="s">
        <v>5018</v>
      </c>
      <c r="L390" s="2" t="s">
        <v>5019</v>
      </c>
      <c r="M390" s="3" t="s">
        <v>1351</v>
      </c>
      <c r="O390" s="3" t="s">
        <v>64</v>
      </c>
      <c r="P390" s="3" t="s">
        <v>130</v>
      </c>
      <c r="R390" s="3" t="s">
        <v>67</v>
      </c>
      <c r="S390" s="4">
        <v>2</v>
      </c>
      <c r="T390" s="4">
        <v>2</v>
      </c>
      <c r="U390" s="5" t="s">
        <v>5020</v>
      </c>
      <c r="V390" s="5" t="s">
        <v>5020</v>
      </c>
      <c r="W390" s="5" t="s">
        <v>5021</v>
      </c>
      <c r="X390" s="5" t="s">
        <v>5021</v>
      </c>
      <c r="Y390" s="4">
        <v>1440</v>
      </c>
      <c r="Z390" s="4">
        <v>1363</v>
      </c>
      <c r="AA390" s="4">
        <v>1393</v>
      </c>
      <c r="AB390" s="4">
        <v>12</v>
      </c>
      <c r="AC390" s="4">
        <v>12</v>
      </c>
      <c r="AD390" s="4">
        <v>28</v>
      </c>
      <c r="AE390" s="4">
        <v>28</v>
      </c>
      <c r="AF390" s="4">
        <v>11</v>
      </c>
      <c r="AG390" s="4">
        <v>11</v>
      </c>
      <c r="AH390" s="4">
        <v>6</v>
      </c>
      <c r="AI390" s="4">
        <v>6</v>
      </c>
      <c r="AJ390" s="4">
        <v>13</v>
      </c>
      <c r="AK390" s="4">
        <v>13</v>
      </c>
      <c r="AL390" s="4">
        <v>5</v>
      </c>
      <c r="AM390" s="4">
        <v>5</v>
      </c>
      <c r="AN390" s="4">
        <v>0</v>
      </c>
      <c r="AO390" s="4">
        <v>0</v>
      </c>
      <c r="AP390" s="3" t="s">
        <v>59</v>
      </c>
      <c r="AQ390" s="3" t="s">
        <v>59</v>
      </c>
      <c r="AS390" s="6" t="str">
        <f>HYPERLINK("https://creighton-primo.hosted.exlibrisgroup.com/primo-explore/search?tab=default_tab&amp;search_scope=EVERYTHING&amp;vid=01CRU&amp;lang=en_US&amp;offset=0&amp;query=any,contains,991004305289702656","Catalog Record")</f>
        <v>Catalog Record</v>
      </c>
      <c r="AT390" s="6" t="str">
        <f>HYPERLINK("http://www.worldcat.org/oclc/54006936","WorldCat Record")</f>
        <v>WorldCat Record</v>
      </c>
      <c r="AU390" s="3" t="s">
        <v>5022</v>
      </c>
      <c r="AV390" s="3" t="s">
        <v>5023</v>
      </c>
      <c r="AW390" s="3" t="s">
        <v>5024</v>
      </c>
      <c r="AX390" s="3" t="s">
        <v>5024</v>
      </c>
      <c r="AY390" s="3" t="s">
        <v>5025</v>
      </c>
      <c r="AZ390" s="3" t="s">
        <v>75</v>
      </c>
      <c r="BB390" s="3" t="s">
        <v>5026</v>
      </c>
      <c r="BC390" s="3" t="s">
        <v>5027</v>
      </c>
      <c r="BD390" s="3" t="s">
        <v>5028</v>
      </c>
    </row>
    <row r="391" spans="1:56" ht="48" customHeight="1" x14ac:dyDescent="0.25">
      <c r="A391" s="7" t="s">
        <v>59</v>
      </c>
      <c r="B391" s="2" t="s">
        <v>5029</v>
      </c>
      <c r="C391" s="2" t="s">
        <v>5030</v>
      </c>
      <c r="D391" s="2" t="s">
        <v>5031</v>
      </c>
      <c r="F391" s="3" t="s">
        <v>59</v>
      </c>
      <c r="G391" s="3" t="s">
        <v>60</v>
      </c>
      <c r="H391" s="3" t="s">
        <v>59</v>
      </c>
      <c r="I391" s="3" t="s">
        <v>59</v>
      </c>
      <c r="J391" s="3" t="s">
        <v>61</v>
      </c>
      <c r="K391" s="2" t="s">
        <v>5032</v>
      </c>
      <c r="L391" s="2" t="s">
        <v>5033</v>
      </c>
      <c r="M391" s="3" t="s">
        <v>234</v>
      </c>
      <c r="O391" s="3" t="s">
        <v>64</v>
      </c>
      <c r="P391" s="3" t="s">
        <v>84</v>
      </c>
      <c r="R391" s="3" t="s">
        <v>67</v>
      </c>
      <c r="S391" s="4">
        <v>2</v>
      </c>
      <c r="T391" s="4">
        <v>2</v>
      </c>
      <c r="U391" s="5" t="s">
        <v>5034</v>
      </c>
      <c r="V391" s="5" t="s">
        <v>5034</v>
      </c>
      <c r="W391" s="5" t="s">
        <v>5035</v>
      </c>
      <c r="X391" s="5" t="s">
        <v>5035</v>
      </c>
      <c r="Y391" s="4">
        <v>446</v>
      </c>
      <c r="Z391" s="4">
        <v>301</v>
      </c>
      <c r="AA391" s="4">
        <v>320</v>
      </c>
      <c r="AB391" s="4">
        <v>2</v>
      </c>
      <c r="AC391" s="4">
        <v>2</v>
      </c>
      <c r="AD391" s="4">
        <v>13</v>
      </c>
      <c r="AE391" s="4">
        <v>13</v>
      </c>
      <c r="AF391" s="4">
        <v>1</v>
      </c>
      <c r="AG391" s="4">
        <v>1</v>
      </c>
      <c r="AH391" s="4">
        <v>5</v>
      </c>
      <c r="AI391" s="4">
        <v>5</v>
      </c>
      <c r="AJ391" s="4">
        <v>10</v>
      </c>
      <c r="AK391" s="4">
        <v>10</v>
      </c>
      <c r="AL391" s="4">
        <v>1</v>
      </c>
      <c r="AM391" s="4">
        <v>1</v>
      </c>
      <c r="AN391" s="4">
        <v>0</v>
      </c>
      <c r="AO391" s="4">
        <v>0</v>
      </c>
      <c r="AP391" s="3" t="s">
        <v>59</v>
      </c>
      <c r="AQ391" s="3" t="s">
        <v>59</v>
      </c>
      <c r="AS391" s="6" t="str">
        <f>HYPERLINK("https://creighton-primo.hosted.exlibrisgroup.com/primo-explore/search?tab=default_tab&amp;search_scope=EVERYTHING&amp;vid=01CRU&amp;lang=en_US&amp;offset=0&amp;query=any,contains,991001516229702656","Catalog Record")</f>
        <v>Catalog Record</v>
      </c>
      <c r="AT391" s="6" t="str">
        <f>HYPERLINK("http://www.worldcat.org/oclc/19922497","WorldCat Record")</f>
        <v>WorldCat Record</v>
      </c>
      <c r="AU391" s="3" t="s">
        <v>5036</v>
      </c>
      <c r="AV391" s="3" t="s">
        <v>5037</v>
      </c>
      <c r="AW391" s="3" t="s">
        <v>5038</v>
      </c>
      <c r="AX391" s="3" t="s">
        <v>5038</v>
      </c>
      <c r="AY391" s="3" t="s">
        <v>5039</v>
      </c>
      <c r="AZ391" s="3" t="s">
        <v>75</v>
      </c>
      <c r="BB391" s="3" t="s">
        <v>5040</v>
      </c>
      <c r="BC391" s="3" t="s">
        <v>5041</v>
      </c>
      <c r="BD391" s="3" t="s">
        <v>5042</v>
      </c>
    </row>
    <row r="392" spans="1:56" ht="48" customHeight="1" x14ac:dyDescent="0.25">
      <c r="A392" s="7" t="s">
        <v>59</v>
      </c>
      <c r="B392" s="2" t="s">
        <v>5043</v>
      </c>
      <c r="C392" s="2" t="s">
        <v>5044</v>
      </c>
      <c r="D392" s="2" t="s">
        <v>5045</v>
      </c>
      <c r="F392" s="3" t="s">
        <v>59</v>
      </c>
      <c r="G392" s="3" t="s">
        <v>60</v>
      </c>
      <c r="H392" s="3" t="s">
        <v>59</v>
      </c>
      <c r="I392" s="3" t="s">
        <v>59</v>
      </c>
      <c r="J392" s="3" t="s">
        <v>61</v>
      </c>
      <c r="K392" s="2" t="s">
        <v>5046</v>
      </c>
      <c r="L392" s="2" t="s">
        <v>5047</v>
      </c>
      <c r="M392" s="3" t="s">
        <v>161</v>
      </c>
      <c r="O392" s="3" t="s">
        <v>64</v>
      </c>
      <c r="P392" s="3" t="s">
        <v>1257</v>
      </c>
      <c r="R392" s="3" t="s">
        <v>67</v>
      </c>
      <c r="S392" s="4">
        <v>4</v>
      </c>
      <c r="T392" s="4">
        <v>4</v>
      </c>
      <c r="U392" s="5" t="s">
        <v>3846</v>
      </c>
      <c r="V392" s="5" t="s">
        <v>3846</v>
      </c>
      <c r="W392" s="5" t="s">
        <v>3555</v>
      </c>
      <c r="X392" s="5" t="s">
        <v>3555</v>
      </c>
      <c r="Y392" s="4">
        <v>136</v>
      </c>
      <c r="Z392" s="4">
        <v>78</v>
      </c>
      <c r="AA392" s="4">
        <v>80</v>
      </c>
      <c r="AB392" s="4">
        <v>2</v>
      </c>
      <c r="AC392" s="4">
        <v>2</v>
      </c>
      <c r="AD392" s="4">
        <v>2</v>
      </c>
      <c r="AE392" s="4">
        <v>2</v>
      </c>
      <c r="AF392" s="4">
        <v>1</v>
      </c>
      <c r="AG392" s="4">
        <v>1</v>
      </c>
      <c r="AH392" s="4">
        <v>0</v>
      </c>
      <c r="AI392" s="4">
        <v>0</v>
      </c>
      <c r="AJ392" s="4">
        <v>0</v>
      </c>
      <c r="AK392" s="4">
        <v>0</v>
      </c>
      <c r="AL392" s="4">
        <v>1</v>
      </c>
      <c r="AM392" s="4">
        <v>1</v>
      </c>
      <c r="AN392" s="4">
        <v>0</v>
      </c>
      <c r="AO392" s="4">
        <v>0</v>
      </c>
      <c r="AP392" s="3" t="s">
        <v>59</v>
      </c>
      <c r="AQ392" s="3" t="s">
        <v>70</v>
      </c>
      <c r="AR392" s="6" t="str">
        <f>HYPERLINK("http://catalog.hathitrust.org/Record/000169219","HathiTrust Record")</f>
        <v>HathiTrust Record</v>
      </c>
      <c r="AS392" s="6" t="str">
        <f>HYPERLINK("https://creighton-primo.hosted.exlibrisgroup.com/primo-explore/search?tab=default_tab&amp;search_scope=EVERYTHING&amp;vid=01CRU&amp;lang=en_US&amp;offset=0&amp;query=any,contains,991005008049702656","Catalog Record")</f>
        <v>Catalog Record</v>
      </c>
      <c r="AT392" s="6" t="str">
        <f>HYPERLINK("http://www.worldcat.org/oclc/6581213","WorldCat Record")</f>
        <v>WorldCat Record</v>
      </c>
      <c r="AU392" s="3" t="s">
        <v>5048</v>
      </c>
      <c r="AV392" s="3" t="s">
        <v>5049</v>
      </c>
      <c r="AW392" s="3" t="s">
        <v>5050</v>
      </c>
      <c r="AX392" s="3" t="s">
        <v>5050</v>
      </c>
      <c r="AY392" s="3" t="s">
        <v>5051</v>
      </c>
      <c r="AZ392" s="3" t="s">
        <v>75</v>
      </c>
      <c r="BB392" s="3" t="s">
        <v>5052</v>
      </c>
      <c r="BC392" s="3" t="s">
        <v>5053</v>
      </c>
      <c r="BD392" s="3" t="s">
        <v>5054</v>
      </c>
    </row>
    <row r="393" spans="1:56" ht="48" customHeight="1" x14ac:dyDescent="0.25">
      <c r="A393" s="7" t="s">
        <v>59</v>
      </c>
      <c r="B393" s="2" t="s">
        <v>5055</v>
      </c>
      <c r="C393" s="2" t="s">
        <v>5056</v>
      </c>
      <c r="D393" s="2" t="s">
        <v>5057</v>
      </c>
      <c r="F393" s="3" t="s">
        <v>59</v>
      </c>
      <c r="G393" s="3" t="s">
        <v>60</v>
      </c>
      <c r="H393" s="3" t="s">
        <v>70</v>
      </c>
      <c r="I393" s="3" t="s">
        <v>59</v>
      </c>
      <c r="J393" s="3" t="s">
        <v>61</v>
      </c>
      <c r="L393" s="2" t="s">
        <v>5058</v>
      </c>
      <c r="M393" s="3" t="s">
        <v>485</v>
      </c>
      <c r="O393" s="3" t="s">
        <v>64</v>
      </c>
      <c r="P393" s="3" t="s">
        <v>176</v>
      </c>
      <c r="R393" s="3" t="s">
        <v>67</v>
      </c>
      <c r="S393" s="4">
        <v>8</v>
      </c>
      <c r="T393" s="4">
        <v>15</v>
      </c>
      <c r="U393" s="5" t="s">
        <v>5059</v>
      </c>
      <c r="V393" s="5" t="s">
        <v>5060</v>
      </c>
      <c r="W393" s="5" t="s">
        <v>5061</v>
      </c>
      <c r="X393" s="5" t="s">
        <v>5061</v>
      </c>
      <c r="Y393" s="4">
        <v>742</v>
      </c>
      <c r="Z393" s="4">
        <v>593</v>
      </c>
      <c r="AA393" s="4">
        <v>593</v>
      </c>
      <c r="AB393" s="4">
        <v>3</v>
      </c>
      <c r="AC393" s="4">
        <v>3</v>
      </c>
      <c r="AD393" s="4">
        <v>20</v>
      </c>
      <c r="AE393" s="4">
        <v>20</v>
      </c>
      <c r="AF393" s="4">
        <v>9</v>
      </c>
      <c r="AG393" s="4">
        <v>9</v>
      </c>
      <c r="AH393" s="4">
        <v>4</v>
      </c>
      <c r="AI393" s="4">
        <v>4</v>
      </c>
      <c r="AJ393" s="4">
        <v>12</v>
      </c>
      <c r="AK393" s="4">
        <v>12</v>
      </c>
      <c r="AL393" s="4">
        <v>0</v>
      </c>
      <c r="AM393" s="4">
        <v>0</v>
      </c>
      <c r="AN393" s="4">
        <v>0</v>
      </c>
      <c r="AO393" s="4">
        <v>0</v>
      </c>
      <c r="AP393" s="3" t="s">
        <v>59</v>
      </c>
      <c r="AQ393" s="3" t="s">
        <v>59</v>
      </c>
      <c r="AS393" s="6" t="str">
        <f>HYPERLINK("https://creighton-primo.hosted.exlibrisgroup.com/primo-explore/search?tab=default_tab&amp;search_scope=EVERYTHING&amp;vid=01CRU&amp;lang=en_US&amp;offset=0&amp;query=any,contains,991001758609702656","Catalog Record")</f>
        <v>Catalog Record</v>
      </c>
      <c r="AT393" s="6" t="str">
        <f>HYPERLINK("http://www.worldcat.org/oclc/5411390","WorldCat Record")</f>
        <v>WorldCat Record</v>
      </c>
      <c r="AU393" s="3" t="s">
        <v>5062</v>
      </c>
      <c r="AV393" s="3" t="s">
        <v>5063</v>
      </c>
      <c r="AW393" s="3" t="s">
        <v>5064</v>
      </c>
      <c r="AX393" s="3" t="s">
        <v>5064</v>
      </c>
      <c r="AY393" s="3" t="s">
        <v>5065</v>
      </c>
      <c r="AZ393" s="3" t="s">
        <v>75</v>
      </c>
      <c r="BB393" s="3" t="s">
        <v>5066</v>
      </c>
      <c r="BC393" s="3" t="s">
        <v>5067</v>
      </c>
      <c r="BD393" s="3" t="s">
        <v>5068</v>
      </c>
    </row>
    <row r="394" spans="1:56" ht="48" customHeight="1" x14ac:dyDescent="0.25">
      <c r="A394" s="7" t="s">
        <v>59</v>
      </c>
      <c r="B394" s="2" t="s">
        <v>5069</v>
      </c>
      <c r="C394" s="2" t="s">
        <v>5070</v>
      </c>
      <c r="D394" s="2" t="s">
        <v>5071</v>
      </c>
      <c r="F394" s="3" t="s">
        <v>59</v>
      </c>
      <c r="G394" s="3" t="s">
        <v>60</v>
      </c>
      <c r="H394" s="3" t="s">
        <v>59</v>
      </c>
      <c r="I394" s="3" t="s">
        <v>59</v>
      </c>
      <c r="J394" s="3" t="s">
        <v>61</v>
      </c>
      <c r="L394" s="2" t="s">
        <v>5072</v>
      </c>
      <c r="M394" s="3" t="s">
        <v>376</v>
      </c>
      <c r="O394" s="3" t="s">
        <v>64</v>
      </c>
      <c r="P394" s="3" t="s">
        <v>1201</v>
      </c>
      <c r="R394" s="3" t="s">
        <v>67</v>
      </c>
      <c r="S394" s="4">
        <v>9</v>
      </c>
      <c r="T394" s="4">
        <v>9</v>
      </c>
      <c r="U394" s="5" t="s">
        <v>5073</v>
      </c>
      <c r="V394" s="5" t="s">
        <v>5073</v>
      </c>
      <c r="W394" s="5" t="s">
        <v>4108</v>
      </c>
      <c r="X394" s="5" t="s">
        <v>4108</v>
      </c>
      <c r="Y394" s="4">
        <v>367</v>
      </c>
      <c r="Z394" s="4">
        <v>249</v>
      </c>
      <c r="AA394" s="4">
        <v>278</v>
      </c>
      <c r="AB394" s="4">
        <v>3</v>
      </c>
      <c r="AC394" s="4">
        <v>3</v>
      </c>
      <c r="AD394" s="4">
        <v>10</v>
      </c>
      <c r="AE394" s="4">
        <v>10</v>
      </c>
      <c r="AF394" s="4">
        <v>1</v>
      </c>
      <c r="AG394" s="4">
        <v>1</v>
      </c>
      <c r="AH394" s="4">
        <v>3</v>
      </c>
      <c r="AI394" s="4">
        <v>3</v>
      </c>
      <c r="AJ394" s="4">
        <v>7</v>
      </c>
      <c r="AK394" s="4">
        <v>7</v>
      </c>
      <c r="AL394" s="4">
        <v>2</v>
      </c>
      <c r="AM394" s="4">
        <v>2</v>
      </c>
      <c r="AN394" s="4">
        <v>0</v>
      </c>
      <c r="AO394" s="4">
        <v>0</v>
      </c>
      <c r="AP394" s="3" t="s">
        <v>59</v>
      </c>
      <c r="AQ394" s="3" t="s">
        <v>70</v>
      </c>
      <c r="AR394" s="6" t="str">
        <f>HYPERLINK("http://catalog.hathitrust.org/Record/001554797","HathiTrust Record")</f>
        <v>HathiTrust Record</v>
      </c>
      <c r="AS394" s="6" t="str">
        <f>HYPERLINK("https://creighton-primo.hosted.exlibrisgroup.com/primo-explore/search?tab=default_tab&amp;search_scope=EVERYTHING&amp;vid=01CRU&amp;lang=en_US&amp;offset=0&amp;query=any,contains,991002260659702656","Catalog Record")</f>
        <v>Catalog Record</v>
      </c>
      <c r="AT394" s="6" t="str">
        <f>HYPERLINK("http://www.worldcat.org/oclc/304002","WorldCat Record")</f>
        <v>WorldCat Record</v>
      </c>
      <c r="AU394" s="3" t="s">
        <v>5074</v>
      </c>
      <c r="AV394" s="3" t="s">
        <v>5075</v>
      </c>
      <c r="AW394" s="3" t="s">
        <v>5076</v>
      </c>
      <c r="AX394" s="3" t="s">
        <v>5076</v>
      </c>
      <c r="AY394" s="3" t="s">
        <v>5077</v>
      </c>
      <c r="AZ394" s="3" t="s">
        <v>75</v>
      </c>
      <c r="BB394" s="3" t="s">
        <v>5078</v>
      </c>
      <c r="BC394" s="3" t="s">
        <v>5079</v>
      </c>
      <c r="BD394" s="3" t="s">
        <v>5080</v>
      </c>
    </row>
    <row r="395" spans="1:56" ht="48" customHeight="1" x14ac:dyDescent="0.25">
      <c r="A395" s="7" t="s">
        <v>59</v>
      </c>
      <c r="B395" s="2" t="s">
        <v>5081</v>
      </c>
      <c r="C395" s="2" t="s">
        <v>5082</v>
      </c>
      <c r="D395" s="2" t="s">
        <v>5083</v>
      </c>
      <c r="F395" s="3" t="s">
        <v>59</v>
      </c>
      <c r="G395" s="3" t="s">
        <v>60</v>
      </c>
      <c r="H395" s="3" t="s">
        <v>59</v>
      </c>
      <c r="I395" s="3" t="s">
        <v>59</v>
      </c>
      <c r="J395" s="3" t="s">
        <v>61</v>
      </c>
      <c r="L395" s="2" t="s">
        <v>5084</v>
      </c>
      <c r="M395" s="3" t="s">
        <v>161</v>
      </c>
      <c r="O395" s="3" t="s">
        <v>64</v>
      </c>
      <c r="P395" s="3" t="s">
        <v>130</v>
      </c>
      <c r="Q395" s="2" t="s">
        <v>5085</v>
      </c>
      <c r="R395" s="3" t="s">
        <v>67</v>
      </c>
      <c r="S395" s="4">
        <v>13</v>
      </c>
      <c r="T395" s="4">
        <v>13</v>
      </c>
      <c r="U395" s="5" t="s">
        <v>5073</v>
      </c>
      <c r="V395" s="5" t="s">
        <v>5073</v>
      </c>
      <c r="W395" s="5" t="s">
        <v>5086</v>
      </c>
      <c r="X395" s="5" t="s">
        <v>5086</v>
      </c>
      <c r="Y395" s="4">
        <v>443</v>
      </c>
      <c r="Z395" s="4">
        <v>305</v>
      </c>
      <c r="AA395" s="4">
        <v>341</v>
      </c>
      <c r="AB395" s="4">
        <v>4</v>
      </c>
      <c r="AC395" s="4">
        <v>5</v>
      </c>
      <c r="AD395" s="4">
        <v>18</v>
      </c>
      <c r="AE395" s="4">
        <v>21</v>
      </c>
      <c r="AF395" s="4">
        <v>5</v>
      </c>
      <c r="AG395" s="4">
        <v>6</v>
      </c>
      <c r="AH395" s="4">
        <v>4</v>
      </c>
      <c r="AI395" s="4">
        <v>6</v>
      </c>
      <c r="AJ395" s="4">
        <v>12</v>
      </c>
      <c r="AK395" s="4">
        <v>12</v>
      </c>
      <c r="AL395" s="4">
        <v>2</v>
      </c>
      <c r="AM395" s="4">
        <v>3</v>
      </c>
      <c r="AN395" s="4">
        <v>0</v>
      </c>
      <c r="AO395" s="4">
        <v>0</v>
      </c>
      <c r="AP395" s="3" t="s">
        <v>59</v>
      </c>
      <c r="AQ395" s="3" t="s">
        <v>70</v>
      </c>
      <c r="AR395" s="6" t="str">
        <f>HYPERLINK("http://catalog.hathitrust.org/Record/000738589","HathiTrust Record")</f>
        <v>HathiTrust Record</v>
      </c>
      <c r="AS395" s="6" t="str">
        <f>HYPERLINK("https://creighton-primo.hosted.exlibrisgroup.com/primo-explore/search?tab=default_tab&amp;search_scope=EVERYTHING&amp;vid=01CRU&amp;lang=en_US&amp;offset=0&amp;query=any,contains,991004918689702656","Catalog Record")</f>
        <v>Catalog Record</v>
      </c>
      <c r="AT395" s="6" t="str">
        <f>HYPERLINK("http://www.worldcat.org/oclc/6039908","WorldCat Record")</f>
        <v>WorldCat Record</v>
      </c>
      <c r="AU395" s="3" t="s">
        <v>5087</v>
      </c>
      <c r="AV395" s="3" t="s">
        <v>5088</v>
      </c>
      <c r="AW395" s="3" t="s">
        <v>5089</v>
      </c>
      <c r="AX395" s="3" t="s">
        <v>5089</v>
      </c>
      <c r="AY395" s="3" t="s">
        <v>5090</v>
      </c>
      <c r="AZ395" s="3" t="s">
        <v>75</v>
      </c>
      <c r="BB395" s="3" t="s">
        <v>5091</v>
      </c>
      <c r="BC395" s="3" t="s">
        <v>5092</v>
      </c>
      <c r="BD395" s="3" t="s">
        <v>5093</v>
      </c>
    </row>
    <row r="396" spans="1:56" ht="48" customHeight="1" x14ac:dyDescent="0.25">
      <c r="A396" s="7" t="s">
        <v>59</v>
      </c>
      <c r="B396" s="2" t="s">
        <v>5094</v>
      </c>
      <c r="C396" s="2" t="s">
        <v>5095</v>
      </c>
      <c r="D396" s="2" t="s">
        <v>5096</v>
      </c>
      <c r="F396" s="3" t="s">
        <v>59</v>
      </c>
      <c r="G396" s="3" t="s">
        <v>60</v>
      </c>
      <c r="H396" s="3" t="s">
        <v>59</v>
      </c>
      <c r="I396" s="3" t="s">
        <v>59</v>
      </c>
      <c r="J396" s="3" t="s">
        <v>61</v>
      </c>
      <c r="L396" s="2" t="s">
        <v>5097</v>
      </c>
      <c r="M396" s="3" t="s">
        <v>248</v>
      </c>
      <c r="O396" s="3" t="s">
        <v>64</v>
      </c>
      <c r="P396" s="3" t="s">
        <v>130</v>
      </c>
      <c r="Q396" s="2" t="s">
        <v>5098</v>
      </c>
      <c r="R396" s="3" t="s">
        <v>67</v>
      </c>
      <c r="S396" s="4">
        <v>6</v>
      </c>
      <c r="T396" s="4">
        <v>6</v>
      </c>
      <c r="U396" s="5" t="s">
        <v>5073</v>
      </c>
      <c r="V396" s="5" t="s">
        <v>5073</v>
      </c>
      <c r="W396" s="5" t="s">
        <v>4108</v>
      </c>
      <c r="X396" s="5" t="s">
        <v>4108</v>
      </c>
      <c r="Y396" s="4">
        <v>263</v>
      </c>
      <c r="Z396" s="4">
        <v>208</v>
      </c>
      <c r="AA396" s="4">
        <v>210</v>
      </c>
      <c r="AB396" s="4">
        <v>3</v>
      </c>
      <c r="AC396" s="4">
        <v>3</v>
      </c>
      <c r="AD396" s="4">
        <v>4</v>
      </c>
      <c r="AE396" s="4">
        <v>4</v>
      </c>
      <c r="AF396" s="4">
        <v>0</v>
      </c>
      <c r="AG396" s="4">
        <v>0</v>
      </c>
      <c r="AH396" s="4">
        <v>2</v>
      </c>
      <c r="AI396" s="4">
        <v>2</v>
      </c>
      <c r="AJ396" s="4">
        <v>1</v>
      </c>
      <c r="AK396" s="4">
        <v>1</v>
      </c>
      <c r="AL396" s="4">
        <v>2</v>
      </c>
      <c r="AM396" s="4">
        <v>2</v>
      </c>
      <c r="AN396" s="4">
        <v>0</v>
      </c>
      <c r="AO396" s="4">
        <v>0</v>
      </c>
      <c r="AP396" s="3" t="s">
        <v>59</v>
      </c>
      <c r="AQ396" s="3" t="s">
        <v>70</v>
      </c>
      <c r="AR396" s="6" t="str">
        <f>HYPERLINK("http://catalog.hathitrust.org/Record/000194612","HathiTrust Record")</f>
        <v>HathiTrust Record</v>
      </c>
      <c r="AS396" s="6" t="str">
        <f>HYPERLINK("https://creighton-primo.hosted.exlibrisgroup.com/primo-explore/search?tab=default_tab&amp;search_scope=EVERYTHING&amp;vid=01CRU&amp;lang=en_US&amp;offset=0&amp;query=any,contains,991005152679702656","Catalog Record")</f>
        <v>Catalog Record</v>
      </c>
      <c r="AT396" s="6" t="str">
        <f>HYPERLINK("http://www.worldcat.org/oclc/7734534","WorldCat Record")</f>
        <v>WorldCat Record</v>
      </c>
      <c r="AU396" s="3" t="s">
        <v>5099</v>
      </c>
      <c r="AV396" s="3" t="s">
        <v>5100</v>
      </c>
      <c r="AW396" s="3" t="s">
        <v>5101</v>
      </c>
      <c r="AX396" s="3" t="s">
        <v>5101</v>
      </c>
      <c r="AY396" s="3" t="s">
        <v>5102</v>
      </c>
      <c r="AZ396" s="3" t="s">
        <v>75</v>
      </c>
      <c r="BB396" s="3" t="s">
        <v>5103</v>
      </c>
      <c r="BC396" s="3" t="s">
        <v>5104</v>
      </c>
      <c r="BD396" s="3" t="s">
        <v>5105</v>
      </c>
    </row>
    <row r="397" spans="1:56" ht="48" customHeight="1" x14ac:dyDescent="0.25">
      <c r="A397" s="7" t="s">
        <v>59</v>
      </c>
      <c r="B397" s="2" t="s">
        <v>5106</v>
      </c>
      <c r="C397" s="2" t="s">
        <v>5107</v>
      </c>
      <c r="D397" s="2" t="s">
        <v>5108</v>
      </c>
      <c r="F397" s="3" t="s">
        <v>59</v>
      </c>
      <c r="G397" s="3" t="s">
        <v>60</v>
      </c>
      <c r="H397" s="3" t="s">
        <v>59</v>
      </c>
      <c r="I397" s="3" t="s">
        <v>59</v>
      </c>
      <c r="J397" s="3" t="s">
        <v>61</v>
      </c>
      <c r="L397" s="2" t="s">
        <v>5109</v>
      </c>
      <c r="O397" s="3" t="s">
        <v>64</v>
      </c>
      <c r="P397" s="3" t="s">
        <v>278</v>
      </c>
      <c r="R397" s="3" t="s">
        <v>67</v>
      </c>
      <c r="S397" s="4">
        <v>4</v>
      </c>
      <c r="T397" s="4">
        <v>4</v>
      </c>
      <c r="U397" s="5" t="s">
        <v>2390</v>
      </c>
      <c r="V397" s="5" t="s">
        <v>2390</v>
      </c>
      <c r="W397" s="5" t="s">
        <v>4108</v>
      </c>
      <c r="X397" s="5" t="s">
        <v>4108</v>
      </c>
      <c r="Y397" s="4">
        <v>2</v>
      </c>
      <c r="Z397" s="4">
        <v>2</v>
      </c>
      <c r="AA397" s="4">
        <v>2</v>
      </c>
      <c r="AB397" s="4">
        <v>1</v>
      </c>
      <c r="AC397" s="4">
        <v>1</v>
      </c>
      <c r="AD397" s="4">
        <v>0</v>
      </c>
      <c r="AE397" s="4">
        <v>0</v>
      </c>
      <c r="AF397" s="4">
        <v>0</v>
      </c>
      <c r="AG397" s="4">
        <v>0</v>
      </c>
      <c r="AH397" s="4">
        <v>0</v>
      </c>
      <c r="AI397" s="4">
        <v>0</v>
      </c>
      <c r="AJ397" s="4">
        <v>0</v>
      </c>
      <c r="AK397" s="4">
        <v>0</v>
      </c>
      <c r="AL397" s="4">
        <v>0</v>
      </c>
      <c r="AM397" s="4">
        <v>0</v>
      </c>
      <c r="AN397" s="4">
        <v>0</v>
      </c>
      <c r="AO397" s="4">
        <v>0</v>
      </c>
      <c r="AP397" s="3" t="s">
        <v>59</v>
      </c>
      <c r="AQ397" s="3" t="s">
        <v>59</v>
      </c>
      <c r="AS397" s="6" t="str">
        <f>HYPERLINK("https://creighton-primo.hosted.exlibrisgroup.com/primo-explore/search?tab=default_tab&amp;search_scope=EVERYTHING&amp;vid=01CRU&amp;lang=en_US&amp;offset=0&amp;query=any,contains,991004632779702656","Catalog Record")</f>
        <v>Catalog Record</v>
      </c>
      <c r="AT397" s="6" t="str">
        <f>HYPERLINK("http://www.worldcat.org/oclc/4384070","WorldCat Record")</f>
        <v>WorldCat Record</v>
      </c>
      <c r="AU397" s="3" t="s">
        <v>5110</v>
      </c>
      <c r="AV397" s="3" t="s">
        <v>5111</v>
      </c>
      <c r="AW397" s="3" t="s">
        <v>5112</v>
      </c>
      <c r="AX397" s="3" t="s">
        <v>5112</v>
      </c>
      <c r="AY397" s="3" t="s">
        <v>5113</v>
      </c>
      <c r="AZ397" s="3" t="s">
        <v>75</v>
      </c>
      <c r="BC397" s="3" t="s">
        <v>5114</v>
      </c>
      <c r="BD397" s="3" t="s">
        <v>5115</v>
      </c>
    </row>
    <row r="398" spans="1:56" ht="48" customHeight="1" x14ac:dyDescent="0.25">
      <c r="A398" s="7" t="s">
        <v>59</v>
      </c>
      <c r="B398" s="2" t="s">
        <v>5116</v>
      </c>
      <c r="C398" s="2" t="s">
        <v>5117</v>
      </c>
      <c r="D398" s="2" t="s">
        <v>5118</v>
      </c>
      <c r="F398" s="3" t="s">
        <v>59</v>
      </c>
      <c r="G398" s="3" t="s">
        <v>60</v>
      </c>
      <c r="H398" s="3" t="s">
        <v>59</v>
      </c>
      <c r="I398" s="3" t="s">
        <v>59</v>
      </c>
      <c r="J398" s="3" t="s">
        <v>61</v>
      </c>
      <c r="K398" s="2" t="s">
        <v>5119</v>
      </c>
      <c r="L398" s="2" t="s">
        <v>5120</v>
      </c>
      <c r="M398" s="3" t="s">
        <v>2389</v>
      </c>
      <c r="O398" s="3" t="s">
        <v>64</v>
      </c>
      <c r="P398" s="3" t="s">
        <v>84</v>
      </c>
      <c r="R398" s="3" t="s">
        <v>67</v>
      </c>
      <c r="S398" s="4">
        <v>2</v>
      </c>
      <c r="T398" s="4">
        <v>2</v>
      </c>
      <c r="U398" s="5" t="s">
        <v>5121</v>
      </c>
      <c r="V398" s="5" t="s">
        <v>5121</v>
      </c>
      <c r="W398" s="5" t="s">
        <v>5122</v>
      </c>
      <c r="X398" s="5" t="s">
        <v>5122</v>
      </c>
      <c r="Y398" s="4">
        <v>490</v>
      </c>
      <c r="Z398" s="4">
        <v>393</v>
      </c>
      <c r="AA398" s="4">
        <v>404</v>
      </c>
      <c r="AB398" s="4">
        <v>5</v>
      </c>
      <c r="AC398" s="4">
        <v>5</v>
      </c>
      <c r="AD398" s="4">
        <v>16</v>
      </c>
      <c r="AE398" s="4">
        <v>16</v>
      </c>
      <c r="AF398" s="4">
        <v>7</v>
      </c>
      <c r="AG398" s="4">
        <v>7</v>
      </c>
      <c r="AH398" s="4">
        <v>3</v>
      </c>
      <c r="AI398" s="4">
        <v>3</v>
      </c>
      <c r="AJ398" s="4">
        <v>6</v>
      </c>
      <c r="AK398" s="4">
        <v>6</v>
      </c>
      <c r="AL398" s="4">
        <v>4</v>
      </c>
      <c r="AM398" s="4">
        <v>4</v>
      </c>
      <c r="AN398" s="4">
        <v>0</v>
      </c>
      <c r="AO398" s="4">
        <v>0</v>
      </c>
      <c r="AP398" s="3" t="s">
        <v>59</v>
      </c>
      <c r="AQ398" s="3" t="s">
        <v>70</v>
      </c>
      <c r="AR398" s="6" t="str">
        <f>HYPERLINK("http://catalog.hathitrust.org/Record/006755083","HathiTrust Record")</f>
        <v>HathiTrust Record</v>
      </c>
      <c r="AS398" s="6" t="str">
        <f>HYPERLINK("https://creighton-primo.hosted.exlibrisgroup.com/primo-explore/search?tab=default_tab&amp;search_scope=EVERYTHING&amp;vid=01CRU&amp;lang=en_US&amp;offset=0&amp;query=any,contains,991001923069702656","Catalog Record")</f>
        <v>Catalog Record</v>
      </c>
      <c r="AT398" s="6" t="str">
        <f>HYPERLINK("http://www.worldcat.org/oclc/245753","WorldCat Record")</f>
        <v>WorldCat Record</v>
      </c>
      <c r="AU398" s="3" t="s">
        <v>5123</v>
      </c>
      <c r="AV398" s="3" t="s">
        <v>5124</v>
      </c>
      <c r="AW398" s="3" t="s">
        <v>5125</v>
      </c>
      <c r="AX398" s="3" t="s">
        <v>5125</v>
      </c>
      <c r="AY398" s="3" t="s">
        <v>5126</v>
      </c>
      <c r="AZ398" s="3" t="s">
        <v>75</v>
      </c>
      <c r="BB398" s="3" t="s">
        <v>5127</v>
      </c>
      <c r="BC398" s="3" t="s">
        <v>5128</v>
      </c>
      <c r="BD398" s="3" t="s">
        <v>5129</v>
      </c>
    </row>
    <row r="399" spans="1:56" ht="48" customHeight="1" x14ac:dyDescent="0.25">
      <c r="A399" s="7" t="s">
        <v>59</v>
      </c>
      <c r="B399" s="2" t="s">
        <v>5130</v>
      </c>
      <c r="C399" s="2" t="s">
        <v>5131</v>
      </c>
      <c r="D399" s="2" t="s">
        <v>5132</v>
      </c>
      <c r="F399" s="3" t="s">
        <v>59</v>
      </c>
      <c r="G399" s="3" t="s">
        <v>60</v>
      </c>
      <c r="H399" s="3" t="s">
        <v>59</v>
      </c>
      <c r="I399" s="3" t="s">
        <v>59</v>
      </c>
      <c r="J399" s="3" t="s">
        <v>61</v>
      </c>
      <c r="K399" s="2" t="s">
        <v>5133</v>
      </c>
      <c r="L399" s="2" t="s">
        <v>5134</v>
      </c>
      <c r="O399" s="3" t="s">
        <v>64</v>
      </c>
      <c r="P399" s="3" t="s">
        <v>1394</v>
      </c>
      <c r="Q399" s="2" t="s">
        <v>5135</v>
      </c>
      <c r="R399" s="3" t="s">
        <v>67</v>
      </c>
      <c r="S399" s="4">
        <v>1</v>
      </c>
      <c r="T399" s="4">
        <v>1</v>
      </c>
      <c r="U399" s="5" t="s">
        <v>2225</v>
      </c>
      <c r="V399" s="5" t="s">
        <v>2225</v>
      </c>
      <c r="W399" s="5" t="s">
        <v>4108</v>
      </c>
      <c r="X399" s="5" t="s">
        <v>4108</v>
      </c>
      <c r="Y399" s="4">
        <v>158</v>
      </c>
      <c r="Z399" s="4">
        <v>156</v>
      </c>
      <c r="AA399" s="4">
        <v>160</v>
      </c>
      <c r="AB399" s="4">
        <v>3</v>
      </c>
      <c r="AC399" s="4">
        <v>3</v>
      </c>
      <c r="AD399" s="4">
        <v>4</v>
      </c>
      <c r="AE399" s="4">
        <v>4</v>
      </c>
      <c r="AF399" s="4">
        <v>1</v>
      </c>
      <c r="AG399" s="4">
        <v>1</v>
      </c>
      <c r="AH399" s="4">
        <v>1</v>
      </c>
      <c r="AI399" s="4">
        <v>1</v>
      </c>
      <c r="AJ399" s="4">
        <v>2</v>
      </c>
      <c r="AK399" s="4">
        <v>2</v>
      </c>
      <c r="AL399" s="4">
        <v>2</v>
      </c>
      <c r="AM399" s="4">
        <v>2</v>
      </c>
      <c r="AN399" s="4">
        <v>0</v>
      </c>
      <c r="AO399" s="4">
        <v>0</v>
      </c>
      <c r="AP399" s="3" t="s">
        <v>59</v>
      </c>
      <c r="AQ399" s="3" t="s">
        <v>70</v>
      </c>
      <c r="AR399" s="6" t="str">
        <f>HYPERLINK("http://catalog.hathitrust.org/Record/101986208","HathiTrust Record")</f>
        <v>HathiTrust Record</v>
      </c>
      <c r="AS399" s="6" t="str">
        <f>HYPERLINK("https://creighton-primo.hosted.exlibrisgroup.com/primo-explore/search?tab=default_tab&amp;search_scope=EVERYTHING&amp;vid=01CRU&amp;lang=en_US&amp;offset=0&amp;query=any,contains,991004627919702656","Catalog Record")</f>
        <v>Catalog Record</v>
      </c>
      <c r="AT399" s="6" t="str">
        <f>HYPERLINK("http://www.worldcat.org/oclc/4352397","WorldCat Record")</f>
        <v>WorldCat Record</v>
      </c>
      <c r="AU399" s="3" t="s">
        <v>5136</v>
      </c>
      <c r="AV399" s="3" t="s">
        <v>5137</v>
      </c>
      <c r="AW399" s="3" t="s">
        <v>5138</v>
      </c>
      <c r="AX399" s="3" t="s">
        <v>5138</v>
      </c>
      <c r="AY399" s="3" t="s">
        <v>5139</v>
      </c>
      <c r="AZ399" s="3" t="s">
        <v>75</v>
      </c>
      <c r="BC399" s="3" t="s">
        <v>5140</v>
      </c>
      <c r="BD399" s="3" t="s">
        <v>5141</v>
      </c>
    </row>
    <row r="400" spans="1:56" ht="48" customHeight="1" x14ac:dyDescent="0.25">
      <c r="A400" s="7" t="s">
        <v>59</v>
      </c>
      <c r="B400" s="2" t="s">
        <v>5142</v>
      </c>
      <c r="C400" s="2" t="s">
        <v>5143</v>
      </c>
      <c r="D400" s="2" t="s">
        <v>5144</v>
      </c>
      <c r="F400" s="3" t="s">
        <v>59</v>
      </c>
      <c r="G400" s="3" t="s">
        <v>60</v>
      </c>
      <c r="H400" s="3" t="s">
        <v>70</v>
      </c>
      <c r="I400" s="3" t="s">
        <v>59</v>
      </c>
      <c r="J400" s="3" t="s">
        <v>61</v>
      </c>
      <c r="K400" s="2" t="s">
        <v>5145</v>
      </c>
      <c r="L400" s="2" t="s">
        <v>5146</v>
      </c>
      <c r="M400" s="3" t="s">
        <v>590</v>
      </c>
      <c r="O400" s="3" t="s">
        <v>64</v>
      </c>
      <c r="P400" s="3" t="s">
        <v>130</v>
      </c>
      <c r="Q400" s="2" t="s">
        <v>5147</v>
      </c>
      <c r="R400" s="3" t="s">
        <v>67</v>
      </c>
      <c r="S400" s="4">
        <v>27</v>
      </c>
      <c r="T400" s="4">
        <v>27</v>
      </c>
      <c r="U400" s="5" t="s">
        <v>4398</v>
      </c>
      <c r="V400" s="5" t="s">
        <v>4398</v>
      </c>
      <c r="W400" s="5" t="s">
        <v>4794</v>
      </c>
      <c r="X400" s="5" t="s">
        <v>4794</v>
      </c>
      <c r="Y400" s="4">
        <v>462</v>
      </c>
      <c r="Z400" s="4">
        <v>404</v>
      </c>
      <c r="AA400" s="4">
        <v>406</v>
      </c>
      <c r="AB400" s="4">
        <v>4</v>
      </c>
      <c r="AC400" s="4">
        <v>4</v>
      </c>
      <c r="AD400" s="4">
        <v>16</v>
      </c>
      <c r="AE400" s="4">
        <v>16</v>
      </c>
      <c r="AF400" s="4">
        <v>5</v>
      </c>
      <c r="AG400" s="4">
        <v>5</v>
      </c>
      <c r="AH400" s="4">
        <v>4</v>
      </c>
      <c r="AI400" s="4">
        <v>4</v>
      </c>
      <c r="AJ400" s="4">
        <v>9</v>
      </c>
      <c r="AK400" s="4">
        <v>9</v>
      </c>
      <c r="AL400" s="4">
        <v>2</v>
      </c>
      <c r="AM400" s="4">
        <v>2</v>
      </c>
      <c r="AN400" s="4">
        <v>0</v>
      </c>
      <c r="AO400" s="4">
        <v>0</v>
      </c>
      <c r="AP400" s="3" t="s">
        <v>59</v>
      </c>
      <c r="AQ400" s="3" t="s">
        <v>70</v>
      </c>
      <c r="AR400" s="6" t="str">
        <f>HYPERLINK("http://catalog.hathitrust.org/Record/001083286","HathiTrust Record")</f>
        <v>HathiTrust Record</v>
      </c>
      <c r="AS400" s="6" t="str">
        <f>HYPERLINK("https://creighton-primo.hosted.exlibrisgroup.com/primo-explore/search?tab=default_tab&amp;search_scope=EVERYTHING&amp;vid=01CRU&amp;lang=en_US&amp;offset=0&amp;query=any,contains,991001384369702656","Catalog Record")</f>
        <v>Catalog Record</v>
      </c>
      <c r="AT400" s="6" t="str">
        <f>HYPERLINK("http://www.worldcat.org/oclc/18715082","WorldCat Record")</f>
        <v>WorldCat Record</v>
      </c>
      <c r="AU400" s="3" t="s">
        <v>5148</v>
      </c>
      <c r="AV400" s="3" t="s">
        <v>5149</v>
      </c>
      <c r="AW400" s="3" t="s">
        <v>5150</v>
      </c>
      <c r="AX400" s="3" t="s">
        <v>5150</v>
      </c>
      <c r="AY400" s="3" t="s">
        <v>5151</v>
      </c>
      <c r="AZ400" s="3" t="s">
        <v>75</v>
      </c>
      <c r="BB400" s="3" t="s">
        <v>5152</v>
      </c>
      <c r="BC400" s="3" t="s">
        <v>5153</v>
      </c>
      <c r="BD400" s="3" t="s">
        <v>5154</v>
      </c>
    </row>
    <row r="401" spans="1:56" ht="48" customHeight="1" x14ac:dyDescent="0.25">
      <c r="A401" s="7" t="s">
        <v>59</v>
      </c>
      <c r="B401" s="2" t="s">
        <v>5155</v>
      </c>
      <c r="C401" s="2" t="s">
        <v>5156</v>
      </c>
      <c r="D401" s="2" t="s">
        <v>5157</v>
      </c>
      <c r="F401" s="3" t="s">
        <v>59</v>
      </c>
      <c r="G401" s="3" t="s">
        <v>60</v>
      </c>
      <c r="H401" s="3" t="s">
        <v>59</v>
      </c>
      <c r="I401" s="3" t="s">
        <v>59</v>
      </c>
      <c r="J401" s="3" t="s">
        <v>61</v>
      </c>
      <c r="K401" s="2" t="s">
        <v>5158</v>
      </c>
      <c r="L401" s="2" t="s">
        <v>5159</v>
      </c>
      <c r="M401" s="3" t="s">
        <v>1986</v>
      </c>
      <c r="O401" s="3" t="s">
        <v>64</v>
      </c>
      <c r="P401" s="3" t="s">
        <v>130</v>
      </c>
      <c r="R401" s="3" t="s">
        <v>67</v>
      </c>
      <c r="S401" s="4">
        <v>2</v>
      </c>
      <c r="T401" s="4">
        <v>2</v>
      </c>
      <c r="U401" s="5" t="s">
        <v>5160</v>
      </c>
      <c r="V401" s="5" t="s">
        <v>5160</v>
      </c>
      <c r="W401" s="5" t="s">
        <v>5161</v>
      </c>
      <c r="X401" s="5" t="s">
        <v>5161</v>
      </c>
      <c r="Y401" s="4">
        <v>714</v>
      </c>
      <c r="Z401" s="4">
        <v>633</v>
      </c>
      <c r="AA401" s="4">
        <v>656</v>
      </c>
      <c r="AB401" s="4">
        <v>6</v>
      </c>
      <c r="AC401" s="4">
        <v>6</v>
      </c>
      <c r="AD401" s="4">
        <v>19</v>
      </c>
      <c r="AE401" s="4">
        <v>19</v>
      </c>
      <c r="AF401" s="4">
        <v>9</v>
      </c>
      <c r="AG401" s="4">
        <v>9</v>
      </c>
      <c r="AH401" s="4">
        <v>3</v>
      </c>
      <c r="AI401" s="4">
        <v>3</v>
      </c>
      <c r="AJ401" s="4">
        <v>7</v>
      </c>
      <c r="AK401" s="4">
        <v>7</v>
      </c>
      <c r="AL401" s="4">
        <v>4</v>
      </c>
      <c r="AM401" s="4">
        <v>4</v>
      </c>
      <c r="AN401" s="4">
        <v>0</v>
      </c>
      <c r="AO401" s="4">
        <v>0</v>
      </c>
      <c r="AP401" s="3" t="s">
        <v>59</v>
      </c>
      <c r="AQ401" s="3" t="s">
        <v>70</v>
      </c>
      <c r="AR401" s="6" t="str">
        <f>HYPERLINK("http://catalog.hathitrust.org/Record/100032854","HathiTrust Record")</f>
        <v>HathiTrust Record</v>
      </c>
      <c r="AS401" s="6" t="str">
        <f>HYPERLINK("https://creighton-primo.hosted.exlibrisgroup.com/primo-explore/search?tab=default_tab&amp;search_scope=EVERYTHING&amp;vid=01CRU&amp;lang=en_US&amp;offset=0&amp;query=any,contains,991004020629702656","Catalog Record")</f>
        <v>Catalog Record</v>
      </c>
      <c r="AT401" s="6" t="str">
        <f>HYPERLINK("http://www.worldcat.org/oclc/43615466","WorldCat Record")</f>
        <v>WorldCat Record</v>
      </c>
      <c r="AU401" s="3" t="s">
        <v>5162</v>
      </c>
      <c r="AV401" s="3" t="s">
        <v>5163</v>
      </c>
      <c r="AW401" s="3" t="s">
        <v>5164</v>
      </c>
      <c r="AX401" s="3" t="s">
        <v>5164</v>
      </c>
      <c r="AY401" s="3" t="s">
        <v>5165</v>
      </c>
      <c r="AZ401" s="3" t="s">
        <v>75</v>
      </c>
      <c r="BB401" s="3" t="s">
        <v>5166</v>
      </c>
      <c r="BC401" s="3" t="s">
        <v>5167</v>
      </c>
      <c r="BD401" s="3" t="s">
        <v>5168</v>
      </c>
    </row>
    <row r="402" spans="1:56" ht="48" customHeight="1" x14ac:dyDescent="0.25">
      <c r="A402" s="7" t="s">
        <v>59</v>
      </c>
      <c r="B402" s="2" t="s">
        <v>5169</v>
      </c>
      <c r="C402" s="2" t="s">
        <v>5170</v>
      </c>
      <c r="D402" s="2" t="s">
        <v>5171</v>
      </c>
      <c r="F402" s="3" t="s">
        <v>59</v>
      </c>
      <c r="G402" s="3" t="s">
        <v>60</v>
      </c>
      <c r="H402" s="3" t="s">
        <v>59</v>
      </c>
      <c r="I402" s="3" t="s">
        <v>59</v>
      </c>
      <c r="J402" s="3" t="s">
        <v>61</v>
      </c>
      <c r="K402" s="2" t="s">
        <v>5172</v>
      </c>
      <c r="L402" s="2" t="s">
        <v>5173</v>
      </c>
      <c r="M402" s="3" t="s">
        <v>234</v>
      </c>
      <c r="O402" s="3" t="s">
        <v>64</v>
      </c>
      <c r="P402" s="3" t="s">
        <v>84</v>
      </c>
      <c r="R402" s="3" t="s">
        <v>67</v>
      </c>
      <c r="S402" s="4">
        <v>4</v>
      </c>
      <c r="T402" s="4">
        <v>4</v>
      </c>
      <c r="U402" s="5" t="s">
        <v>5174</v>
      </c>
      <c r="V402" s="5" t="s">
        <v>5174</v>
      </c>
      <c r="W402" s="5" t="s">
        <v>4663</v>
      </c>
      <c r="X402" s="5" t="s">
        <v>4663</v>
      </c>
      <c r="Y402" s="4">
        <v>622</v>
      </c>
      <c r="Z402" s="4">
        <v>455</v>
      </c>
      <c r="AA402" s="4">
        <v>553</v>
      </c>
      <c r="AB402" s="4">
        <v>5</v>
      </c>
      <c r="AC402" s="4">
        <v>5</v>
      </c>
      <c r="AD402" s="4">
        <v>24</v>
      </c>
      <c r="AE402" s="4">
        <v>27</v>
      </c>
      <c r="AF402" s="4">
        <v>6</v>
      </c>
      <c r="AG402" s="4">
        <v>7</v>
      </c>
      <c r="AH402" s="4">
        <v>6</v>
      </c>
      <c r="AI402" s="4">
        <v>6</v>
      </c>
      <c r="AJ402" s="4">
        <v>14</v>
      </c>
      <c r="AK402" s="4">
        <v>16</v>
      </c>
      <c r="AL402" s="4">
        <v>4</v>
      </c>
      <c r="AM402" s="4">
        <v>4</v>
      </c>
      <c r="AN402" s="4">
        <v>0</v>
      </c>
      <c r="AO402" s="4">
        <v>0</v>
      </c>
      <c r="AP402" s="3" t="s">
        <v>59</v>
      </c>
      <c r="AQ402" s="3" t="s">
        <v>59</v>
      </c>
      <c r="AS402" s="6" t="str">
        <f>HYPERLINK("https://creighton-primo.hosted.exlibrisgroup.com/primo-explore/search?tab=default_tab&amp;search_scope=EVERYTHING&amp;vid=01CRU&amp;lang=en_US&amp;offset=0&amp;query=any,contains,991001348169702656","Catalog Record")</f>
        <v>Catalog Record</v>
      </c>
      <c r="AT402" s="6" t="str">
        <f>HYPERLINK("http://www.worldcat.org/oclc/18417579","WorldCat Record")</f>
        <v>WorldCat Record</v>
      </c>
      <c r="AU402" s="3" t="s">
        <v>5175</v>
      </c>
      <c r="AV402" s="3" t="s">
        <v>5176</v>
      </c>
      <c r="AW402" s="3" t="s">
        <v>5177</v>
      </c>
      <c r="AX402" s="3" t="s">
        <v>5177</v>
      </c>
      <c r="AY402" s="3" t="s">
        <v>5178</v>
      </c>
      <c r="AZ402" s="3" t="s">
        <v>75</v>
      </c>
      <c r="BB402" s="3" t="s">
        <v>5179</v>
      </c>
      <c r="BC402" s="3" t="s">
        <v>5180</v>
      </c>
      <c r="BD402" s="3" t="s">
        <v>5181</v>
      </c>
    </row>
    <row r="403" spans="1:56" ht="48" customHeight="1" x14ac:dyDescent="0.25">
      <c r="A403" s="7" t="s">
        <v>59</v>
      </c>
      <c r="B403" s="2" t="s">
        <v>5182</v>
      </c>
      <c r="C403" s="2" t="s">
        <v>5183</v>
      </c>
      <c r="D403" s="2" t="s">
        <v>5184</v>
      </c>
      <c r="F403" s="3" t="s">
        <v>59</v>
      </c>
      <c r="G403" s="3" t="s">
        <v>60</v>
      </c>
      <c r="H403" s="3" t="s">
        <v>59</v>
      </c>
      <c r="I403" s="3" t="s">
        <v>59</v>
      </c>
      <c r="J403" s="3" t="s">
        <v>61</v>
      </c>
      <c r="K403" s="2" t="s">
        <v>5172</v>
      </c>
      <c r="L403" s="2" t="s">
        <v>5185</v>
      </c>
      <c r="M403" s="3" t="s">
        <v>145</v>
      </c>
      <c r="O403" s="3" t="s">
        <v>64</v>
      </c>
      <c r="P403" s="3" t="s">
        <v>1201</v>
      </c>
      <c r="Q403" s="2" t="s">
        <v>5186</v>
      </c>
      <c r="R403" s="3" t="s">
        <v>67</v>
      </c>
      <c r="S403" s="4">
        <v>10</v>
      </c>
      <c r="T403" s="4">
        <v>10</v>
      </c>
      <c r="U403" s="5" t="s">
        <v>5187</v>
      </c>
      <c r="V403" s="5" t="s">
        <v>5187</v>
      </c>
      <c r="W403" s="5" t="s">
        <v>4108</v>
      </c>
      <c r="X403" s="5" t="s">
        <v>4108</v>
      </c>
      <c r="Y403" s="4">
        <v>572</v>
      </c>
      <c r="Z403" s="4">
        <v>437</v>
      </c>
      <c r="AA403" s="4">
        <v>499</v>
      </c>
      <c r="AB403" s="4">
        <v>2</v>
      </c>
      <c r="AC403" s="4">
        <v>2</v>
      </c>
      <c r="AD403" s="4">
        <v>20</v>
      </c>
      <c r="AE403" s="4">
        <v>22</v>
      </c>
      <c r="AF403" s="4">
        <v>6</v>
      </c>
      <c r="AG403" s="4">
        <v>7</v>
      </c>
      <c r="AH403" s="4">
        <v>5</v>
      </c>
      <c r="AI403" s="4">
        <v>6</v>
      </c>
      <c r="AJ403" s="4">
        <v>14</v>
      </c>
      <c r="AK403" s="4">
        <v>16</v>
      </c>
      <c r="AL403" s="4">
        <v>1</v>
      </c>
      <c r="AM403" s="4">
        <v>1</v>
      </c>
      <c r="AN403" s="4">
        <v>0</v>
      </c>
      <c r="AO403" s="4">
        <v>0</v>
      </c>
      <c r="AP403" s="3" t="s">
        <v>59</v>
      </c>
      <c r="AQ403" s="3" t="s">
        <v>70</v>
      </c>
      <c r="AR403" s="6" t="str">
        <f>HYPERLINK("http://catalog.hathitrust.org/Record/000716726","HathiTrust Record")</f>
        <v>HathiTrust Record</v>
      </c>
      <c r="AS403" s="6" t="str">
        <f>HYPERLINK("https://creighton-primo.hosted.exlibrisgroup.com/primo-explore/search?tab=default_tab&amp;search_scope=EVERYTHING&amp;vid=01CRU&amp;lang=en_US&amp;offset=0&amp;query=any,contains,991004661879702656","Catalog Record")</f>
        <v>Catalog Record</v>
      </c>
      <c r="AT403" s="6" t="str">
        <f>HYPERLINK("http://www.worldcat.org/oclc/4497402","WorldCat Record")</f>
        <v>WorldCat Record</v>
      </c>
      <c r="AU403" s="3" t="s">
        <v>5188</v>
      </c>
      <c r="AV403" s="3" t="s">
        <v>5189</v>
      </c>
      <c r="AW403" s="3" t="s">
        <v>5190</v>
      </c>
      <c r="AX403" s="3" t="s">
        <v>5190</v>
      </c>
      <c r="AY403" s="3" t="s">
        <v>5191</v>
      </c>
      <c r="AZ403" s="3" t="s">
        <v>75</v>
      </c>
      <c r="BB403" s="3" t="s">
        <v>5192</v>
      </c>
      <c r="BC403" s="3" t="s">
        <v>5193</v>
      </c>
      <c r="BD403" s="3" t="s">
        <v>5194</v>
      </c>
    </row>
    <row r="404" spans="1:56" ht="48" customHeight="1" x14ac:dyDescent="0.25">
      <c r="A404" s="7" t="s">
        <v>59</v>
      </c>
      <c r="B404" s="2" t="s">
        <v>5195</v>
      </c>
      <c r="C404" s="2" t="s">
        <v>5196</v>
      </c>
      <c r="D404" s="2" t="s">
        <v>5197</v>
      </c>
      <c r="F404" s="3" t="s">
        <v>59</v>
      </c>
      <c r="G404" s="3" t="s">
        <v>60</v>
      </c>
      <c r="H404" s="3" t="s">
        <v>59</v>
      </c>
      <c r="I404" s="3" t="s">
        <v>59</v>
      </c>
      <c r="J404" s="3" t="s">
        <v>61</v>
      </c>
      <c r="K404" s="2" t="s">
        <v>5172</v>
      </c>
      <c r="L404" s="2" t="s">
        <v>5198</v>
      </c>
      <c r="M404" s="3" t="s">
        <v>129</v>
      </c>
      <c r="O404" s="3" t="s">
        <v>64</v>
      </c>
      <c r="P404" s="3" t="s">
        <v>130</v>
      </c>
      <c r="R404" s="3" t="s">
        <v>67</v>
      </c>
      <c r="S404" s="4">
        <v>4</v>
      </c>
      <c r="T404" s="4">
        <v>4</v>
      </c>
      <c r="U404" s="5" t="s">
        <v>5199</v>
      </c>
      <c r="V404" s="5" t="s">
        <v>5199</v>
      </c>
      <c r="W404" s="5" t="s">
        <v>4169</v>
      </c>
      <c r="X404" s="5" t="s">
        <v>4169</v>
      </c>
      <c r="Y404" s="4">
        <v>92</v>
      </c>
      <c r="Z404" s="4">
        <v>57</v>
      </c>
      <c r="AA404" s="4">
        <v>301</v>
      </c>
      <c r="AB404" s="4">
        <v>1</v>
      </c>
      <c r="AC404" s="4">
        <v>2</v>
      </c>
      <c r="AD404" s="4">
        <v>3</v>
      </c>
      <c r="AE404" s="4">
        <v>13</v>
      </c>
      <c r="AF404" s="4">
        <v>2</v>
      </c>
      <c r="AG404" s="4">
        <v>3</v>
      </c>
      <c r="AH404" s="4">
        <v>0</v>
      </c>
      <c r="AI404" s="4">
        <v>4</v>
      </c>
      <c r="AJ404" s="4">
        <v>3</v>
      </c>
      <c r="AK404" s="4">
        <v>10</v>
      </c>
      <c r="AL404" s="4">
        <v>0</v>
      </c>
      <c r="AM404" s="4">
        <v>1</v>
      </c>
      <c r="AN404" s="4">
        <v>0</v>
      </c>
      <c r="AO404" s="4">
        <v>0</v>
      </c>
      <c r="AP404" s="3" t="s">
        <v>59</v>
      </c>
      <c r="AQ404" s="3" t="s">
        <v>59</v>
      </c>
      <c r="AS404" s="6" t="str">
        <f>HYPERLINK("https://creighton-primo.hosted.exlibrisgroup.com/primo-explore/search?tab=default_tab&amp;search_scope=EVERYTHING&amp;vid=01CRU&amp;lang=en_US&amp;offset=0&amp;query=any,contains,991001915689702656","Catalog Record")</f>
        <v>Catalog Record</v>
      </c>
      <c r="AT404" s="6" t="str">
        <f>HYPERLINK("http://www.worldcat.org/oclc/24175127","WorldCat Record")</f>
        <v>WorldCat Record</v>
      </c>
      <c r="AU404" s="3" t="s">
        <v>5200</v>
      </c>
      <c r="AV404" s="3" t="s">
        <v>5201</v>
      </c>
      <c r="AW404" s="3" t="s">
        <v>5202</v>
      </c>
      <c r="AX404" s="3" t="s">
        <v>5202</v>
      </c>
      <c r="AY404" s="3" t="s">
        <v>5203</v>
      </c>
      <c r="AZ404" s="3" t="s">
        <v>75</v>
      </c>
      <c r="BB404" s="3" t="s">
        <v>5204</v>
      </c>
      <c r="BC404" s="3" t="s">
        <v>5205</v>
      </c>
      <c r="BD404" s="3" t="s">
        <v>5206</v>
      </c>
    </row>
    <row r="405" spans="1:56" ht="48" customHeight="1" x14ac:dyDescent="0.25">
      <c r="A405" s="7" t="s">
        <v>59</v>
      </c>
      <c r="B405" s="2" t="s">
        <v>5207</v>
      </c>
      <c r="C405" s="2" t="s">
        <v>5208</v>
      </c>
      <c r="D405" s="2" t="s">
        <v>5209</v>
      </c>
      <c r="F405" s="3" t="s">
        <v>59</v>
      </c>
      <c r="G405" s="3" t="s">
        <v>60</v>
      </c>
      <c r="H405" s="3" t="s">
        <v>59</v>
      </c>
      <c r="I405" s="3" t="s">
        <v>59</v>
      </c>
      <c r="J405" s="3" t="s">
        <v>61</v>
      </c>
      <c r="K405" s="2" t="s">
        <v>5210</v>
      </c>
      <c r="L405" s="2" t="s">
        <v>5211</v>
      </c>
      <c r="M405" s="3" t="s">
        <v>113</v>
      </c>
      <c r="O405" s="3" t="s">
        <v>64</v>
      </c>
      <c r="P405" s="3" t="s">
        <v>130</v>
      </c>
      <c r="R405" s="3" t="s">
        <v>67</v>
      </c>
      <c r="S405" s="4">
        <v>10</v>
      </c>
      <c r="T405" s="4">
        <v>10</v>
      </c>
      <c r="U405" s="5" t="s">
        <v>5212</v>
      </c>
      <c r="V405" s="5" t="s">
        <v>5212</v>
      </c>
      <c r="W405" s="5" t="s">
        <v>4108</v>
      </c>
      <c r="X405" s="5" t="s">
        <v>4108</v>
      </c>
      <c r="Y405" s="4">
        <v>578</v>
      </c>
      <c r="Z405" s="4">
        <v>444</v>
      </c>
      <c r="AA405" s="4">
        <v>448</v>
      </c>
      <c r="AB405" s="4">
        <v>3</v>
      </c>
      <c r="AC405" s="4">
        <v>3</v>
      </c>
      <c r="AD405" s="4">
        <v>17</v>
      </c>
      <c r="AE405" s="4">
        <v>17</v>
      </c>
      <c r="AF405" s="4">
        <v>5</v>
      </c>
      <c r="AG405" s="4">
        <v>5</v>
      </c>
      <c r="AH405" s="4">
        <v>5</v>
      </c>
      <c r="AI405" s="4">
        <v>5</v>
      </c>
      <c r="AJ405" s="4">
        <v>12</v>
      </c>
      <c r="AK405" s="4">
        <v>12</v>
      </c>
      <c r="AL405" s="4">
        <v>2</v>
      </c>
      <c r="AM405" s="4">
        <v>2</v>
      </c>
      <c r="AN405" s="4">
        <v>0</v>
      </c>
      <c r="AO405" s="4">
        <v>0</v>
      </c>
      <c r="AP405" s="3" t="s">
        <v>59</v>
      </c>
      <c r="AQ405" s="3" t="s">
        <v>70</v>
      </c>
      <c r="AR405" s="6" t="str">
        <f>HYPERLINK("http://catalog.hathitrust.org/Record/000877934","HathiTrust Record")</f>
        <v>HathiTrust Record</v>
      </c>
      <c r="AS405" s="6" t="str">
        <f>HYPERLINK("https://creighton-primo.hosted.exlibrisgroup.com/primo-explore/search?tab=default_tab&amp;search_scope=EVERYTHING&amp;vid=01CRU&amp;lang=en_US&amp;offset=0&amp;query=any,contains,991001082059702656","Catalog Record")</f>
        <v>Catalog Record</v>
      </c>
      <c r="AT405" s="6" t="str">
        <f>HYPERLINK("http://www.worldcat.org/oclc/16089387","WorldCat Record")</f>
        <v>WorldCat Record</v>
      </c>
      <c r="AU405" s="3" t="s">
        <v>5213</v>
      </c>
      <c r="AV405" s="3" t="s">
        <v>5214</v>
      </c>
      <c r="AW405" s="3" t="s">
        <v>5215</v>
      </c>
      <c r="AX405" s="3" t="s">
        <v>5215</v>
      </c>
      <c r="AY405" s="3" t="s">
        <v>5216</v>
      </c>
      <c r="AZ405" s="3" t="s">
        <v>75</v>
      </c>
      <c r="BB405" s="3" t="s">
        <v>5217</v>
      </c>
      <c r="BC405" s="3" t="s">
        <v>5218</v>
      </c>
      <c r="BD405" s="3" t="s">
        <v>5219</v>
      </c>
    </row>
    <row r="406" spans="1:56" ht="48" customHeight="1" x14ac:dyDescent="0.25">
      <c r="A406" s="7" t="s">
        <v>59</v>
      </c>
      <c r="B406" s="2" t="s">
        <v>5220</v>
      </c>
      <c r="C406" s="2" t="s">
        <v>5221</v>
      </c>
      <c r="D406" s="2" t="s">
        <v>5222</v>
      </c>
      <c r="F406" s="3" t="s">
        <v>59</v>
      </c>
      <c r="G406" s="3" t="s">
        <v>60</v>
      </c>
      <c r="H406" s="3" t="s">
        <v>59</v>
      </c>
      <c r="I406" s="3" t="s">
        <v>59</v>
      </c>
      <c r="J406" s="3" t="s">
        <v>61</v>
      </c>
      <c r="K406" s="2" t="s">
        <v>5223</v>
      </c>
      <c r="L406" s="2" t="s">
        <v>5224</v>
      </c>
      <c r="M406" s="3" t="s">
        <v>319</v>
      </c>
      <c r="O406" s="3" t="s">
        <v>64</v>
      </c>
      <c r="P406" s="3" t="s">
        <v>130</v>
      </c>
      <c r="Q406" s="2" t="s">
        <v>5225</v>
      </c>
      <c r="R406" s="3" t="s">
        <v>67</v>
      </c>
      <c r="S406" s="4">
        <v>5</v>
      </c>
      <c r="T406" s="4">
        <v>5</v>
      </c>
      <c r="U406" s="5" t="s">
        <v>293</v>
      </c>
      <c r="V406" s="5" t="s">
        <v>293</v>
      </c>
      <c r="W406" s="5" t="s">
        <v>4108</v>
      </c>
      <c r="X406" s="5" t="s">
        <v>4108</v>
      </c>
      <c r="Y406" s="4">
        <v>361</v>
      </c>
      <c r="Z406" s="4">
        <v>318</v>
      </c>
      <c r="AA406" s="4">
        <v>1256</v>
      </c>
      <c r="AB406" s="4">
        <v>3</v>
      </c>
      <c r="AC406" s="4">
        <v>9</v>
      </c>
      <c r="AD406" s="4">
        <v>2</v>
      </c>
      <c r="AE406" s="4">
        <v>19</v>
      </c>
      <c r="AF406" s="4">
        <v>2</v>
      </c>
      <c r="AG406" s="4">
        <v>8</v>
      </c>
      <c r="AH406" s="4">
        <v>0</v>
      </c>
      <c r="AI406" s="4">
        <v>2</v>
      </c>
      <c r="AJ406" s="4">
        <v>1</v>
      </c>
      <c r="AK406" s="4">
        <v>12</v>
      </c>
      <c r="AL406" s="4">
        <v>0</v>
      </c>
      <c r="AM406" s="4">
        <v>2</v>
      </c>
      <c r="AN406" s="4">
        <v>0</v>
      </c>
      <c r="AO406" s="4">
        <v>0</v>
      </c>
      <c r="AP406" s="3" t="s">
        <v>59</v>
      </c>
      <c r="AQ406" s="3" t="s">
        <v>59</v>
      </c>
      <c r="AS406" s="6" t="str">
        <f>HYPERLINK("https://creighton-primo.hosted.exlibrisgroup.com/primo-explore/search?tab=default_tab&amp;search_scope=EVERYTHING&amp;vid=01CRU&amp;lang=en_US&amp;offset=0&amp;query=any,contains,991000557519702656","Catalog Record")</f>
        <v>Catalog Record</v>
      </c>
      <c r="AT406" s="6" t="str">
        <f>HYPERLINK("http://www.worldcat.org/oclc/11572796","WorldCat Record")</f>
        <v>WorldCat Record</v>
      </c>
      <c r="AU406" s="3" t="s">
        <v>5226</v>
      </c>
      <c r="AV406" s="3" t="s">
        <v>5227</v>
      </c>
      <c r="AW406" s="3" t="s">
        <v>5228</v>
      </c>
      <c r="AX406" s="3" t="s">
        <v>5228</v>
      </c>
      <c r="AY406" s="3" t="s">
        <v>5229</v>
      </c>
      <c r="AZ406" s="3" t="s">
        <v>75</v>
      </c>
      <c r="BB406" s="3" t="s">
        <v>5230</v>
      </c>
      <c r="BC406" s="3" t="s">
        <v>5231</v>
      </c>
      <c r="BD406" s="3" t="s">
        <v>5232</v>
      </c>
    </row>
    <row r="407" spans="1:56" ht="48" customHeight="1" x14ac:dyDescent="0.25">
      <c r="A407" s="7" t="s">
        <v>59</v>
      </c>
      <c r="B407" s="2" t="s">
        <v>5233</v>
      </c>
      <c r="C407" s="2" t="s">
        <v>5234</v>
      </c>
      <c r="D407" s="2" t="s">
        <v>5235</v>
      </c>
      <c r="F407" s="3" t="s">
        <v>59</v>
      </c>
      <c r="G407" s="3" t="s">
        <v>60</v>
      </c>
      <c r="H407" s="3" t="s">
        <v>59</v>
      </c>
      <c r="I407" s="3" t="s">
        <v>59</v>
      </c>
      <c r="J407" s="3" t="s">
        <v>61</v>
      </c>
      <c r="K407" s="2" t="s">
        <v>5236</v>
      </c>
      <c r="L407" s="2" t="s">
        <v>5237</v>
      </c>
      <c r="M407" s="3" t="s">
        <v>2825</v>
      </c>
      <c r="O407" s="3" t="s">
        <v>64</v>
      </c>
      <c r="P407" s="3" t="s">
        <v>264</v>
      </c>
      <c r="R407" s="3" t="s">
        <v>67</v>
      </c>
      <c r="S407" s="4">
        <v>4</v>
      </c>
      <c r="T407" s="4">
        <v>4</v>
      </c>
      <c r="U407" s="5" t="s">
        <v>5238</v>
      </c>
      <c r="V407" s="5" t="s">
        <v>5238</v>
      </c>
      <c r="W407" s="5" t="s">
        <v>5239</v>
      </c>
      <c r="X407" s="5" t="s">
        <v>5239</v>
      </c>
      <c r="Y407" s="4">
        <v>896</v>
      </c>
      <c r="Z407" s="4">
        <v>767</v>
      </c>
      <c r="AA407" s="4">
        <v>840</v>
      </c>
      <c r="AB407" s="4">
        <v>6</v>
      </c>
      <c r="AC407" s="4">
        <v>7</v>
      </c>
      <c r="AD407" s="4">
        <v>34</v>
      </c>
      <c r="AE407" s="4">
        <v>37</v>
      </c>
      <c r="AF407" s="4">
        <v>13</v>
      </c>
      <c r="AG407" s="4">
        <v>14</v>
      </c>
      <c r="AH407" s="4">
        <v>7</v>
      </c>
      <c r="AI407" s="4">
        <v>9</v>
      </c>
      <c r="AJ407" s="4">
        <v>15</v>
      </c>
      <c r="AK407" s="4">
        <v>16</v>
      </c>
      <c r="AL407" s="4">
        <v>5</v>
      </c>
      <c r="AM407" s="4">
        <v>6</v>
      </c>
      <c r="AN407" s="4">
        <v>0</v>
      </c>
      <c r="AO407" s="4">
        <v>0</v>
      </c>
      <c r="AP407" s="3" t="s">
        <v>59</v>
      </c>
      <c r="AQ407" s="3" t="s">
        <v>59</v>
      </c>
      <c r="AS407" s="6" t="str">
        <f>HYPERLINK("https://creighton-primo.hosted.exlibrisgroup.com/primo-explore/search?tab=default_tab&amp;search_scope=EVERYTHING&amp;vid=01CRU&amp;lang=en_US&amp;offset=0&amp;query=any,contains,991005313129702656","Catalog Record")</f>
        <v>Catalog Record</v>
      </c>
      <c r="AT407" s="6" t="str">
        <f>HYPERLINK("http://www.worldcat.org/oclc/76416643","WorldCat Record")</f>
        <v>WorldCat Record</v>
      </c>
      <c r="AU407" s="3" t="s">
        <v>5240</v>
      </c>
      <c r="AV407" s="3" t="s">
        <v>5241</v>
      </c>
      <c r="AW407" s="3" t="s">
        <v>5242</v>
      </c>
      <c r="AX407" s="3" t="s">
        <v>5242</v>
      </c>
      <c r="AY407" s="3" t="s">
        <v>5243</v>
      </c>
      <c r="AZ407" s="3" t="s">
        <v>75</v>
      </c>
      <c r="BB407" s="3" t="s">
        <v>5244</v>
      </c>
      <c r="BC407" s="3" t="s">
        <v>5245</v>
      </c>
      <c r="BD407" s="3" t="s">
        <v>5246</v>
      </c>
    </row>
    <row r="408" spans="1:56" ht="48" customHeight="1" x14ac:dyDescent="0.25">
      <c r="A408" s="7" t="s">
        <v>59</v>
      </c>
      <c r="B408" s="2" t="s">
        <v>5247</v>
      </c>
      <c r="C408" s="2" t="s">
        <v>5248</v>
      </c>
      <c r="D408" s="2" t="s">
        <v>5249</v>
      </c>
      <c r="F408" s="3" t="s">
        <v>59</v>
      </c>
      <c r="G408" s="3" t="s">
        <v>60</v>
      </c>
      <c r="H408" s="3" t="s">
        <v>59</v>
      </c>
      <c r="I408" s="3" t="s">
        <v>59</v>
      </c>
      <c r="J408" s="3" t="s">
        <v>61</v>
      </c>
      <c r="K408" s="2" t="s">
        <v>5250</v>
      </c>
      <c r="L408" s="2" t="s">
        <v>5251</v>
      </c>
      <c r="M408" s="3" t="s">
        <v>485</v>
      </c>
      <c r="O408" s="3" t="s">
        <v>64</v>
      </c>
      <c r="P408" s="3" t="s">
        <v>912</v>
      </c>
      <c r="Q408" s="2" t="s">
        <v>5252</v>
      </c>
      <c r="R408" s="3" t="s">
        <v>67</v>
      </c>
      <c r="S408" s="4">
        <v>4</v>
      </c>
      <c r="T408" s="4">
        <v>4</v>
      </c>
      <c r="U408" s="5" t="s">
        <v>5199</v>
      </c>
      <c r="V408" s="5" t="s">
        <v>5199</v>
      </c>
      <c r="W408" s="5" t="s">
        <v>4108</v>
      </c>
      <c r="X408" s="5" t="s">
        <v>4108</v>
      </c>
      <c r="Y408" s="4">
        <v>590</v>
      </c>
      <c r="Z408" s="4">
        <v>492</v>
      </c>
      <c r="AA408" s="4">
        <v>499</v>
      </c>
      <c r="AB408" s="4">
        <v>2</v>
      </c>
      <c r="AC408" s="4">
        <v>2</v>
      </c>
      <c r="AD408" s="4">
        <v>21</v>
      </c>
      <c r="AE408" s="4">
        <v>21</v>
      </c>
      <c r="AF408" s="4">
        <v>10</v>
      </c>
      <c r="AG408" s="4">
        <v>10</v>
      </c>
      <c r="AH408" s="4">
        <v>3</v>
      </c>
      <c r="AI408" s="4">
        <v>3</v>
      </c>
      <c r="AJ408" s="4">
        <v>10</v>
      </c>
      <c r="AK408" s="4">
        <v>10</v>
      </c>
      <c r="AL408" s="4">
        <v>1</v>
      </c>
      <c r="AM408" s="4">
        <v>1</v>
      </c>
      <c r="AN408" s="4">
        <v>0</v>
      </c>
      <c r="AO408" s="4">
        <v>0</v>
      </c>
      <c r="AP408" s="3" t="s">
        <v>59</v>
      </c>
      <c r="AQ408" s="3" t="s">
        <v>70</v>
      </c>
      <c r="AR408" s="6" t="str">
        <f>HYPERLINK("http://catalog.hathitrust.org/Record/009495846","HathiTrust Record")</f>
        <v>HathiTrust Record</v>
      </c>
      <c r="AS408" s="6" t="str">
        <f>HYPERLINK("https://creighton-primo.hosted.exlibrisgroup.com/primo-explore/search?tab=default_tab&amp;search_scope=EVERYTHING&amp;vid=01CRU&amp;lang=en_US&amp;offset=0&amp;query=any,contains,991004666829702656","Catalog Record")</f>
        <v>Catalog Record</v>
      </c>
      <c r="AT408" s="6" t="str">
        <f>HYPERLINK("http://www.worldcat.org/oclc/4504488","WorldCat Record")</f>
        <v>WorldCat Record</v>
      </c>
      <c r="AU408" s="3" t="s">
        <v>5253</v>
      </c>
      <c r="AV408" s="3" t="s">
        <v>5254</v>
      </c>
      <c r="AW408" s="3" t="s">
        <v>5255</v>
      </c>
      <c r="AX408" s="3" t="s">
        <v>5255</v>
      </c>
      <c r="AY408" s="3" t="s">
        <v>5256</v>
      </c>
      <c r="AZ408" s="3" t="s">
        <v>75</v>
      </c>
      <c r="BB408" s="3" t="s">
        <v>5257</v>
      </c>
      <c r="BC408" s="3" t="s">
        <v>5258</v>
      </c>
      <c r="BD408" s="3" t="s">
        <v>5259</v>
      </c>
    </row>
    <row r="409" spans="1:56" ht="48" customHeight="1" x14ac:dyDescent="0.25">
      <c r="A409" s="7" t="s">
        <v>59</v>
      </c>
      <c r="B409" s="2" t="s">
        <v>5260</v>
      </c>
      <c r="C409" s="2" t="s">
        <v>5261</v>
      </c>
      <c r="D409" s="2" t="s">
        <v>5262</v>
      </c>
      <c r="F409" s="3" t="s">
        <v>59</v>
      </c>
      <c r="G409" s="3" t="s">
        <v>60</v>
      </c>
      <c r="H409" s="3" t="s">
        <v>59</v>
      </c>
      <c r="I409" s="3" t="s">
        <v>59</v>
      </c>
      <c r="J409" s="3" t="s">
        <v>61</v>
      </c>
      <c r="K409" s="2" t="s">
        <v>5263</v>
      </c>
      <c r="L409" s="2" t="s">
        <v>5264</v>
      </c>
      <c r="M409" s="3" t="s">
        <v>485</v>
      </c>
      <c r="O409" s="3" t="s">
        <v>64</v>
      </c>
      <c r="P409" s="3" t="s">
        <v>130</v>
      </c>
      <c r="R409" s="3" t="s">
        <v>67</v>
      </c>
      <c r="S409" s="4">
        <v>10</v>
      </c>
      <c r="T409" s="4">
        <v>10</v>
      </c>
      <c r="U409" s="5" t="s">
        <v>5059</v>
      </c>
      <c r="V409" s="5" t="s">
        <v>5059</v>
      </c>
      <c r="W409" s="5" t="s">
        <v>4108</v>
      </c>
      <c r="X409" s="5" t="s">
        <v>4108</v>
      </c>
      <c r="Y409" s="4">
        <v>217</v>
      </c>
      <c r="Z409" s="4">
        <v>147</v>
      </c>
      <c r="AA409" s="4">
        <v>152</v>
      </c>
      <c r="AB409" s="4">
        <v>2</v>
      </c>
      <c r="AC409" s="4">
        <v>2</v>
      </c>
      <c r="AD409" s="4">
        <v>10</v>
      </c>
      <c r="AE409" s="4">
        <v>10</v>
      </c>
      <c r="AF409" s="4">
        <v>2</v>
      </c>
      <c r="AG409" s="4">
        <v>2</v>
      </c>
      <c r="AH409" s="4">
        <v>2</v>
      </c>
      <c r="AI409" s="4">
        <v>2</v>
      </c>
      <c r="AJ409" s="4">
        <v>7</v>
      </c>
      <c r="AK409" s="4">
        <v>7</v>
      </c>
      <c r="AL409" s="4">
        <v>1</v>
      </c>
      <c r="AM409" s="4">
        <v>1</v>
      </c>
      <c r="AN409" s="4">
        <v>0</v>
      </c>
      <c r="AO409" s="4">
        <v>0</v>
      </c>
      <c r="AP409" s="3" t="s">
        <v>59</v>
      </c>
      <c r="AQ409" s="3" t="s">
        <v>59</v>
      </c>
      <c r="AS409" s="6" t="str">
        <f>HYPERLINK("https://creighton-primo.hosted.exlibrisgroup.com/primo-explore/search?tab=default_tab&amp;search_scope=EVERYTHING&amp;vid=01CRU&amp;lang=en_US&amp;offset=0&amp;query=any,contains,991004653509702656","Catalog Record")</f>
        <v>Catalog Record</v>
      </c>
      <c r="AT409" s="6" t="str">
        <f>HYPERLINK("http://www.worldcat.org/oclc/4494652","WorldCat Record")</f>
        <v>WorldCat Record</v>
      </c>
      <c r="AU409" s="3" t="s">
        <v>5265</v>
      </c>
      <c r="AV409" s="3" t="s">
        <v>5266</v>
      </c>
      <c r="AW409" s="3" t="s">
        <v>5267</v>
      </c>
      <c r="AX409" s="3" t="s">
        <v>5267</v>
      </c>
      <c r="AY409" s="3" t="s">
        <v>5268</v>
      </c>
      <c r="AZ409" s="3" t="s">
        <v>75</v>
      </c>
      <c r="BB409" s="3" t="s">
        <v>5269</v>
      </c>
      <c r="BC409" s="3" t="s">
        <v>5270</v>
      </c>
      <c r="BD409" s="3" t="s">
        <v>5271</v>
      </c>
    </row>
    <row r="410" spans="1:56" ht="48" customHeight="1" x14ac:dyDescent="0.25">
      <c r="A410" s="7" t="s">
        <v>59</v>
      </c>
      <c r="B410" s="2" t="s">
        <v>5272</v>
      </c>
      <c r="C410" s="2" t="s">
        <v>5273</v>
      </c>
      <c r="D410" s="2" t="s">
        <v>5274</v>
      </c>
      <c r="F410" s="3" t="s">
        <v>59</v>
      </c>
      <c r="G410" s="3" t="s">
        <v>60</v>
      </c>
      <c r="H410" s="3" t="s">
        <v>59</v>
      </c>
      <c r="I410" s="3" t="s">
        <v>59</v>
      </c>
      <c r="J410" s="3" t="s">
        <v>61</v>
      </c>
      <c r="L410" s="2" t="s">
        <v>5275</v>
      </c>
      <c r="M410" s="3" t="s">
        <v>333</v>
      </c>
      <c r="O410" s="3" t="s">
        <v>64</v>
      </c>
      <c r="P410" s="3" t="s">
        <v>130</v>
      </c>
      <c r="R410" s="3" t="s">
        <v>67</v>
      </c>
      <c r="S410" s="4">
        <v>1</v>
      </c>
      <c r="T410" s="4">
        <v>1</v>
      </c>
      <c r="U410" s="5" t="s">
        <v>5276</v>
      </c>
      <c r="V410" s="5" t="s">
        <v>5276</v>
      </c>
      <c r="W410" s="5" t="s">
        <v>4108</v>
      </c>
      <c r="X410" s="5" t="s">
        <v>4108</v>
      </c>
      <c r="Y410" s="4">
        <v>283</v>
      </c>
      <c r="Z410" s="4">
        <v>231</v>
      </c>
      <c r="AA410" s="4">
        <v>238</v>
      </c>
      <c r="AB410" s="4">
        <v>3</v>
      </c>
      <c r="AC410" s="4">
        <v>3</v>
      </c>
      <c r="AD410" s="4">
        <v>8</v>
      </c>
      <c r="AE410" s="4">
        <v>8</v>
      </c>
      <c r="AF410" s="4">
        <v>1</v>
      </c>
      <c r="AG410" s="4">
        <v>1</v>
      </c>
      <c r="AH410" s="4">
        <v>2</v>
      </c>
      <c r="AI410" s="4">
        <v>2</v>
      </c>
      <c r="AJ410" s="4">
        <v>5</v>
      </c>
      <c r="AK410" s="4">
        <v>5</v>
      </c>
      <c r="AL410" s="4">
        <v>2</v>
      </c>
      <c r="AM410" s="4">
        <v>2</v>
      </c>
      <c r="AN410" s="4">
        <v>0</v>
      </c>
      <c r="AO410" s="4">
        <v>0</v>
      </c>
      <c r="AP410" s="3" t="s">
        <v>59</v>
      </c>
      <c r="AQ410" s="3" t="s">
        <v>70</v>
      </c>
      <c r="AR410" s="6" t="str">
        <f>HYPERLINK("http://catalog.hathitrust.org/Record/000461465","HathiTrust Record")</f>
        <v>HathiTrust Record</v>
      </c>
      <c r="AS410" s="6" t="str">
        <f>HYPERLINK("https://creighton-primo.hosted.exlibrisgroup.com/primo-explore/search?tab=default_tab&amp;search_scope=EVERYTHING&amp;vid=01CRU&amp;lang=en_US&amp;offset=0&amp;query=any,contains,991000441869702656","Catalog Record")</f>
        <v>Catalog Record</v>
      </c>
      <c r="AT410" s="6" t="str">
        <f>HYPERLINK("http://www.worldcat.org/oclc/10825161","WorldCat Record")</f>
        <v>WorldCat Record</v>
      </c>
      <c r="AU410" s="3" t="s">
        <v>5277</v>
      </c>
      <c r="AV410" s="3" t="s">
        <v>5278</v>
      </c>
      <c r="AW410" s="3" t="s">
        <v>5279</v>
      </c>
      <c r="AX410" s="3" t="s">
        <v>5279</v>
      </c>
      <c r="AY410" s="3" t="s">
        <v>5280</v>
      </c>
      <c r="AZ410" s="3" t="s">
        <v>75</v>
      </c>
      <c r="BB410" s="3" t="s">
        <v>5281</v>
      </c>
      <c r="BC410" s="3" t="s">
        <v>5282</v>
      </c>
      <c r="BD410" s="3" t="s">
        <v>5283</v>
      </c>
    </row>
    <row r="411" spans="1:56" ht="48" customHeight="1" x14ac:dyDescent="0.25">
      <c r="A411" s="7" t="s">
        <v>59</v>
      </c>
      <c r="B411" s="2" t="s">
        <v>5284</v>
      </c>
      <c r="C411" s="2" t="s">
        <v>5285</v>
      </c>
      <c r="D411" s="2" t="s">
        <v>5286</v>
      </c>
      <c r="F411" s="3" t="s">
        <v>59</v>
      </c>
      <c r="G411" s="3" t="s">
        <v>60</v>
      </c>
      <c r="H411" s="3" t="s">
        <v>70</v>
      </c>
      <c r="I411" s="3" t="s">
        <v>59</v>
      </c>
      <c r="J411" s="3" t="s">
        <v>61</v>
      </c>
      <c r="K411" s="2" t="s">
        <v>5287</v>
      </c>
      <c r="L411" s="2" t="s">
        <v>5288</v>
      </c>
      <c r="M411" s="3" t="s">
        <v>63</v>
      </c>
      <c r="O411" s="3" t="s">
        <v>64</v>
      </c>
      <c r="P411" s="3" t="s">
        <v>264</v>
      </c>
      <c r="R411" s="3" t="s">
        <v>67</v>
      </c>
      <c r="S411" s="4">
        <v>2</v>
      </c>
      <c r="T411" s="4">
        <v>3</v>
      </c>
      <c r="U411" s="5" t="s">
        <v>5289</v>
      </c>
      <c r="V411" s="5" t="s">
        <v>5289</v>
      </c>
      <c r="W411" s="5" t="s">
        <v>4108</v>
      </c>
      <c r="X411" s="5" t="s">
        <v>4108</v>
      </c>
      <c r="Y411" s="4">
        <v>578</v>
      </c>
      <c r="Z411" s="4">
        <v>480</v>
      </c>
      <c r="AA411" s="4">
        <v>512</v>
      </c>
      <c r="AB411" s="4">
        <v>5</v>
      </c>
      <c r="AC411" s="4">
        <v>5</v>
      </c>
      <c r="AD411" s="4">
        <v>21</v>
      </c>
      <c r="AE411" s="4">
        <v>21</v>
      </c>
      <c r="AF411" s="4">
        <v>10</v>
      </c>
      <c r="AG411" s="4">
        <v>10</v>
      </c>
      <c r="AH411" s="4">
        <v>3</v>
      </c>
      <c r="AI411" s="4">
        <v>3</v>
      </c>
      <c r="AJ411" s="4">
        <v>13</v>
      </c>
      <c r="AK411" s="4">
        <v>13</v>
      </c>
      <c r="AL411" s="4">
        <v>3</v>
      </c>
      <c r="AM411" s="4">
        <v>3</v>
      </c>
      <c r="AN411" s="4">
        <v>0</v>
      </c>
      <c r="AO411" s="4">
        <v>0</v>
      </c>
      <c r="AP411" s="3" t="s">
        <v>59</v>
      </c>
      <c r="AQ411" s="3" t="s">
        <v>59</v>
      </c>
      <c r="AS411" s="6" t="str">
        <f>HYPERLINK("https://creighton-primo.hosted.exlibrisgroup.com/primo-explore/search?tab=default_tab&amp;search_scope=EVERYTHING&amp;vid=01CRU&amp;lang=en_US&amp;offset=0&amp;query=any,contains,991001790459702656","Catalog Record")</f>
        <v>Catalog Record</v>
      </c>
      <c r="AT411" s="6" t="str">
        <f>HYPERLINK("http://www.worldcat.org/oclc/2818876","WorldCat Record")</f>
        <v>WorldCat Record</v>
      </c>
      <c r="AU411" s="3" t="s">
        <v>5290</v>
      </c>
      <c r="AV411" s="3" t="s">
        <v>5291</v>
      </c>
      <c r="AW411" s="3" t="s">
        <v>5292</v>
      </c>
      <c r="AX411" s="3" t="s">
        <v>5292</v>
      </c>
      <c r="AY411" s="3" t="s">
        <v>5293</v>
      </c>
      <c r="AZ411" s="3" t="s">
        <v>75</v>
      </c>
      <c r="BB411" s="3" t="s">
        <v>5294</v>
      </c>
      <c r="BC411" s="3" t="s">
        <v>5295</v>
      </c>
      <c r="BD411" s="3" t="s">
        <v>5296</v>
      </c>
    </row>
    <row r="412" spans="1:56" ht="48" customHeight="1" x14ac:dyDescent="0.25">
      <c r="A412" s="7" t="s">
        <v>59</v>
      </c>
      <c r="B412" s="2" t="s">
        <v>5297</v>
      </c>
      <c r="C412" s="2" t="s">
        <v>5298</v>
      </c>
      <c r="D412" s="2" t="s">
        <v>5299</v>
      </c>
      <c r="F412" s="3" t="s">
        <v>59</v>
      </c>
      <c r="G412" s="3" t="s">
        <v>60</v>
      </c>
      <c r="H412" s="3" t="s">
        <v>59</v>
      </c>
      <c r="I412" s="3" t="s">
        <v>59</v>
      </c>
      <c r="J412" s="3" t="s">
        <v>61</v>
      </c>
      <c r="K412" s="2" t="s">
        <v>5300</v>
      </c>
      <c r="L412" s="2" t="s">
        <v>5301</v>
      </c>
      <c r="M412" s="3" t="s">
        <v>1831</v>
      </c>
      <c r="O412" s="3" t="s">
        <v>64</v>
      </c>
      <c r="P412" s="3" t="s">
        <v>130</v>
      </c>
      <c r="R412" s="3" t="s">
        <v>67</v>
      </c>
      <c r="S412" s="4">
        <v>3</v>
      </c>
      <c r="T412" s="4">
        <v>3</v>
      </c>
      <c r="U412" s="5" t="s">
        <v>2225</v>
      </c>
      <c r="V412" s="5" t="s">
        <v>2225</v>
      </c>
      <c r="W412" s="5" t="s">
        <v>5302</v>
      </c>
      <c r="X412" s="5" t="s">
        <v>5302</v>
      </c>
      <c r="Y412" s="4">
        <v>575</v>
      </c>
      <c r="Z412" s="4">
        <v>500</v>
      </c>
      <c r="AA412" s="4">
        <v>507</v>
      </c>
      <c r="AB412" s="4">
        <v>5</v>
      </c>
      <c r="AC412" s="4">
        <v>5</v>
      </c>
      <c r="AD412" s="4">
        <v>18</v>
      </c>
      <c r="AE412" s="4">
        <v>18</v>
      </c>
      <c r="AF412" s="4">
        <v>5</v>
      </c>
      <c r="AG412" s="4">
        <v>5</v>
      </c>
      <c r="AH412" s="4">
        <v>4</v>
      </c>
      <c r="AI412" s="4">
        <v>4</v>
      </c>
      <c r="AJ412" s="4">
        <v>8</v>
      </c>
      <c r="AK412" s="4">
        <v>8</v>
      </c>
      <c r="AL412" s="4">
        <v>4</v>
      </c>
      <c r="AM412" s="4">
        <v>4</v>
      </c>
      <c r="AN412" s="4">
        <v>0</v>
      </c>
      <c r="AO412" s="4">
        <v>0</v>
      </c>
      <c r="AP412" s="3" t="s">
        <v>59</v>
      </c>
      <c r="AQ412" s="3" t="s">
        <v>70</v>
      </c>
      <c r="AR412" s="6" t="str">
        <f>HYPERLINK("http://catalog.hathitrust.org/Record/000028760","HathiTrust Record")</f>
        <v>HathiTrust Record</v>
      </c>
      <c r="AS412" s="6" t="str">
        <f>HYPERLINK("https://creighton-primo.hosted.exlibrisgroup.com/primo-explore/search?tab=default_tab&amp;search_scope=EVERYTHING&amp;vid=01CRU&amp;lang=en_US&amp;offset=0&amp;query=any,contains,991003662009702656","Catalog Record")</f>
        <v>Catalog Record</v>
      </c>
      <c r="AT412" s="6" t="str">
        <f>HYPERLINK("http://www.worldcat.org/oclc/1272617","WorldCat Record")</f>
        <v>WorldCat Record</v>
      </c>
      <c r="AU412" s="3" t="s">
        <v>5303</v>
      </c>
      <c r="AV412" s="3" t="s">
        <v>5304</v>
      </c>
      <c r="AW412" s="3" t="s">
        <v>5305</v>
      </c>
      <c r="AX412" s="3" t="s">
        <v>5305</v>
      </c>
      <c r="AY412" s="3" t="s">
        <v>5306</v>
      </c>
      <c r="AZ412" s="3" t="s">
        <v>75</v>
      </c>
      <c r="BB412" s="3" t="s">
        <v>5307</v>
      </c>
      <c r="BC412" s="3" t="s">
        <v>5308</v>
      </c>
      <c r="BD412" s="3" t="s">
        <v>5309</v>
      </c>
    </row>
    <row r="413" spans="1:56" ht="48" customHeight="1" x14ac:dyDescent="0.25">
      <c r="A413" s="7" t="s">
        <v>59</v>
      </c>
      <c r="B413" s="2" t="s">
        <v>5310</v>
      </c>
      <c r="C413" s="2" t="s">
        <v>5311</v>
      </c>
      <c r="D413" s="2" t="s">
        <v>5312</v>
      </c>
      <c r="F413" s="3" t="s">
        <v>59</v>
      </c>
      <c r="G413" s="3" t="s">
        <v>60</v>
      </c>
      <c r="H413" s="3" t="s">
        <v>59</v>
      </c>
      <c r="I413" s="3" t="s">
        <v>59</v>
      </c>
      <c r="J413" s="3" t="s">
        <v>61</v>
      </c>
      <c r="K413" s="2" t="s">
        <v>5313</v>
      </c>
      <c r="L413" s="2" t="s">
        <v>5314</v>
      </c>
      <c r="M413" s="3" t="s">
        <v>219</v>
      </c>
      <c r="N413" s="2" t="s">
        <v>731</v>
      </c>
      <c r="O413" s="3" t="s">
        <v>64</v>
      </c>
      <c r="P413" s="3" t="s">
        <v>264</v>
      </c>
      <c r="R413" s="3" t="s">
        <v>67</v>
      </c>
      <c r="S413" s="4">
        <v>4</v>
      </c>
      <c r="T413" s="4">
        <v>4</v>
      </c>
      <c r="U413" s="5" t="s">
        <v>5315</v>
      </c>
      <c r="V413" s="5" t="s">
        <v>5315</v>
      </c>
      <c r="W413" s="5" t="s">
        <v>5316</v>
      </c>
      <c r="X413" s="5" t="s">
        <v>5316</v>
      </c>
      <c r="Y413" s="4">
        <v>364</v>
      </c>
      <c r="Z413" s="4">
        <v>328</v>
      </c>
      <c r="AA413" s="4">
        <v>334</v>
      </c>
      <c r="AB413" s="4">
        <v>1</v>
      </c>
      <c r="AC413" s="4">
        <v>1</v>
      </c>
      <c r="AD413" s="4">
        <v>12</v>
      </c>
      <c r="AE413" s="4">
        <v>12</v>
      </c>
      <c r="AF413" s="4">
        <v>3</v>
      </c>
      <c r="AG413" s="4">
        <v>3</v>
      </c>
      <c r="AH413" s="4">
        <v>5</v>
      </c>
      <c r="AI413" s="4">
        <v>5</v>
      </c>
      <c r="AJ413" s="4">
        <v>8</v>
      </c>
      <c r="AK413" s="4">
        <v>8</v>
      </c>
      <c r="AL413" s="4">
        <v>0</v>
      </c>
      <c r="AM413" s="4">
        <v>0</v>
      </c>
      <c r="AN413" s="4">
        <v>0</v>
      </c>
      <c r="AO413" s="4">
        <v>0</v>
      </c>
      <c r="AP413" s="3" t="s">
        <v>59</v>
      </c>
      <c r="AQ413" s="3" t="s">
        <v>59</v>
      </c>
      <c r="AS413" s="6" t="str">
        <f>HYPERLINK("https://creighton-primo.hosted.exlibrisgroup.com/primo-explore/search?tab=default_tab&amp;search_scope=EVERYTHING&amp;vid=01CRU&amp;lang=en_US&amp;offset=0&amp;query=any,contains,991001509629702656","Catalog Record")</f>
        <v>Catalog Record</v>
      </c>
      <c r="AT413" s="6" t="str">
        <f>HYPERLINK("http://www.worldcat.org/oclc/19885435","WorldCat Record")</f>
        <v>WorldCat Record</v>
      </c>
      <c r="AU413" s="3" t="s">
        <v>5317</v>
      </c>
      <c r="AV413" s="3" t="s">
        <v>5318</v>
      </c>
      <c r="AW413" s="3" t="s">
        <v>5319</v>
      </c>
      <c r="AX413" s="3" t="s">
        <v>5319</v>
      </c>
      <c r="AY413" s="3" t="s">
        <v>5320</v>
      </c>
      <c r="AZ413" s="3" t="s">
        <v>75</v>
      </c>
      <c r="BB413" s="3" t="s">
        <v>5321</v>
      </c>
      <c r="BC413" s="3" t="s">
        <v>5322</v>
      </c>
      <c r="BD413" s="3" t="s">
        <v>5323</v>
      </c>
    </row>
    <row r="414" spans="1:56" ht="48" customHeight="1" x14ac:dyDescent="0.25">
      <c r="A414" s="7" t="s">
        <v>59</v>
      </c>
      <c r="B414" s="2" t="s">
        <v>5324</v>
      </c>
      <c r="C414" s="2" t="s">
        <v>5325</v>
      </c>
      <c r="D414" s="2" t="s">
        <v>5326</v>
      </c>
      <c r="F414" s="3" t="s">
        <v>59</v>
      </c>
      <c r="G414" s="3" t="s">
        <v>60</v>
      </c>
      <c r="H414" s="3" t="s">
        <v>59</v>
      </c>
      <c r="I414" s="3" t="s">
        <v>59</v>
      </c>
      <c r="J414" s="3" t="s">
        <v>61</v>
      </c>
      <c r="K414" s="2" t="s">
        <v>5327</v>
      </c>
      <c r="L414" s="2" t="s">
        <v>5328</v>
      </c>
      <c r="M414" s="3" t="s">
        <v>248</v>
      </c>
      <c r="N414" s="2" t="s">
        <v>731</v>
      </c>
      <c r="O414" s="3" t="s">
        <v>64</v>
      </c>
      <c r="P414" s="3" t="s">
        <v>130</v>
      </c>
      <c r="R414" s="3" t="s">
        <v>67</v>
      </c>
      <c r="S414" s="4">
        <v>2</v>
      </c>
      <c r="T414" s="4">
        <v>2</v>
      </c>
      <c r="U414" s="5" t="s">
        <v>5329</v>
      </c>
      <c r="V414" s="5" t="s">
        <v>5329</v>
      </c>
      <c r="W414" s="5" t="s">
        <v>3606</v>
      </c>
      <c r="X414" s="5" t="s">
        <v>3606</v>
      </c>
      <c r="Y414" s="4">
        <v>762</v>
      </c>
      <c r="Z414" s="4">
        <v>701</v>
      </c>
      <c r="AA414" s="4">
        <v>707</v>
      </c>
      <c r="AB414" s="4">
        <v>7</v>
      </c>
      <c r="AC414" s="4">
        <v>7</v>
      </c>
      <c r="AD414" s="4">
        <v>22</v>
      </c>
      <c r="AE414" s="4">
        <v>22</v>
      </c>
      <c r="AF414" s="4">
        <v>6</v>
      </c>
      <c r="AG414" s="4">
        <v>6</v>
      </c>
      <c r="AH414" s="4">
        <v>4</v>
      </c>
      <c r="AI414" s="4">
        <v>4</v>
      </c>
      <c r="AJ414" s="4">
        <v>11</v>
      </c>
      <c r="AK414" s="4">
        <v>11</v>
      </c>
      <c r="AL414" s="4">
        <v>4</v>
      </c>
      <c r="AM414" s="4">
        <v>4</v>
      </c>
      <c r="AN414" s="4">
        <v>0</v>
      </c>
      <c r="AO414" s="4">
        <v>0</v>
      </c>
      <c r="AP414" s="3" t="s">
        <v>59</v>
      </c>
      <c r="AQ414" s="3" t="s">
        <v>70</v>
      </c>
      <c r="AR414" s="6" t="str">
        <f>HYPERLINK("http://catalog.hathitrust.org/Record/000265751","HathiTrust Record")</f>
        <v>HathiTrust Record</v>
      </c>
      <c r="AS414" s="6" t="str">
        <f>HYPERLINK("https://creighton-primo.hosted.exlibrisgroup.com/primo-explore/search?tab=default_tab&amp;search_scope=EVERYTHING&amp;vid=01CRU&amp;lang=en_US&amp;offset=0&amp;query=any,contains,991005085709702656","Catalog Record")</f>
        <v>Catalog Record</v>
      </c>
      <c r="AT414" s="6" t="str">
        <f>HYPERLINK("http://www.worldcat.org/oclc/7196474","WorldCat Record")</f>
        <v>WorldCat Record</v>
      </c>
      <c r="AU414" s="3" t="s">
        <v>5330</v>
      </c>
      <c r="AV414" s="3" t="s">
        <v>5331</v>
      </c>
      <c r="AW414" s="3" t="s">
        <v>5332</v>
      </c>
      <c r="AX414" s="3" t="s">
        <v>5332</v>
      </c>
      <c r="AY414" s="3" t="s">
        <v>5333</v>
      </c>
      <c r="AZ414" s="3" t="s">
        <v>75</v>
      </c>
      <c r="BB414" s="3" t="s">
        <v>5334</v>
      </c>
      <c r="BC414" s="3" t="s">
        <v>5335</v>
      </c>
      <c r="BD414" s="3" t="s">
        <v>5336</v>
      </c>
    </row>
    <row r="415" spans="1:56" ht="48" customHeight="1" x14ac:dyDescent="0.25">
      <c r="A415" s="7" t="s">
        <v>59</v>
      </c>
      <c r="B415" s="2" t="s">
        <v>5337</v>
      </c>
      <c r="C415" s="2" t="s">
        <v>5338</v>
      </c>
      <c r="D415" s="2" t="s">
        <v>5339</v>
      </c>
      <c r="F415" s="3" t="s">
        <v>59</v>
      </c>
      <c r="G415" s="3" t="s">
        <v>60</v>
      </c>
      <c r="H415" s="3" t="s">
        <v>59</v>
      </c>
      <c r="I415" s="3" t="s">
        <v>59</v>
      </c>
      <c r="J415" s="3" t="s">
        <v>61</v>
      </c>
      <c r="L415" s="2" t="s">
        <v>5340</v>
      </c>
      <c r="M415" s="3" t="s">
        <v>63</v>
      </c>
      <c r="O415" s="3" t="s">
        <v>64</v>
      </c>
      <c r="P415" s="3" t="s">
        <v>912</v>
      </c>
      <c r="Q415" s="2" t="s">
        <v>5252</v>
      </c>
      <c r="R415" s="3" t="s">
        <v>67</v>
      </c>
      <c r="S415" s="4">
        <v>4</v>
      </c>
      <c r="T415" s="4">
        <v>4</v>
      </c>
      <c r="U415" s="5" t="s">
        <v>5329</v>
      </c>
      <c r="V415" s="5" t="s">
        <v>5329</v>
      </c>
      <c r="W415" s="5" t="s">
        <v>5341</v>
      </c>
      <c r="X415" s="5" t="s">
        <v>5341</v>
      </c>
      <c r="Y415" s="4">
        <v>544</v>
      </c>
      <c r="Z415" s="4">
        <v>443</v>
      </c>
      <c r="AA415" s="4">
        <v>451</v>
      </c>
      <c r="AB415" s="4">
        <v>5</v>
      </c>
      <c r="AC415" s="4">
        <v>5</v>
      </c>
      <c r="AD415" s="4">
        <v>16</v>
      </c>
      <c r="AE415" s="4">
        <v>16</v>
      </c>
      <c r="AF415" s="4">
        <v>6</v>
      </c>
      <c r="AG415" s="4">
        <v>6</v>
      </c>
      <c r="AH415" s="4">
        <v>1</v>
      </c>
      <c r="AI415" s="4">
        <v>1</v>
      </c>
      <c r="AJ415" s="4">
        <v>9</v>
      </c>
      <c r="AK415" s="4">
        <v>9</v>
      </c>
      <c r="AL415" s="4">
        <v>4</v>
      </c>
      <c r="AM415" s="4">
        <v>4</v>
      </c>
      <c r="AN415" s="4">
        <v>0</v>
      </c>
      <c r="AO415" s="4">
        <v>0</v>
      </c>
      <c r="AP415" s="3" t="s">
        <v>59</v>
      </c>
      <c r="AQ415" s="3" t="s">
        <v>70</v>
      </c>
      <c r="AR415" s="6" t="str">
        <f>HYPERLINK("http://catalog.hathitrust.org/Record/000213909","HathiTrust Record")</f>
        <v>HathiTrust Record</v>
      </c>
      <c r="AS415" s="6" t="str">
        <f>HYPERLINK("https://creighton-primo.hosted.exlibrisgroup.com/primo-explore/search?tab=default_tab&amp;search_scope=EVERYTHING&amp;vid=01CRU&amp;lang=en_US&amp;offset=0&amp;query=any,contains,991004298199702656","Catalog Record")</f>
        <v>Catalog Record</v>
      </c>
      <c r="AT415" s="6" t="str">
        <f>HYPERLINK("http://www.worldcat.org/oclc/2966610","WorldCat Record")</f>
        <v>WorldCat Record</v>
      </c>
      <c r="AU415" s="3" t="s">
        <v>5342</v>
      </c>
      <c r="AV415" s="3" t="s">
        <v>5343</v>
      </c>
      <c r="AW415" s="3" t="s">
        <v>5344</v>
      </c>
      <c r="AX415" s="3" t="s">
        <v>5344</v>
      </c>
      <c r="AY415" s="3" t="s">
        <v>5345</v>
      </c>
      <c r="AZ415" s="3" t="s">
        <v>75</v>
      </c>
      <c r="BB415" s="3" t="s">
        <v>5346</v>
      </c>
      <c r="BC415" s="3" t="s">
        <v>5347</v>
      </c>
      <c r="BD415" s="3" t="s">
        <v>5348</v>
      </c>
    </row>
    <row r="416" spans="1:56" ht="48" customHeight="1" x14ac:dyDescent="0.25">
      <c r="A416" s="7" t="s">
        <v>59</v>
      </c>
      <c r="B416" s="2" t="s">
        <v>5349</v>
      </c>
      <c r="C416" s="2" t="s">
        <v>5350</v>
      </c>
      <c r="D416" s="2" t="s">
        <v>5351</v>
      </c>
      <c r="F416" s="3" t="s">
        <v>59</v>
      </c>
      <c r="G416" s="3" t="s">
        <v>60</v>
      </c>
      <c r="H416" s="3" t="s">
        <v>70</v>
      </c>
      <c r="I416" s="3" t="s">
        <v>59</v>
      </c>
      <c r="J416" s="3" t="s">
        <v>61</v>
      </c>
      <c r="K416" s="2" t="s">
        <v>5352</v>
      </c>
      <c r="L416" s="2" t="s">
        <v>5353</v>
      </c>
      <c r="M416" s="3" t="s">
        <v>248</v>
      </c>
      <c r="O416" s="3" t="s">
        <v>64</v>
      </c>
      <c r="P416" s="3" t="s">
        <v>674</v>
      </c>
      <c r="R416" s="3" t="s">
        <v>67</v>
      </c>
      <c r="S416" s="4">
        <v>2</v>
      </c>
      <c r="T416" s="4">
        <v>7</v>
      </c>
      <c r="U416" s="5" t="s">
        <v>5354</v>
      </c>
      <c r="V416" s="5" t="s">
        <v>5354</v>
      </c>
      <c r="W416" s="5" t="s">
        <v>4108</v>
      </c>
      <c r="X416" s="5" t="s">
        <v>4108</v>
      </c>
      <c r="Y416" s="4">
        <v>273</v>
      </c>
      <c r="Z416" s="4">
        <v>231</v>
      </c>
      <c r="AA416" s="4">
        <v>237</v>
      </c>
      <c r="AB416" s="4">
        <v>2</v>
      </c>
      <c r="AC416" s="4">
        <v>2</v>
      </c>
      <c r="AD416" s="4">
        <v>7</v>
      </c>
      <c r="AE416" s="4">
        <v>7</v>
      </c>
      <c r="AF416" s="4">
        <v>4</v>
      </c>
      <c r="AG416" s="4">
        <v>4</v>
      </c>
      <c r="AH416" s="4">
        <v>0</v>
      </c>
      <c r="AI416" s="4">
        <v>0</v>
      </c>
      <c r="AJ416" s="4">
        <v>5</v>
      </c>
      <c r="AK416" s="4">
        <v>5</v>
      </c>
      <c r="AL416" s="4">
        <v>0</v>
      </c>
      <c r="AM416" s="4">
        <v>0</v>
      </c>
      <c r="AN416" s="4">
        <v>0</v>
      </c>
      <c r="AO416" s="4">
        <v>0</v>
      </c>
      <c r="AP416" s="3" t="s">
        <v>59</v>
      </c>
      <c r="AQ416" s="3" t="s">
        <v>70</v>
      </c>
      <c r="AR416" s="6" t="str">
        <f>HYPERLINK("http://catalog.hathitrust.org/Record/006257567","HathiTrust Record")</f>
        <v>HathiTrust Record</v>
      </c>
      <c r="AS416" s="6" t="str">
        <f>HYPERLINK("https://creighton-primo.hosted.exlibrisgroup.com/primo-explore/search?tab=default_tab&amp;search_scope=EVERYTHING&amp;vid=01CRU&amp;lang=en_US&amp;offset=0&amp;query=any,contains,991001791149702656","Catalog Record")</f>
        <v>Catalog Record</v>
      </c>
      <c r="AT416" s="6" t="str">
        <f>HYPERLINK("http://www.worldcat.org/oclc/6604016","WorldCat Record")</f>
        <v>WorldCat Record</v>
      </c>
      <c r="AU416" s="3" t="s">
        <v>5355</v>
      </c>
      <c r="AV416" s="3" t="s">
        <v>5356</v>
      </c>
      <c r="AW416" s="3" t="s">
        <v>5357</v>
      </c>
      <c r="AX416" s="3" t="s">
        <v>5357</v>
      </c>
      <c r="AY416" s="3" t="s">
        <v>5358</v>
      </c>
      <c r="AZ416" s="3" t="s">
        <v>75</v>
      </c>
      <c r="BB416" s="3" t="s">
        <v>5359</v>
      </c>
      <c r="BC416" s="3" t="s">
        <v>5360</v>
      </c>
      <c r="BD416" s="3" t="s">
        <v>5361</v>
      </c>
    </row>
    <row r="417" spans="1:56" ht="48" customHeight="1" x14ac:dyDescent="0.25">
      <c r="A417" s="7" t="s">
        <v>59</v>
      </c>
      <c r="B417" s="2" t="s">
        <v>5362</v>
      </c>
      <c r="C417" s="2" t="s">
        <v>5363</v>
      </c>
      <c r="D417" s="2" t="s">
        <v>5364</v>
      </c>
      <c r="F417" s="3" t="s">
        <v>59</v>
      </c>
      <c r="G417" s="3" t="s">
        <v>60</v>
      </c>
      <c r="H417" s="3" t="s">
        <v>59</v>
      </c>
      <c r="I417" s="3" t="s">
        <v>59</v>
      </c>
      <c r="J417" s="3" t="s">
        <v>61</v>
      </c>
      <c r="K417" s="2" t="s">
        <v>5365</v>
      </c>
      <c r="L417" s="2" t="s">
        <v>5366</v>
      </c>
      <c r="M417" s="3" t="s">
        <v>161</v>
      </c>
      <c r="O417" s="3" t="s">
        <v>64</v>
      </c>
      <c r="P417" s="3" t="s">
        <v>5367</v>
      </c>
      <c r="R417" s="3" t="s">
        <v>67</v>
      </c>
      <c r="S417" s="4">
        <v>1</v>
      </c>
      <c r="T417" s="4">
        <v>1</v>
      </c>
      <c r="U417" s="5" t="s">
        <v>5368</v>
      </c>
      <c r="V417" s="5" t="s">
        <v>5368</v>
      </c>
      <c r="W417" s="5" t="s">
        <v>4108</v>
      </c>
      <c r="X417" s="5" t="s">
        <v>4108</v>
      </c>
      <c r="Y417" s="4">
        <v>559</v>
      </c>
      <c r="Z417" s="4">
        <v>457</v>
      </c>
      <c r="AA417" s="4">
        <v>472</v>
      </c>
      <c r="AB417" s="4">
        <v>3</v>
      </c>
      <c r="AC417" s="4">
        <v>3</v>
      </c>
      <c r="AD417" s="4">
        <v>18</v>
      </c>
      <c r="AE417" s="4">
        <v>18</v>
      </c>
      <c r="AF417" s="4">
        <v>10</v>
      </c>
      <c r="AG417" s="4">
        <v>10</v>
      </c>
      <c r="AH417" s="4">
        <v>2</v>
      </c>
      <c r="AI417" s="4">
        <v>2</v>
      </c>
      <c r="AJ417" s="4">
        <v>9</v>
      </c>
      <c r="AK417" s="4">
        <v>9</v>
      </c>
      <c r="AL417" s="4">
        <v>2</v>
      </c>
      <c r="AM417" s="4">
        <v>2</v>
      </c>
      <c r="AN417" s="4">
        <v>0</v>
      </c>
      <c r="AO417" s="4">
        <v>0</v>
      </c>
      <c r="AP417" s="3" t="s">
        <v>59</v>
      </c>
      <c r="AQ417" s="3" t="s">
        <v>70</v>
      </c>
      <c r="AR417" s="6" t="str">
        <f>HYPERLINK("http://catalog.hathitrust.org/Record/000129073","HathiTrust Record")</f>
        <v>HathiTrust Record</v>
      </c>
      <c r="AS417" s="6" t="str">
        <f>HYPERLINK("https://creighton-primo.hosted.exlibrisgroup.com/primo-explore/search?tab=default_tab&amp;search_scope=EVERYTHING&amp;vid=01CRU&amp;lang=en_US&amp;offset=0&amp;query=any,contains,991004990129702656","Catalog Record")</f>
        <v>Catalog Record</v>
      </c>
      <c r="AT417" s="6" t="str">
        <f>HYPERLINK("http://www.worldcat.org/oclc/6486868","WorldCat Record")</f>
        <v>WorldCat Record</v>
      </c>
      <c r="AU417" s="3" t="s">
        <v>5369</v>
      </c>
      <c r="AV417" s="3" t="s">
        <v>5370</v>
      </c>
      <c r="AW417" s="3" t="s">
        <v>5371</v>
      </c>
      <c r="AX417" s="3" t="s">
        <v>5371</v>
      </c>
      <c r="AY417" s="3" t="s">
        <v>5372</v>
      </c>
      <c r="AZ417" s="3" t="s">
        <v>75</v>
      </c>
      <c r="BB417" s="3" t="s">
        <v>5373</v>
      </c>
      <c r="BC417" s="3" t="s">
        <v>5374</v>
      </c>
      <c r="BD417" s="3" t="s">
        <v>5375</v>
      </c>
    </row>
    <row r="418" spans="1:56" ht="48" customHeight="1" x14ac:dyDescent="0.25">
      <c r="A418" s="7" t="s">
        <v>59</v>
      </c>
      <c r="B418" s="2" t="s">
        <v>5376</v>
      </c>
      <c r="C418" s="2" t="s">
        <v>5377</v>
      </c>
      <c r="D418" s="2" t="s">
        <v>5378</v>
      </c>
      <c r="F418" s="3" t="s">
        <v>59</v>
      </c>
      <c r="G418" s="3" t="s">
        <v>60</v>
      </c>
      <c r="H418" s="3" t="s">
        <v>59</v>
      </c>
      <c r="I418" s="3" t="s">
        <v>59</v>
      </c>
      <c r="J418" s="3" t="s">
        <v>61</v>
      </c>
      <c r="K418" s="2" t="s">
        <v>5379</v>
      </c>
      <c r="L418" s="2" t="s">
        <v>5380</v>
      </c>
      <c r="M418" s="3" t="s">
        <v>145</v>
      </c>
      <c r="O418" s="3" t="s">
        <v>64</v>
      </c>
      <c r="P418" s="3" t="s">
        <v>130</v>
      </c>
      <c r="R418" s="3" t="s">
        <v>67</v>
      </c>
      <c r="S418" s="4">
        <v>7</v>
      </c>
      <c r="T418" s="4">
        <v>7</v>
      </c>
      <c r="U418" s="5" t="s">
        <v>5381</v>
      </c>
      <c r="V418" s="5" t="s">
        <v>5381</v>
      </c>
      <c r="W418" s="5" t="s">
        <v>4108</v>
      </c>
      <c r="X418" s="5" t="s">
        <v>4108</v>
      </c>
      <c r="Y418" s="4">
        <v>440</v>
      </c>
      <c r="Z418" s="4">
        <v>332</v>
      </c>
      <c r="AA418" s="4">
        <v>339</v>
      </c>
      <c r="AB418" s="4">
        <v>1</v>
      </c>
      <c r="AC418" s="4">
        <v>1</v>
      </c>
      <c r="AD418" s="4">
        <v>14</v>
      </c>
      <c r="AE418" s="4">
        <v>14</v>
      </c>
      <c r="AF418" s="4">
        <v>5</v>
      </c>
      <c r="AG418" s="4">
        <v>5</v>
      </c>
      <c r="AH418" s="4">
        <v>5</v>
      </c>
      <c r="AI418" s="4">
        <v>5</v>
      </c>
      <c r="AJ418" s="4">
        <v>9</v>
      </c>
      <c r="AK418" s="4">
        <v>9</v>
      </c>
      <c r="AL418" s="4">
        <v>0</v>
      </c>
      <c r="AM418" s="4">
        <v>0</v>
      </c>
      <c r="AN418" s="4">
        <v>0</v>
      </c>
      <c r="AO418" s="4">
        <v>0</v>
      </c>
      <c r="AP418" s="3" t="s">
        <v>59</v>
      </c>
      <c r="AQ418" s="3" t="s">
        <v>70</v>
      </c>
      <c r="AR418" s="6" t="str">
        <f>HYPERLINK("http://catalog.hathitrust.org/Record/000089606","HathiTrust Record")</f>
        <v>HathiTrust Record</v>
      </c>
      <c r="AS418" s="6" t="str">
        <f>HYPERLINK("https://creighton-primo.hosted.exlibrisgroup.com/primo-explore/search?tab=default_tab&amp;search_scope=EVERYTHING&amp;vid=01CRU&amp;lang=en_US&amp;offset=0&amp;query=any,contains,991004459919702656","Catalog Record")</f>
        <v>Catalog Record</v>
      </c>
      <c r="AT418" s="6" t="str">
        <f>HYPERLINK("http://www.worldcat.org/oclc/3542629","WorldCat Record")</f>
        <v>WorldCat Record</v>
      </c>
      <c r="AU418" s="3" t="s">
        <v>5382</v>
      </c>
      <c r="AV418" s="3" t="s">
        <v>5383</v>
      </c>
      <c r="AW418" s="3" t="s">
        <v>5384</v>
      </c>
      <c r="AX418" s="3" t="s">
        <v>5384</v>
      </c>
      <c r="AY418" s="3" t="s">
        <v>5385</v>
      </c>
      <c r="AZ418" s="3" t="s">
        <v>75</v>
      </c>
      <c r="BB418" s="3" t="s">
        <v>5386</v>
      </c>
      <c r="BC418" s="3" t="s">
        <v>5387</v>
      </c>
      <c r="BD418" s="3" t="s">
        <v>5388</v>
      </c>
    </row>
    <row r="419" spans="1:56" ht="48" customHeight="1" x14ac:dyDescent="0.25">
      <c r="A419" s="7" t="s">
        <v>59</v>
      </c>
      <c r="B419" s="2" t="s">
        <v>5389</v>
      </c>
      <c r="C419" s="2" t="s">
        <v>5390</v>
      </c>
      <c r="D419" s="2" t="s">
        <v>5391</v>
      </c>
      <c r="F419" s="3" t="s">
        <v>59</v>
      </c>
      <c r="G419" s="3" t="s">
        <v>60</v>
      </c>
      <c r="H419" s="3" t="s">
        <v>70</v>
      </c>
      <c r="I419" s="3" t="s">
        <v>70</v>
      </c>
      <c r="J419" s="3" t="s">
        <v>61</v>
      </c>
      <c r="K419" s="2" t="s">
        <v>5392</v>
      </c>
      <c r="L419" s="2" t="s">
        <v>1738</v>
      </c>
      <c r="M419" s="3" t="s">
        <v>145</v>
      </c>
      <c r="O419" s="3" t="s">
        <v>64</v>
      </c>
      <c r="P419" s="3" t="s">
        <v>130</v>
      </c>
      <c r="R419" s="3" t="s">
        <v>67</v>
      </c>
      <c r="S419" s="4">
        <v>3</v>
      </c>
      <c r="T419" s="4">
        <v>3</v>
      </c>
      <c r="U419" s="5" t="s">
        <v>5393</v>
      </c>
      <c r="V419" s="5" t="s">
        <v>5393</v>
      </c>
      <c r="W419" s="5" t="s">
        <v>4108</v>
      </c>
      <c r="X419" s="5" t="s">
        <v>4108</v>
      </c>
      <c r="Y419" s="4">
        <v>388</v>
      </c>
      <c r="Z419" s="4">
        <v>276</v>
      </c>
      <c r="AA419" s="4">
        <v>410</v>
      </c>
      <c r="AB419" s="4">
        <v>5</v>
      </c>
      <c r="AC419" s="4">
        <v>5</v>
      </c>
      <c r="AD419" s="4">
        <v>11</v>
      </c>
      <c r="AE419" s="4">
        <v>18</v>
      </c>
      <c r="AF419" s="4">
        <v>2</v>
      </c>
      <c r="AG419" s="4">
        <v>6</v>
      </c>
      <c r="AH419" s="4">
        <v>5</v>
      </c>
      <c r="AI419" s="4">
        <v>6</v>
      </c>
      <c r="AJ419" s="4">
        <v>5</v>
      </c>
      <c r="AK419" s="4">
        <v>8</v>
      </c>
      <c r="AL419" s="4">
        <v>2</v>
      </c>
      <c r="AM419" s="4">
        <v>2</v>
      </c>
      <c r="AN419" s="4">
        <v>0</v>
      </c>
      <c r="AO419" s="4">
        <v>0</v>
      </c>
      <c r="AP419" s="3" t="s">
        <v>59</v>
      </c>
      <c r="AQ419" s="3" t="s">
        <v>70</v>
      </c>
      <c r="AR419" s="6" t="str">
        <f>HYPERLINK("http://catalog.hathitrust.org/Record/000180262","HathiTrust Record")</f>
        <v>HathiTrust Record</v>
      </c>
      <c r="AS419" s="6" t="str">
        <f>HYPERLINK("https://creighton-primo.hosted.exlibrisgroup.com/primo-explore/search?tab=default_tab&amp;search_scope=EVERYTHING&amp;vid=01CRU&amp;lang=en_US&amp;offset=0&amp;query=any,contains,991001791189702656","Catalog Record")</f>
        <v>Catalog Record</v>
      </c>
      <c r="AT419" s="6" t="str">
        <f>HYPERLINK("http://www.worldcat.org/oclc/4135357","WorldCat Record")</f>
        <v>WorldCat Record</v>
      </c>
      <c r="AU419" s="3" t="s">
        <v>5394</v>
      </c>
      <c r="AV419" s="3" t="s">
        <v>5395</v>
      </c>
      <c r="AW419" s="3" t="s">
        <v>5396</v>
      </c>
      <c r="AX419" s="3" t="s">
        <v>5396</v>
      </c>
      <c r="AY419" s="3" t="s">
        <v>5397</v>
      </c>
      <c r="AZ419" s="3" t="s">
        <v>75</v>
      </c>
      <c r="BB419" s="3" t="s">
        <v>5398</v>
      </c>
      <c r="BC419" s="3" t="s">
        <v>5399</v>
      </c>
      <c r="BD419" s="3" t="s">
        <v>5400</v>
      </c>
    </row>
    <row r="420" spans="1:56" ht="48" customHeight="1" x14ac:dyDescent="0.25">
      <c r="A420" s="7" t="s">
        <v>59</v>
      </c>
      <c r="B420" s="2" t="s">
        <v>5401</v>
      </c>
      <c r="C420" s="2" t="s">
        <v>5402</v>
      </c>
      <c r="D420" s="2" t="s">
        <v>5403</v>
      </c>
      <c r="F420" s="3" t="s">
        <v>59</v>
      </c>
      <c r="G420" s="3" t="s">
        <v>60</v>
      </c>
      <c r="H420" s="3" t="s">
        <v>59</v>
      </c>
      <c r="I420" s="3" t="s">
        <v>59</v>
      </c>
      <c r="J420" s="3" t="s">
        <v>61</v>
      </c>
      <c r="K420" s="2" t="s">
        <v>5404</v>
      </c>
      <c r="L420" s="2" t="s">
        <v>5405</v>
      </c>
      <c r="M420" s="3" t="s">
        <v>519</v>
      </c>
      <c r="O420" s="3" t="s">
        <v>64</v>
      </c>
      <c r="P420" s="3" t="s">
        <v>130</v>
      </c>
      <c r="R420" s="3" t="s">
        <v>67</v>
      </c>
      <c r="S420" s="4">
        <v>1</v>
      </c>
      <c r="T420" s="4">
        <v>1</v>
      </c>
      <c r="U420" s="5" t="s">
        <v>5406</v>
      </c>
      <c r="V420" s="5" t="s">
        <v>5406</v>
      </c>
      <c r="W420" s="5" t="s">
        <v>5407</v>
      </c>
      <c r="X420" s="5" t="s">
        <v>5407</v>
      </c>
      <c r="Y420" s="4">
        <v>181</v>
      </c>
      <c r="Z420" s="4">
        <v>156</v>
      </c>
      <c r="AA420" s="4">
        <v>162</v>
      </c>
      <c r="AB420" s="4">
        <v>2</v>
      </c>
      <c r="AC420" s="4">
        <v>2</v>
      </c>
      <c r="AD420" s="4">
        <v>6</v>
      </c>
      <c r="AE420" s="4">
        <v>6</v>
      </c>
      <c r="AF420" s="4">
        <v>2</v>
      </c>
      <c r="AG420" s="4">
        <v>2</v>
      </c>
      <c r="AH420" s="4">
        <v>2</v>
      </c>
      <c r="AI420" s="4">
        <v>2</v>
      </c>
      <c r="AJ420" s="4">
        <v>3</v>
      </c>
      <c r="AK420" s="4">
        <v>3</v>
      </c>
      <c r="AL420" s="4">
        <v>1</v>
      </c>
      <c r="AM420" s="4">
        <v>1</v>
      </c>
      <c r="AN420" s="4">
        <v>0</v>
      </c>
      <c r="AO420" s="4">
        <v>0</v>
      </c>
      <c r="AP420" s="3" t="s">
        <v>59</v>
      </c>
      <c r="AQ420" s="3" t="s">
        <v>70</v>
      </c>
      <c r="AR420" s="6" t="str">
        <f>HYPERLINK("http://catalog.hathitrust.org/Record/002938807","HathiTrust Record")</f>
        <v>HathiTrust Record</v>
      </c>
      <c r="AS420" s="6" t="str">
        <f>HYPERLINK("https://creighton-primo.hosted.exlibrisgroup.com/primo-explore/search?tab=default_tab&amp;search_scope=EVERYTHING&amp;vid=01CRU&amp;lang=en_US&amp;offset=0&amp;query=any,contains,991002442229702656","Catalog Record")</f>
        <v>Catalog Record</v>
      </c>
      <c r="AT420" s="6" t="str">
        <f>HYPERLINK("http://www.worldcat.org/oclc/31864059","WorldCat Record")</f>
        <v>WorldCat Record</v>
      </c>
      <c r="AU420" s="3" t="s">
        <v>5408</v>
      </c>
      <c r="AV420" s="3" t="s">
        <v>5409</v>
      </c>
      <c r="AW420" s="3" t="s">
        <v>5410</v>
      </c>
      <c r="AX420" s="3" t="s">
        <v>5410</v>
      </c>
      <c r="AY420" s="3" t="s">
        <v>5411</v>
      </c>
      <c r="AZ420" s="3" t="s">
        <v>75</v>
      </c>
      <c r="BB420" s="3" t="s">
        <v>5412</v>
      </c>
      <c r="BC420" s="3" t="s">
        <v>5413</v>
      </c>
      <c r="BD420" s="3" t="s">
        <v>5414</v>
      </c>
    </row>
    <row r="421" spans="1:56" ht="48" customHeight="1" x14ac:dyDescent="0.25">
      <c r="A421" s="7" t="s">
        <v>59</v>
      </c>
      <c r="B421" s="2" t="s">
        <v>5415</v>
      </c>
      <c r="C421" s="2" t="s">
        <v>5416</v>
      </c>
      <c r="D421" s="2" t="s">
        <v>5417</v>
      </c>
      <c r="F421" s="3" t="s">
        <v>59</v>
      </c>
      <c r="G421" s="3" t="s">
        <v>60</v>
      </c>
      <c r="H421" s="3" t="s">
        <v>59</v>
      </c>
      <c r="I421" s="3" t="s">
        <v>59</v>
      </c>
      <c r="J421" s="3" t="s">
        <v>61</v>
      </c>
      <c r="K421" s="2" t="s">
        <v>5418</v>
      </c>
      <c r="L421" s="2" t="s">
        <v>5419</v>
      </c>
      <c r="M421" s="3" t="s">
        <v>485</v>
      </c>
      <c r="O421" s="3" t="s">
        <v>64</v>
      </c>
      <c r="P421" s="3" t="s">
        <v>674</v>
      </c>
      <c r="R421" s="3" t="s">
        <v>67</v>
      </c>
      <c r="S421" s="4">
        <v>9</v>
      </c>
      <c r="T421" s="4">
        <v>9</v>
      </c>
      <c r="U421" s="5" t="s">
        <v>860</v>
      </c>
      <c r="V421" s="5" t="s">
        <v>860</v>
      </c>
      <c r="W421" s="5" t="s">
        <v>4108</v>
      </c>
      <c r="X421" s="5" t="s">
        <v>4108</v>
      </c>
      <c r="Y421" s="4">
        <v>509</v>
      </c>
      <c r="Z421" s="4">
        <v>468</v>
      </c>
      <c r="AA421" s="4">
        <v>482</v>
      </c>
      <c r="AB421" s="4">
        <v>2</v>
      </c>
      <c r="AC421" s="4">
        <v>2</v>
      </c>
      <c r="AD421" s="4">
        <v>14</v>
      </c>
      <c r="AE421" s="4">
        <v>14</v>
      </c>
      <c r="AF421" s="4">
        <v>5</v>
      </c>
      <c r="AG421" s="4">
        <v>5</v>
      </c>
      <c r="AH421" s="4">
        <v>3</v>
      </c>
      <c r="AI421" s="4">
        <v>3</v>
      </c>
      <c r="AJ421" s="4">
        <v>7</v>
      </c>
      <c r="AK421" s="4">
        <v>7</v>
      </c>
      <c r="AL421" s="4">
        <v>1</v>
      </c>
      <c r="AM421" s="4">
        <v>1</v>
      </c>
      <c r="AN421" s="4">
        <v>0</v>
      </c>
      <c r="AO421" s="4">
        <v>0</v>
      </c>
      <c r="AP421" s="3" t="s">
        <v>59</v>
      </c>
      <c r="AQ421" s="3" t="s">
        <v>70</v>
      </c>
      <c r="AR421" s="6" t="str">
        <f>HYPERLINK("http://catalog.hathitrust.org/Record/000089668","HathiTrust Record")</f>
        <v>HathiTrust Record</v>
      </c>
      <c r="AS421" s="6" t="str">
        <f>HYPERLINK("https://creighton-primo.hosted.exlibrisgroup.com/primo-explore/search?tab=default_tab&amp;search_scope=EVERYTHING&amp;vid=01CRU&amp;lang=en_US&amp;offset=0&amp;query=any,contains,991004460499702656","Catalog Record")</f>
        <v>Catalog Record</v>
      </c>
      <c r="AT421" s="6" t="str">
        <f>HYPERLINK("http://www.worldcat.org/oclc/3543027","WorldCat Record")</f>
        <v>WorldCat Record</v>
      </c>
      <c r="AU421" s="3" t="s">
        <v>5420</v>
      </c>
      <c r="AV421" s="3" t="s">
        <v>5421</v>
      </c>
      <c r="AW421" s="3" t="s">
        <v>5422</v>
      </c>
      <c r="AX421" s="3" t="s">
        <v>5422</v>
      </c>
      <c r="AY421" s="3" t="s">
        <v>5423</v>
      </c>
      <c r="AZ421" s="3" t="s">
        <v>75</v>
      </c>
      <c r="BB421" s="3" t="s">
        <v>5424</v>
      </c>
      <c r="BC421" s="3" t="s">
        <v>5425</v>
      </c>
      <c r="BD421" s="3" t="s">
        <v>5426</v>
      </c>
    </row>
    <row r="422" spans="1:56" ht="48" customHeight="1" x14ac:dyDescent="0.25">
      <c r="A422" s="7" t="s">
        <v>59</v>
      </c>
      <c r="B422" s="2" t="s">
        <v>5427</v>
      </c>
      <c r="C422" s="2" t="s">
        <v>5428</v>
      </c>
      <c r="D422" s="2" t="s">
        <v>5429</v>
      </c>
      <c r="F422" s="3" t="s">
        <v>59</v>
      </c>
      <c r="G422" s="3" t="s">
        <v>60</v>
      </c>
      <c r="H422" s="3" t="s">
        <v>59</v>
      </c>
      <c r="I422" s="3" t="s">
        <v>59</v>
      </c>
      <c r="J422" s="3" t="s">
        <v>61</v>
      </c>
      <c r="L422" s="2" t="s">
        <v>5430</v>
      </c>
      <c r="M422" s="3" t="s">
        <v>234</v>
      </c>
      <c r="O422" s="3" t="s">
        <v>64</v>
      </c>
      <c r="P422" s="3" t="s">
        <v>84</v>
      </c>
      <c r="R422" s="3" t="s">
        <v>67</v>
      </c>
      <c r="S422" s="4">
        <v>4</v>
      </c>
      <c r="T422" s="4">
        <v>4</v>
      </c>
      <c r="U422" s="5" t="s">
        <v>5276</v>
      </c>
      <c r="V422" s="5" t="s">
        <v>5276</v>
      </c>
      <c r="W422" s="5" t="s">
        <v>221</v>
      </c>
      <c r="X422" s="5" t="s">
        <v>221</v>
      </c>
      <c r="Y422" s="4">
        <v>199</v>
      </c>
      <c r="Z422" s="4">
        <v>129</v>
      </c>
      <c r="AA422" s="4">
        <v>129</v>
      </c>
      <c r="AB422" s="4">
        <v>3</v>
      </c>
      <c r="AC422" s="4">
        <v>3</v>
      </c>
      <c r="AD422" s="4">
        <v>4</v>
      </c>
      <c r="AE422" s="4">
        <v>4</v>
      </c>
      <c r="AF422" s="4">
        <v>0</v>
      </c>
      <c r="AG422" s="4">
        <v>0</v>
      </c>
      <c r="AH422" s="4">
        <v>2</v>
      </c>
      <c r="AI422" s="4">
        <v>2</v>
      </c>
      <c r="AJ422" s="4">
        <v>2</v>
      </c>
      <c r="AK422" s="4">
        <v>2</v>
      </c>
      <c r="AL422" s="4">
        <v>2</v>
      </c>
      <c r="AM422" s="4">
        <v>2</v>
      </c>
      <c r="AN422" s="4">
        <v>0</v>
      </c>
      <c r="AO422" s="4">
        <v>0</v>
      </c>
      <c r="AP422" s="3" t="s">
        <v>59</v>
      </c>
      <c r="AQ422" s="3" t="s">
        <v>59</v>
      </c>
      <c r="AS422" s="6" t="str">
        <f>HYPERLINK("https://creighton-primo.hosted.exlibrisgroup.com/primo-explore/search?tab=default_tab&amp;search_scope=EVERYTHING&amp;vid=01CRU&amp;lang=en_US&amp;offset=0&amp;query=any,contains,991001580819702656","Catalog Record")</f>
        <v>Catalog Record</v>
      </c>
      <c r="AT422" s="6" t="str">
        <f>HYPERLINK("http://www.worldcat.org/oclc/20489684","WorldCat Record")</f>
        <v>WorldCat Record</v>
      </c>
      <c r="AU422" s="3" t="s">
        <v>5431</v>
      </c>
      <c r="AV422" s="3" t="s">
        <v>5432</v>
      </c>
      <c r="AW422" s="3" t="s">
        <v>5433</v>
      </c>
      <c r="AX422" s="3" t="s">
        <v>5433</v>
      </c>
      <c r="AY422" s="3" t="s">
        <v>5434</v>
      </c>
      <c r="AZ422" s="3" t="s">
        <v>75</v>
      </c>
      <c r="BB422" s="3" t="s">
        <v>5435</v>
      </c>
      <c r="BC422" s="3" t="s">
        <v>5436</v>
      </c>
      <c r="BD422" s="3" t="s">
        <v>5437</v>
      </c>
    </row>
    <row r="423" spans="1:56" ht="48" customHeight="1" x14ac:dyDescent="0.25">
      <c r="A423" s="7" t="s">
        <v>59</v>
      </c>
      <c r="B423" s="2" t="s">
        <v>5438</v>
      </c>
      <c r="C423" s="2" t="s">
        <v>5439</v>
      </c>
      <c r="D423" s="2" t="s">
        <v>5440</v>
      </c>
      <c r="F423" s="3" t="s">
        <v>59</v>
      </c>
      <c r="G423" s="3" t="s">
        <v>60</v>
      </c>
      <c r="H423" s="3" t="s">
        <v>59</v>
      </c>
      <c r="I423" s="3" t="s">
        <v>59</v>
      </c>
      <c r="J423" s="3" t="s">
        <v>61</v>
      </c>
      <c r="K423" s="2" t="s">
        <v>5441</v>
      </c>
      <c r="L423" s="2" t="s">
        <v>5442</v>
      </c>
      <c r="M423" s="3" t="s">
        <v>248</v>
      </c>
      <c r="O423" s="3" t="s">
        <v>64</v>
      </c>
      <c r="P423" s="3" t="s">
        <v>130</v>
      </c>
      <c r="R423" s="3" t="s">
        <v>67</v>
      </c>
      <c r="S423" s="4">
        <v>2</v>
      </c>
      <c r="T423" s="4">
        <v>2</v>
      </c>
      <c r="U423" s="5" t="s">
        <v>1946</v>
      </c>
      <c r="V423" s="5" t="s">
        <v>1946</v>
      </c>
      <c r="W423" s="5" t="s">
        <v>4108</v>
      </c>
      <c r="X423" s="5" t="s">
        <v>4108</v>
      </c>
      <c r="Y423" s="4">
        <v>308</v>
      </c>
      <c r="Z423" s="4">
        <v>239</v>
      </c>
      <c r="AA423" s="4">
        <v>383</v>
      </c>
      <c r="AB423" s="4">
        <v>2</v>
      </c>
      <c r="AC423" s="4">
        <v>2</v>
      </c>
      <c r="AD423" s="4">
        <v>5</v>
      </c>
      <c r="AE423" s="4">
        <v>14</v>
      </c>
      <c r="AF423" s="4">
        <v>4</v>
      </c>
      <c r="AG423" s="4">
        <v>5</v>
      </c>
      <c r="AH423" s="4">
        <v>0</v>
      </c>
      <c r="AI423" s="4">
        <v>6</v>
      </c>
      <c r="AJ423" s="4">
        <v>0</v>
      </c>
      <c r="AK423" s="4">
        <v>4</v>
      </c>
      <c r="AL423" s="4">
        <v>1</v>
      </c>
      <c r="AM423" s="4">
        <v>1</v>
      </c>
      <c r="AN423" s="4">
        <v>0</v>
      </c>
      <c r="AO423" s="4">
        <v>0</v>
      </c>
      <c r="AP423" s="3" t="s">
        <v>59</v>
      </c>
      <c r="AQ423" s="3" t="s">
        <v>70</v>
      </c>
      <c r="AR423" s="6" t="str">
        <f>HYPERLINK("http://catalog.hathitrust.org/Record/000492312","HathiTrust Record")</f>
        <v>HathiTrust Record</v>
      </c>
      <c r="AS423" s="6" t="str">
        <f>HYPERLINK("https://creighton-primo.hosted.exlibrisgroup.com/primo-explore/search?tab=default_tab&amp;search_scope=EVERYTHING&amp;vid=01CRU&amp;lang=en_US&amp;offset=0&amp;query=any,contains,991004991089702656","Catalog Record")</f>
        <v>Catalog Record</v>
      </c>
      <c r="AT423" s="6" t="str">
        <f>HYPERLINK("http://www.worldcat.org/oclc/6487345","WorldCat Record")</f>
        <v>WorldCat Record</v>
      </c>
      <c r="AU423" s="3" t="s">
        <v>5443</v>
      </c>
      <c r="AV423" s="3" t="s">
        <v>5444</v>
      </c>
      <c r="AW423" s="3" t="s">
        <v>5445</v>
      </c>
      <c r="AX423" s="3" t="s">
        <v>5445</v>
      </c>
      <c r="AY423" s="3" t="s">
        <v>5446</v>
      </c>
      <c r="AZ423" s="3" t="s">
        <v>75</v>
      </c>
      <c r="BB423" s="3" t="s">
        <v>5447</v>
      </c>
      <c r="BC423" s="3" t="s">
        <v>5448</v>
      </c>
      <c r="BD423" s="3" t="s">
        <v>5449</v>
      </c>
    </row>
    <row r="424" spans="1:56" ht="48" customHeight="1" x14ac:dyDescent="0.25">
      <c r="A424" s="7" t="s">
        <v>59</v>
      </c>
      <c r="B424" s="2" t="s">
        <v>5450</v>
      </c>
      <c r="C424" s="2" t="s">
        <v>5451</v>
      </c>
      <c r="D424" s="2" t="s">
        <v>5452</v>
      </c>
      <c r="E424" s="3" t="s">
        <v>1470</v>
      </c>
      <c r="F424" s="3" t="s">
        <v>59</v>
      </c>
      <c r="G424" s="3" t="s">
        <v>60</v>
      </c>
      <c r="H424" s="3" t="s">
        <v>59</v>
      </c>
      <c r="I424" s="3" t="s">
        <v>59</v>
      </c>
      <c r="J424" s="3" t="s">
        <v>61</v>
      </c>
      <c r="L424" s="2" t="s">
        <v>5453</v>
      </c>
      <c r="M424" s="3" t="s">
        <v>63</v>
      </c>
      <c r="O424" s="3" t="s">
        <v>64</v>
      </c>
      <c r="P424" s="3" t="s">
        <v>130</v>
      </c>
      <c r="R424" s="3" t="s">
        <v>67</v>
      </c>
      <c r="S424" s="4">
        <v>15</v>
      </c>
      <c r="T424" s="4">
        <v>15</v>
      </c>
      <c r="U424" s="5" t="s">
        <v>5454</v>
      </c>
      <c r="V424" s="5" t="s">
        <v>5454</v>
      </c>
      <c r="W424" s="5" t="s">
        <v>552</v>
      </c>
      <c r="X424" s="5" t="s">
        <v>552</v>
      </c>
      <c r="Y424" s="4">
        <v>203</v>
      </c>
      <c r="Z424" s="4">
        <v>178</v>
      </c>
      <c r="AA424" s="4">
        <v>180</v>
      </c>
      <c r="AB424" s="4">
        <v>2</v>
      </c>
      <c r="AC424" s="4">
        <v>2</v>
      </c>
      <c r="AD424" s="4">
        <v>2</v>
      </c>
      <c r="AE424" s="4">
        <v>2</v>
      </c>
      <c r="AF424" s="4">
        <v>0</v>
      </c>
      <c r="AG424" s="4">
        <v>0</v>
      </c>
      <c r="AH424" s="4">
        <v>0</v>
      </c>
      <c r="AI424" s="4">
        <v>0</v>
      </c>
      <c r="AJ424" s="4">
        <v>1</v>
      </c>
      <c r="AK424" s="4">
        <v>1</v>
      </c>
      <c r="AL424" s="4">
        <v>1</v>
      </c>
      <c r="AM424" s="4">
        <v>1</v>
      </c>
      <c r="AN424" s="4">
        <v>0</v>
      </c>
      <c r="AO424" s="4">
        <v>0</v>
      </c>
      <c r="AP424" s="3" t="s">
        <v>59</v>
      </c>
      <c r="AQ424" s="3" t="s">
        <v>59</v>
      </c>
      <c r="AS424" s="6" t="str">
        <f>HYPERLINK("https://creighton-primo.hosted.exlibrisgroup.com/primo-explore/search?tab=default_tab&amp;search_scope=EVERYTHING&amp;vid=01CRU&amp;lang=en_US&amp;offset=0&amp;query=any,contains,991004333589702656","Catalog Record")</f>
        <v>Catalog Record</v>
      </c>
      <c r="AT424" s="6" t="str">
        <f>HYPERLINK("http://www.worldcat.org/oclc/3263126","WorldCat Record")</f>
        <v>WorldCat Record</v>
      </c>
      <c r="AU424" s="3" t="s">
        <v>5455</v>
      </c>
      <c r="AV424" s="3" t="s">
        <v>5456</v>
      </c>
      <c r="AW424" s="3" t="s">
        <v>5457</v>
      </c>
      <c r="AX424" s="3" t="s">
        <v>5457</v>
      </c>
      <c r="AY424" s="3" t="s">
        <v>5458</v>
      </c>
      <c r="AZ424" s="3" t="s">
        <v>75</v>
      </c>
      <c r="BB424" s="3" t="s">
        <v>5459</v>
      </c>
      <c r="BC424" s="3" t="s">
        <v>5460</v>
      </c>
      <c r="BD424" s="3" t="s">
        <v>5461</v>
      </c>
    </row>
    <row r="425" spans="1:56" ht="48" customHeight="1" x14ac:dyDescent="0.25">
      <c r="A425" s="7" t="s">
        <v>59</v>
      </c>
      <c r="B425" s="2" t="s">
        <v>5462</v>
      </c>
      <c r="C425" s="2" t="s">
        <v>5463</v>
      </c>
      <c r="D425" s="2" t="s">
        <v>5464</v>
      </c>
      <c r="F425" s="3" t="s">
        <v>59</v>
      </c>
      <c r="G425" s="3" t="s">
        <v>60</v>
      </c>
      <c r="H425" s="3" t="s">
        <v>59</v>
      </c>
      <c r="I425" s="3" t="s">
        <v>59</v>
      </c>
      <c r="J425" s="3" t="s">
        <v>61</v>
      </c>
      <c r="K425" s="2" t="s">
        <v>5465</v>
      </c>
      <c r="L425" s="2" t="s">
        <v>5466</v>
      </c>
      <c r="M425" s="3" t="s">
        <v>190</v>
      </c>
      <c r="O425" s="3" t="s">
        <v>64</v>
      </c>
      <c r="P425" s="3" t="s">
        <v>264</v>
      </c>
      <c r="R425" s="3" t="s">
        <v>67</v>
      </c>
      <c r="S425" s="4">
        <v>17</v>
      </c>
      <c r="T425" s="4">
        <v>17</v>
      </c>
      <c r="U425" s="5" t="s">
        <v>4320</v>
      </c>
      <c r="V425" s="5" t="s">
        <v>4320</v>
      </c>
      <c r="W425" s="5" t="s">
        <v>5467</v>
      </c>
      <c r="X425" s="5" t="s">
        <v>5467</v>
      </c>
      <c r="Y425" s="4">
        <v>226</v>
      </c>
      <c r="Z425" s="4">
        <v>216</v>
      </c>
      <c r="AA425" s="4">
        <v>1286</v>
      </c>
      <c r="AB425" s="4">
        <v>3</v>
      </c>
      <c r="AC425" s="4">
        <v>7</v>
      </c>
      <c r="AD425" s="4">
        <v>5</v>
      </c>
      <c r="AE425" s="4">
        <v>33</v>
      </c>
      <c r="AF425" s="4">
        <v>1</v>
      </c>
      <c r="AG425" s="4">
        <v>16</v>
      </c>
      <c r="AH425" s="4">
        <v>0</v>
      </c>
      <c r="AI425" s="4">
        <v>5</v>
      </c>
      <c r="AJ425" s="4">
        <v>2</v>
      </c>
      <c r="AK425" s="4">
        <v>15</v>
      </c>
      <c r="AL425" s="4">
        <v>2</v>
      </c>
      <c r="AM425" s="4">
        <v>4</v>
      </c>
      <c r="AN425" s="4">
        <v>0</v>
      </c>
      <c r="AO425" s="4">
        <v>0</v>
      </c>
      <c r="AP425" s="3" t="s">
        <v>59</v>
      </c>
      <c r="AQ425" s="3" t="s">
        <v>59</v>
      </c>
      <c r="AS425" s="6" t="str">
        <f>HYPERLINK("https://creighton-primo.hosted.exlibrisgroup.com/primo-explore/search?tab=default_tab&amp;search_scope=EVERYTHING&amp;vid=01CRU&amp;lang=en_US&amp;offset=0&amp;query=any,contains,991000824429702656","Catalog Record")</f>
        <v>Catalog Record</v>
      </c>
      <c r="AT425" s="6" t="str">
        <f>HYPERLINK("http://www.worldcat.org/oclc/25784014","WorldCat Record")</f>
        <v>WorldCat Record</v>
      </c>
      <c r="AU425" s="3" t="s">
        <v>5468</v>
      </c>
      <c r="AV425" s="3" t="s">
        <v>5469</v>
      </c>
      <c r="AW425" s="3" t="s">
        <v>5470</v>
      </c>
      <c r="AX425" s="3" t="s">
        <v>5470</v>
      </c>
      <c r="AY425" s="3" t="s">
        <v>5471</v>
      </c>
      <c r="AZ425" s="3" t="s">
        <v>75</v>
      </c>
      <c r="BB425" s="3" t="s">
        <v>5472</v>
      </c>
      <c r="BC425" s="3" t="s">
        <v>5473</v>
      </c>
      <c r="BD425" s="3" t="s">
        <v>5474</v>
      </c>
    </row>
    <row r="426" spans="1:56" ht="48" customHeight="1" x14ac:dyDescent="0.25">
      <c r="A426" s="7" t="s">
        <v>59</v>
      </c>
      <c r="B426" s="2" t="s">
        <v>5475</v>
      </c>
      <c r="C426" s="2" t="s">
        <v>5476</v>
      </c>
      <c r="D426" s="2" t="s">
        <v>5477</v>
      </c>
      <c r="F426" s="3" t="s">
        <v>59</v>
      </c>
      <c r="G426" s="3" t="s">
        <v>60</v>
      </c>
      <c r="H426" s="3" t="s">
        <v>59</v>
      </c>
      <c r="I426" s="3" t="s">
        <v>70</v>
      </c>
      <c r="J426" s="3" t="s">
        <v>61</v>
      </c>
      <c r="K426" s="2" t="s">
        <v>4965</v>
      </c>
      <c r="L426" s="2" t="s">
        <v>5478</v>
      </c>
      <c r="M426" s="3" t="s">
        <v>485</v>
      </c>
      <c r="N426" s="2" t="s">
        <v>731</v>
      </c>
      <c r="O426" s="3" t="s">
        <v>64</v>
      </c>
      <c r="P426" s="3" t="s">
        <v>130</v>
      </c>
      <c r="R426" s="3" t="s">
        <v>67</v>
      </c>
      <c r="S426" s="4">
        <v>11</v>
      </c>
      <c r="T426" s="4">
        <v>11</v>
      </c>
      <c r="U426" s="5" t="s">
        <v>860</v>
      </c>
      <c r="V426" s="5" t="s">
        <v>860</v>
      </c>
      <c r="W426" s="5" t="s">
        <v>5479</v>
      </c>
      <c r="X426" s="5" t="s">
        <v>5479</v>
      </c>
      <c r="Y426" s="4">
        <v>994</v>
      </c>
      <c r="Z426" s="4">
        <v>916</v>
      </c>
      <c r="AA426" s="4">
        <v>2034</v>
      </c>
      <c r="AB426" s="4">
        <v>10</v>
      </c>
      <c r="AC426" s="4">
        <v>15</v>
      </c>
      <c r="AD426" s="4">
        <v>31</v>
      </c>
      <c r="AE426" s="4">
        <v>49</v>
      </c>
      <c r="AF426" s="4">
        <v>10</v>
      </c>
      <c r="AG426" s="4">
        <v>19</v>
      </c>
      <c r="AH426" s="4">
        <v>4</v>
      </c>
      <c r="AI426" s="4">
        <v>8</v>
      </c>
      <c r="AJ426" s="4">
        <v>16</v>
      </c>
      <c r="AK426" s="4">
        <v>21</v>
      </c>
      <c r="AL426" s="4">
        <v>7</v>
      </c>
      <c r="AM426" s="4">
        <v>9</v>
      </c>
      <c r="AN426" s="4">
        <v>0</v>
      </c>
      <c r="AO426" s="4">
        <v>1</v>
      </c>
      <c r="AP426" s="3" t="s">
        <v>59</v>
      </c>
      <c r="AQ426" s="3" t="s">
        <v>70</v>
      </c>
      <c r="AR426" s="6" t="str">
        <f>HYPERLINK("http://catalog.hathitrust.org/Record/000685372","HathiTrust Record")</f>
        <v>HathiTrust Record</v>
      </c>
      <c r="AS426" s="6" t="str">
        <f>HYPERLINK("https://creighton-primo.hosted.exlibrisgroup.com/primo-explore/search?tab=default_tab&amp;search_scope=EVERYTHING&amp;vid=01CRU&amp;lang=en_US&amp;offset=0&amp;query=any,contains,991004695939702656","Catalog Record")</f>
        <v>Catalog Record</v>
      </c>
      <c r="AT426" s="6" t="str">
        <f>HYPERLINK("http://www.worldcat.org/oclc/4641669","WorldCat Record")</f>
        <v>WorldCat Record</v>
      </c>
      <c r="AU426" s="3" t="s">
        <v>5480</v>
      </c>
      <c r="AV426" s="3" t="s">
        <v>5481</v>
      </c>
      <c r="AW426" s="3" t="s">
        <v>5482</v>
      </c>
      <c r="AX426" s="3" t="s">
        <v>5482</v>
      </c>
      <c r="AY426" s="3" t="s">
        <v>5483</v>
      </c>
      <c r="AZ426" s="3" t="s">
        <v>75</v>
      </c>
      <c r="BB426" s="3" t="s">
        <v>5484</v>
      </c>
      <c r="BC426" s="3" t="s">
        <v>5485</v>
      </c>
      <c r="BD426" s="3" t="s">
        <v>5486</v>
      </c>
    </row>
    <row r="427" spans="1:56" ht="48" customHeight="1" x14ac:dyDescent="0.25">
      <c r="A427" s="7" t="s">
        <v>59</v>
      </c>
      <c r="B427" s="2" t="s">
        <v>5487</v>
      </c>
      <c r="C427" s="2" t="s">
        <v>5488</v>
      </c>
      <c r="D427" s="2" t="s">
        <v>5489</v>
      </c>
      <c r="F427" s="3" t="s">
        <v>59</v>
      </c>
      <c r="G427" s="3" t="s">
        <v>60</v>
      </c>
      <c r="H427" s="3" t="s">
        <v>59</v>
      </c>
      <c r="I427" s="3" t="s">
        <v>59</v>
      </c>
      <c r="J427" s="3" t="s">
        <v>61</v>
      </c>
      <c r="K427" s="2" t="s">
        <v>4965</v>
      </c>
      <c r="L427" s="2" t="s">
        <v>5490</v>
      </c>
      <c r="M427" s="3" t="s">
        <v>604</v>
      </c>
      <c r="N427" s="2" t="s">
        <v>731</v>
      </c>
      <c r="O427" s="3" t="s">
        <v>64</v>
      </c>
      <c r="P427" s="3" t="s">
        <v>130</v>
      </c>
      <c r="Q427" s="2" t="s">
        <v>5491</v>
      </c>
      <c r="R427" s="3" t="s">
        <v>67</v>
      </c>
      <c r="S427" s="4">
        <v>3</v>
      </c>
      <c r="T427" s="4">
        <v>3</v>
      </c>
      <c r="U427" s="5" t="s">
        <v>5492</v>
      </c>
      <c r="V427" s="5" t="s">
        <v>5492</v>
      </c>
      <c r="W427" s="5" t="s">
        <v>5493</v>
      </c>
      <c r="X427" s="5" t="s">
        <v>5493</v>
      </c>
      <c r="Y427" s="4">
        <v>658</v>
      </c>
      <c r="Z427" s="4">
        <v>624</v>
      </c>
      <c r="AA427" s="4">
        <v>661</v>
      </c>
      <c r="AB427" s="4">
        <v>4</v>
      </c>
      <c r="AC427" s="4">
        <v>4</v>
      </c>
      <c r="AD427" s="4">
        <v>16</v>
      </c>
      <c r="AE427" s="4">
        <v>16</v>
      </c>
      <c r="AF427" s="4">
        <v>4</v>
      </c>
      <c r="AG427" s="4">
        <v>4</v>
      </c>
      <c r="AH427" s="4">
        <v>3</v>
      </c>
      <c r="AI427" s="4">
        <v>3</v>
      </c>
      <c r="AJ427" s="4">
        <v>12</v>
      </c>
      <c r="AK427" s="4">
        <v>12</v>
      </c>
      <c r="AL427" s="4">
        <v>2</v>
      </c>
      <c r="AM427" s="4">
        <v>2</v>
      </c>
      <c r="AN427" s="4">
        <v>0</v>
      </c>
      <c r="AO427" s="4">
        <v>0</v>
      </c>
      <c r="AP427" s="3" t="s">
        <v>59</v>
      </c>
      <c r="AQ427" s="3" t="s">
        <v>70</v>
      </c>
      <c r="AR427" s="6" t="str">
        <f>HYPERLINK("http://catalog.hathitrust.org/Record/003179918","HathiTrust Record")</f>
        <v>HathiTrust Record</v>
      </c>
      <c r="AS427" s="6" t="str">
        <f>HYPERLINK("https://creighton-primo.hosted.exlibrisgroup.com/primo-explore/search?tab=default_tab&amp;search_scope=EVERYTHING&amp;vid=01CRU&amp;lang=en_US&amp;offset=0&amp;query=any,contains,991002484659702656","Catalog Record")</f>
        <v>Catalog Record</v>
      </c>
      <c r="AT427" s="6" t="str">
        <f>HYPERLINK("http://www.worldcat.org/oclc/32347297","WorldCat Record")</f>
        <v>WorldCat Record</v>
      </c>
      <c r="AU427" s="3" t="s">
        <v>5494</v>
      </c>
      <c r="AV427" s="3" t="s">
        <v>5495</v>
      </c>
      <c r="AW427" s="3" t="s">
        <v>5496</v>
      </c>
      <c r="AX427" s="3" t="s">
        <v>5496</v>
      </c>
      <c r="AY427" s="3" t="s">
        <v>5497</v>
      </c>
      <c r="AZ427" s="3" t="s">
        <v>75</v>
      </c>
      <c r="BB427" s="3" t="s">
        <v>5498</v>
      </c>
      <c r="BC427" s="3" t="s">
        <v>5499</v>
      </c>
      <c r="BD427" s="3" t="s">
        <v>5500</v>
      </c>
    </row>
    <row r="428" spans="1:56" ht="48" customHeight="1" x14ac:dyDescent="0.25">
      <c r="A428" s="7" t="s">
        <v>59</v>
      </c>
      <c r="B428" s="2" t="s">
        <v>5501</v>
      </c>
      <c r="C428" s="2" t="s">
        <v>5502</v>
      </c>
      <c r="D428" s="2" t="s">
        <v>5503</v>
      </c>
      <c r="F428" s="3" t="s">
        <v>59</v>
      </c>
      <c r="G428" s="3" t="s">
        <v>60</v>
      </c>
      <c r="H428" s="3" t="s">
        <v>59</v>
      </c>
      <c r="I428" s="3" t="s">
        <v>59</v>
      </c>
      <c r="J428" s="3" t="s">
        <v>61</v>
      </c>
      <c r="L428" s="2" t="s">
        <v>5504</v>
      </c>
      <c r="M428" s="3" t="s">
        <v>234</v>
      </c>
      <c r="N428" s="2" t="s">
        <v>4513</v>
      </c>
      <c r="O428" s="3" t="s">
        <v>64</v>
      </c>
      <c r="P428" s="3" t="s">
        <v>264</v>
      </c>
      <c r="R428" s="3" t="s">
        <v>67</v>
      </c>
      <c r="S428" s="4">
        <v>4</v>
      </c>
      <c r="T428" s="4">
        <v>4</v>
      </c>
      <c r="U428" s="5" t="s">
        <v>293</v>
      </c>
      <c r="V428" s="5" t="s">
        <v>293</v>
      </c>
      <c r="W428" s="5" t="s">
        <v>5505</v>
      </c>
      <c r="X428" s="5" t="s">
        <v>5505</v>
      </c>
      <c r="Y428" s="4">
        <v>687</v>
      </c>
      <c r="Z428" s="4">
        <v>589</v>
      </c>
      <c r="AA428" s="4">
        <v>595</v>
      </c>
      <c r="AB428" s="4">
        <v>3</v>
      </c>
      <c r="AC428" s="4">
        <v>3</v>
      </c>
      <c r="AD428" s="4">
        <v>14</v>
      </c>
      <c r="AE428" s="4">
        <v>14</v>
      </c>
      <c r="AF428" s="4">
        <v>4</v>
      </c>
      <c r="AG428" s="4">
        <v>4</v>
      </c>
      <c r="AH428" s="4">
        <v>3</v>
      </c>
      <c r="AI428" s="4">
        <v>3</v>
      </c>
      <c r="AJ428" s="4">
        <v>9</v>
      </c>
      <c r="AK428" s="4">
        <v>9</v>
      </c>
      <c r="AL428" s="4">
        <v>2</v>
      </c>
      <c r="AM428" s="4">
        <v>2</v>
      </c>
      <c r="AN428" s="4">
        <v>0</v>
      </c>
      <c r="AO428" s="4">
        <v>0</v>
      </c>
      <c r="AP428" s="3" t="s">
        <v>59</v>
      </c>
      <c r="AQ428" s="3" t="s">
        <v>70</v>
      </c>
      <c r="AR428" s="6" t="str">
        <f>HYPERLINK("http://catalog.hathitrust.org/Record/007480301","HathiTrust Record")</f>
        <v>HathiTrust Record</v>
      </c>
      <c r="AS428" s="6" t="str">
        <f>HYPERLINK("https://creighton-primo.hosted.exlibrisgroup.com/primo-explore/search?tab=default_tab&amp;search_scope=EVERYTHING&amp;vid=01CRU&amp;lang=en_US&amp;offset=0&amp;query=any,contains,991001432019702656","Catalog Record")</f>
        <v>Catalog Record</v>
      </c>
      <c r="AT428" s="6" t="str">
        <f>HYPERLINK("http://www.worldcat.org/oclc/19122932","WorldCat Record")</f>
        <v>WorldCat Record</v>
      </c>
      <c r="AU428" s="3" t="s">
        <v>5506</v>
      </c>
      <c r="AV428" s="3" t="s">
        <v>5507</v>
      </c>
      <c r="AW428" s="3" t="s">
        <v>5508</v>
      </c>
      <c r="AX428" s="3" t="s">
        <v>5508</v>
      </c>
      <c r="AY428" s="3" t="s">
        <v>5509</v>
      </c>
      <c r="AZ428" s="3" t="s">
        <v>75</v>
      </c>
      <c r="BB428" s="3" t="s">
        <v>5510</v>
      </c>
      <c r="BC428" s="3" t="s">
        <v>5511</v>
      </c>
      <c r="BD428" s="3" t="s">
        <v>5512</v>
      </c>
    </row>
    <row r="429" spans="1:56" ht="48" customHeight="1" x14ac:dyDescent="0.25">
      <c r="A429" s="7" t="s">
        <v>59</v>
      </c>
      <c r="B429" s="2" t="s">
        <v>5513</v>
      </c>
      <c r="C429" s="2" t="s">
        <v>5514</v>
      </c>
      <c r="D429" s="2" t="s">
        <v>5515</v>
      </c>
      <c r="F429" s="3" t="s">
        <v>59</v>
      </c>
      <c r="G429" s="3" t="s">
        <v>60</v>
      </c>
      <c r="H429" s="3" t="s">
        <v>70</v>
      </c>
      <c r="I429" s="3" t="s">
        <v>70</v>
      </c>
      <c r="J429" s="3" t="s">
        <v>61</v>
      </c>
      <c r="K429" s="2" t="s">
        <v>3802</v>
      </c>
      <c r="L429" s="2" t="s">
        <v>5516</v>
      </c>
      <c r="M429" s="3" t="s">
        <v>485</v>
      </c>
      <c r="N429" s="2" t="s">
        <v>2895</v>
      </c>
      <c r="O429" s="3" t="s">
        <v>64</v>
      </c>
      <c r="P429" s="3" t="s">
        <v>130</v>
      </c>
      <c r="R429" s="3" t="s">
        <v>67</v>
      </c>
      <c r="S429" s="4">
        <v>2</v>
      </c>
      <c r="T429" s="4">
        <v>7</v>
      </c>
      <c r="U429" s="5" t="s">
        <v>5121</v>
      </c>
      <c r="V429" s="5" t="s">
        <v>5517</v>
      </c>
      <c r="W429" s="5" t="s">
        <v>4108</v>
      </c>
      <c r="X429" s="5" t="s">
        <v>4108</v>
      </c>
      <c r="Y429" s="4">
        <v>359</v>
      </c>
      <c r="Z429" s="4">
        <v>280</v>
      </c>
      <c r="AA429" s="4">
        <v>699</v>
      </c>
      <c r="AB429" s="4">
        <v>5</v>
      </c>
      <c r="AC429" s="4">
        <v>7</v>
      </c>
      <c r="AD429" s="4">
        <v>8</v>
      </c>
      <c r="AE429" s="4">
        <v>32</v>
      </c>
      <c r="AF429" s="4">
        <v>2</v>
      </c>
      <c r="AG429" s="4">
        <v>12</v>
      </c>
      <c r="AH429" s="4">
        <v>3</v>
      </c>
      <c r="AI429" s="4">
        <v>9</v>
      </c>
      <c r="AJ429" s="4">
        <v>4</v>
      </c>
      <c r="AK429" s="4">
        <v>14</v>
      </c>
      <c r="AL429" s="4">
        <v>2</v>
      </c>
      <c r="AM429" s="4">
        <v>4</v>
      </c>
      <c r="AN429" s="4">
        <v>0</v>
      </c>
      <c r="AO429" s="4">
        <v>0</v>
      </c>
      <c r="AP429" s="3" t="s">
        <v>59</v>
      </c>
      <c r="AQ429" s="3" t="s">
        <v>70</v>
      </c>
      <c r="AR429" s="6" t="str">
        <f>HYPERLINK("http://catalog.hathitrust.org/Record/000703943","HathiTrust Record")</f>
        <v>HathiTrust Record</v>
      </c>
      <c r="AS429" s="6" t="str">
        <f>HYPERLINK("https://creighton-primo.hosted.exlibrisgroup.com/primo-explore/search?tab=default_tab&amp;search_scope=EVERYTHING&amp;vid=01CRU&amp;lang=en_US&amp;offset=0&amp;query=any,contains,991001758649702656","Catalog Record")</f>
        <v>Catalog Record</v>
      </c>
      <c r="AT429" s="6" t="str">
        <f>HYPERLINK("http://www.worldcat.org/oclc/4638271","WorldCat Record")</f>
        <v>WorldCat Record</v>
      </c>
      <c r="AU429" s="3" t="s">
        <v>5518</v>
      </c>
      <c r="AV429" s="3" t="s">
        <v>5519</v>
      </c>
      <c r="AW429" s="3" t="s">
        <v>5520</v>
      </c>
      <c r="AX429" s="3" t="s">
        <v>5520</v>
      </c>
      <c r="AY429" s="3" t="s">
        <v>5521</v>
      </c>
      <c r="AZ429" s="3" t="s">
        <v>75</v>
      </c>
      <c r="BB429" s="3" t="s">
        <v>5522</v>
      </c>
      <c r="BC429" s="3" t="s">
        <v>5523</v>
      </c>
      <c r="BD429" s="3" t="s">
        <v>5524</v>
      </c>
    </row>
    <row r="430" spans="1:56" ht="48" customHeight="1" x14ac:dyDescent="0.25">
      <c r="A430" s="7" t="s">
        <v>59</v>
      </c>
      <c r="B430" s="2" t="s">
        <v>5525</v>
      </c>
      <c r="C430" s="2" t="s">
        <v>5526</v>
      </c>
      <c r="D430" s="2" t="s">
        <v>5527</v>
      </c>
      <c r="F430" s="3" t="s">
        <v>59</v>
      </c>
      <c r="G430" s="3" t="s">
        <v>60</v>
      </c>
      <c r="H430" s="3" t="s">
        <v>59</v>
      </c>
      <c r="I430" s="3" t="s">
        <v>59</v>
      </c>
      <c r="J430" s="3" t="s">
        <v>61</v>
      </c>
      <c r="K430" s="2" t="s">
        <v>5528</v>
      </c>
      <c r="L430" s="2" t="s">
        <v>5529</v>
      </c>
      <c r="M430" s="3" t="s">
        <v>319</v>
      </c>
      <c r="O430" s="3" t="s">
        <v>64</v>
      </c>
      <c r="P430" s="3" t="s">
        <v>130</v>
      </c>
      <c r="R430" s="3" t="s">
        <v>67</v>
      </c>
      <c r="S430" s="4">
        <v>3</v>
      </c>
      <c r="T430" s="4">
        <v>3</v>
      </c>
      <c r="U430" s="5" t="s">
        <v>5530</v>
      </c>
      <c r="V430" s="5" t="s">
        <v>5530</v>
      </c>
      <c r="W430" s="5" t="s">
        <v>5531</v>
      </c>
      <c r="X430" s="5" t="s">
        <v>5531</v>
      </c>
      <c r="Y430" s="4">
        <v>817</v>
      </c>
      <c r="Z430" s="4">
        <v>786</v>
      </c>
      <c r="AA430" s="4">
        <v>836</v>
      </c>
      <c r="AB430" s="4">
        <v>8</v>
      </c>
      <c r="AC430" s="4">
        <v>8</v>
      </c>
      <c r="AD430" s="4">
        <v>25</v>
      </c>
      <c r="AE430" s="4">
        <v>25</v>
      </c>
      <c r="AF430" s="4">
        <v>12</v>
      </c>
      <c r="AG430" s="4">
        <v>12</v>
      </c>
      <c r="AH430" s="4">
        <v>3</v>
      </c>
      <c r="AI430" s="4">
        <v>3</v>
      </c>
      <c r="AJ430" s="4">
        <v>11</v>
      </c>
      <c r="AK430" s="4">
        <v>11</v>
      </c>
      <c r="AL430" s="4">
        <v>5</v>
      </c>
      <c r="AM430" s="4">
        <v>5</v>
      </c>
      <c r="AN430" s="4">
        <v>0</v>
      </c>
      <c r="AO430" s="4">
        <v>0</v>
      </c>
      <c r="AP430" s="3" t="s">
        <v>59</v>
      </c>
      <c r="AQ430" s="3" t="s">
        <v>70</v>
      </c>
      <c r="AR430" s="6" t="str">
        <f>HYPERLINK("http://catalog.hathitrust.org/Record/000603492","HathiTrust Record")</f>
        <v>HathiTrust Record</v>
      </c>
      <c r="AS430" s="6" t="str">
        <f>HYPERLINK("https://creighton-primo.hosted.exlibrisgroup.com/primo-explore/search?tab=default_tab&amp;search_scope=EVERYTHING&amp;vid=01CRU&amp;lang=en_US&amp;offset=0&amp;query=any,contains,991000293399702656","Catalog Record")</f>
        <v>Catalog Record</v>
      </c>
      <c r="AT430" s="6" t="str">
        <f>HYPERLINK("http://www.worldcat.org/oclc/9971010","WorldCat Record")</f>
        <v>WorldCat Record</v>
      </c>
      <c r="AU430" s="3" t="s">
        <v>5532</v>
      </c>
      <c r="AV430" s="3" t="s">
        <v>5533</v>
      </c>
      <c r="AW430" s="3" t="s">
        <v>5534</v>
      </c>
      <c r="AX430" s="3" t="s">
        <v>5534</v>
      </c>
      <c r="AY430" s="3" t="s">
        <v>5535</v>
      </c>
      <c r="AZ430" s="3" t="s">
        <v>75</v>
      </c>
      <c r="BB430" s="3" t="s">
        <v>5536</v>
      </c>
      <c r="BC430" s="3" t="s">
        <v>5537</v>
      </c>
      <c r="BD430" s="3" t="s">
        <v>5538</v>
      </c>
    </row>
    <row r="431" spans="1:56" ht="48" customHeight="1" x14ac:dyDescent="0.25">
      <c r="A431" s="7" t="s">
        <v>59</v>
      </c>
      <c r="B431" s="2" t="s">
        <v>5539</v>
      </c>
      <c r="C431" s="2" t="s">
        <v>5540</v>
      </c>
      <c r="D431" s="2" t="s">
        <v>5541</v>
      </c>
      <c r="F431" s="3" t="s">
        <v>59</v>
      </c>
      <c r="G431" s="3" t="s">
        <v>60</v>
      </c>
      <c r="H431" s="3" t="s">
        <v>59</v>
      </c>
      <c r="I431" s="3" t="s">
        <v>59</v>
      </c>
      <c r="J431" s="3" t="s">
        <v>61</v>
      </c>
      <c r="K431" s="2" t="s">
        <v>5542</v>
      </c>
      <c r="L431" s="2" t="s">
        <v>5543</v>
      </c>
      <c r="M431" s="3" t="s">
        <v>500</v>
      </c>
      <c r="N431" s="2" t="s">
        <v>5544</v>
      </c>
      <c r="O431" s="3" t="s">
        <v>64</v>
      </c>
      <c r="P431" s="3" t="s">
        <v>130</v>
      </c>
      <c r="R431" s="3" t="s">
        <v>67</v>
      </c>
      <c r="S431" s="4">
        <v>3</v>
      </c>
      <c r="T431" s="4">
        <v>3</v>
      </c>
      <c r="U431" s="5" t="s">
        <v>5545</v>
      </c>
      <c r="V431" s="5" t="s">
        <v>5545</v>
      </c>
      <c r="W431" s="5" t="s">
        <v>5546</v>
      </c>
      <c r="X431" s="5" t="s">
        <v>5546</v>
      </c>
      <c r="Y431" s="4">
        <v>464</v>
      </c>
      <c r="Z431" s="4">
        <v>445</v>
      </c>
      <c r="AA431" s="4">
        <v>512</v>
      </c>
      <c r="AB431" s="4">
        <v>4</v>
      </c>
      <c r="AC431" s="4">
        <v>5</v>
      </c>
      <c r="AD431" s="4">
        <v>15</v>
      </c>
      <c r="AE431" s="4">
        <v>17</v>
      </c>
      <c r="AF431" s="4">
        <v>7</v>
      </c>
      <c r="AG431" s="4">
        <v>8</v>
      </c>
      <c r="AH431" s="4">
        <v>2</v>
      </c>
      <c r="AI431" s="4">
        <v>2</v>
      </c>
      <c r="AJ431" s="4">
        <v>6</v>
      </c>
      <c r="AK431" s="4">
        <v>7</v>
      </c>
      <c r="AL431" s="4">
        <v>3</v>
      </c>
      <c r="AM431" s="4">
        <v>3</v>
      </c>
      <c r="AN431" s="4">
        <v>0</v>
      </c>
      <c r="AO431" s="4">
        <v>0</v>
      </c>
      <c r="AP431" s="3" t="s">
        <v>59</v>
      </c>
      <c r="AQ431" s="3" t="s">
        <v>70</v>
      </c>
      <c r="AR431" s="6" t="str">
        <f>HYPERLINK("http://catalog.hathitrust.org/Record/001554849","HathiTrust Record")</f>
        <v>HathiTrust Record</v>
      </c>
      <c r="AS431" s="6" t="str">
        <f>HYPERLINK("https://creighton-primo.hosted.exlibrisgroup.com/primo-explore/search?tab=default_tab&amp;search_scope=EVERYTHING&amp;vid=01CRU&amp;lang=en_US&amp;offset=0&amp;query=any,contains,991000522499702656","Catalog Record")</f>
        <v>Catalog Record</v>
      </c>
      <c r="AT431" s="6" t="str">
        <f>HYPERLINK("http://www.worldcat.org/oclc/88435","WorldCat Record")</f>
        <v>WorldCat Record</v>
      </c>
      <c r="AU431" s="3" t="s">
        <v>5547</v>
      </c>
      <c r="AV431" s="3" t="s">
        <v>5548</v>
      </c>
      <c r="AW431" s="3" t="s">
        <v>5549</v>
      </c>
      <c r="AX431" s="3" t="s">
        <v>5549</v>
      </c>
      <c r="AY431" s="3" t="s">
        <v>5550</v>
      </c>
      <c r="AZ431" s="3" t="s">
        <v>75</v>
      </c>
      <c r="BC431" s="3" t="s">
        <v>5551</v>
      </c>
      <c r="BD431" s="3" t="s">
        <v>5552</v>
      </c>
    </row>
    <row r="432" spans="1:56" ht="48" customHeight="1" x14ac:dyDescent="0.25">
      <c r="A432" s="7" t="s">
        <v>59</v>
      </c>
      <c r="B432" s="2" t="s">
        <v>5553</v>
      </c>
      <c r="C432" s="2" t="s">
        <v>5554</v>
      </c>
      <c r="D432" s="2" t="s">
        <v>5555</v>
      </c>
      <c r="F432" s="3" t="s">
        <v>59</v>
      </c>
      <c r="G432" s="3" t="s">
        <v>60</v>
      </c>
      <c r="H432" s="3" t="s">
        <v>59</v>
      </c>
      <c r="I432" s="3" t="s">
        <v>59</v>
      </c>
      <c r="J432" s="3" t="s">
        <v>61</v>
      </c>
      <c r="K432" s="2" t="s">
        <v>5556</v>
      </c>
      <c r="L432" s="2" t="s">
        <v>5557</v>
      </c>
      <c r="M432" s="3" t="s">
        <v>4596</v>
      </c>
      <c r="O432" s="3" t="s">
        <v>64</v>
      </c>
      <c r="P432" s="3" t="s">
        <v>264</v>
      </c>
      <c r="R432" s="3" t="s">
        <v>67</v>
      </c>
      <c r="S432" s="4">
        <v>1</v>
      </c>
      <c r="T432" s="4">
        <v>1</v>
      </c>
      <c r="U432" s="5" t="s">
        <v>5558</v>
      </c>
      <c r="V432" s="5" t="s">
        <v>5558</v>
      </c>
      <c r="W432" s="5" t="s">
        <v>5558</v>
      </c>
      <c r="X432" s="5" t="s">
        <v>5558</v>
      </c>
      <c r="Y432" s="4">
        <v>388</v>
      </c>
      <c r="Z432" s="4">
        <v>273</v>
      </c>
      <c r="AA432" s="4">
        <v>273</v>
      </c>
      <c r="AB432" s="4">
        <v>4</v>
      </c>
      <c r="AC432" s="4">
        <v>4</v>
      </c>
      <c r="AD432" s="4">
        <v>17</v>
      </c>
      <c r="AE432" s="4">
        <v>17</v>
      </c>
      <c r="AF432" s="4">
        <v>8</v>
      </c>
      <c r="AG432" s="4">
        <v>8</v>
      </c>
      <c r="AH432" s="4">
        <v>4</v>
      </c>
      <c r="AI432" s="4">
        <v>4</v>
      </c>
      <c r="AJ432" s="4">
        <v>6</v>
      </c>
      <c r="AK432" s="4">
        <v>6</v>
      </c>
      <c r="AL432" s="4">
        <v>3</v>
      </c>
      <c r="AM432" s="4">
        <v>3</v>
      </c>
      <c r="AN432" s="4">
        <v>0</v>
      </c>
      <c r="AO432" s="4">
        <v>0</v>
      </c>
      <c r="AP432" s="3" t="s">
        <v>59</v>
      </c>
      <c r="AQ432" s="3" t="s">
        <v>59</v>
      </c>
      <c r="AS432" s="6" t="str">
        <f>HYPERLINK("https://creighton-primo.hosted.exlibrisgroup.com/primo-explore/search?tab=default_tab&amp;search_scope=EVERYTHING&amp;vid=01CRU&amp;lang=en_US&amp;offset=0&amp;query=any,contains,991004657409702656","Catalog Record")</f>
        <v>Catalog Record</v>
      </c>
      <c r="AT432" s="6" t="str">
        <f>HYPERLINK("http://www.worldcat.org/oclc/56532584","WorldCat Record")</f>
        <v>WorldCat Record</v>
      </c>
      <c r="AU432" s="3" t="s">
        <v>5559</v>
      </c>
      <c r="AV432" s="3" t="s">
        <v>5560</v>
      </c>
      <c r="AW432" s="3" t="s">
        <v>5561</v>
      </c>
      <c r="AX432" s="3" t="s">
        <v>5561</v>
      </c>
      <c r="AY432" s="3" t="s">
        <v>5562</v>
      </c>
      <c r="AZ432" s="3" t="s">
        <v>75</v>
      </c>
      <c r="BB432" s="3" t="s">
        <v>5563</v>
      </c>
      <c r="BC432" s="3" t="s">
        <v>5564</v>
      </c>
      <c r="BD432" s="3" t="s">
        <v>5565</v>
      </c>
    </row>
    <row r="433" spans="1:56" ht="48" customHeight="1" x14ac:dyDescent="0.25">
      <c r="A433" s="7" t="s">
        <v>59</v>
      </c>
      <c r="B433" s="2" t="s">
        <v>5566</v>
      </c>
      <c r="C433" s="2" t="s">
        <v>5567</v>
      </c>
      <c r="D433" s="2" t="s">
        <v>5568</v>
      </c>
      <c r="F433" s="3" t="s">
        <v>59</v>
      </c>
      <c r="G433" s="3" t="s">
        <v>60</v>
      </c>
      <c r="H433" s="3" t="s">
        <v>59</v>
      </c>
      <c r="I433" s="3" t="s">
        <v>59</v>
      </c>
      <c r="J433" s="3" t="s">
        <v>61</v>
      </c>
      <c r="K433" s="2" t="s">
        <v>5569</v>
      </c>
      <c r="L433" s="2" t="s">
        <v>5570</v>
      </c>
      <c r="M433" s="3" t="s">
        <v>348</v>
      </c>
      <c r="N433" s="2" t="s">
        <v>114</v>
      </c>
      <c r="O433" s="3" t="s">
        <v>64</v>
      </c>
      <c r="P433" s="3" t="s">
        <v>130</v>
      </c>
      <c r="Q433" s="2" t="s">
        <v>576</v>
      </c>
      <c r="R433" s="3" t="s">
        <v>67</v>
      </c>
      <c r="S433" s="4">
        <v>13</v>
      </c>
      <c r="T433" s="4">
        <v>13</v>
      </c>
      <c r="U433" s="5" t="s">
        <v>5571</v>
      </c>
      <c r="V433" s="5" t="s">
        <v>5571</v>
      </c>
      <c r="W433" s="5" t="s">
        <v>5572</v>
      </c>
      <c r="X433" s="5" t="s">
        <v>5572</v>
      </c>
      <c r="Y433" s="4">
        <v>279</v>
      </c>
      <c r="Z433" s="4">
        <v>173</v>
      </c>
      <c r="AA433" s="4">
        <v>228</v>
      </c>
      <c r="AB433" s="4">
        <v>2</v>
      </c>
      <c r="AC433" s="4">
        <v>2</v>
      </c>
      <c r="AD433" s="4">
        <v>5</v>
      </c>
      <c r="AE433" s="4">
        <v>5</v>
      </c>
      <c r="AF433" s="4">
        <v>0</v>
      </c>
      <c r="AG433" s="4">
        <v>0</v>
      </c>
      <c r="AH433" s="4">
        <v>1</v>
      </c>
      <c r="AI433" s="4">
        <v>1</v>
      </c>
      <c r="AJ433" s="4">
        <v>5</v>
      </c>
      <c r="AK433" s="4">
        <v>5</v>
      </c>
      <c r="AL433" s="4">
        <v>0</v>
      </c>
      <c r="AM433" s="4">
        <v>0</v>
      </c>
      <c r="AN433" s="4">
        <v>0</v>
      </c>
      <c r="AO433" s="4">
        <v>0</v>
      </c>
      <c r="AP433" s="3" t="s">
        <v>59</v>
      </c>
      <c r="AQ433" s="3" t="s">
        <v>59</v>
      </c>
      <c r="AS433" s="6" t="str">
        <f>HYPERLINK("https://creighton-primo.hosted.exlibrisgroup.com/primo-explore/search?tab=default_tab&amp;search_scope=EVERYTHING&amp;vid=01CRU&amp;lang=en_US&amp;offset=0&amp;query=any,contains,991002124539702656","Catalog Record")</f>
        <v>Catalog Record</v>
      </c>
      <c r="AT433" s="6" t="str">
        <f>HYPERLINK("http://www.worldcat.org/oclc/27217881","WorldCat Record")</f>
        <v>WorldCat Record</v>
      </c>
      <c r="AU433" s="3" t="s">
        <v>5573</v>
      </c>
      <c r="AV433" s="3" t="s">
        <v>5574</v>
      </c>
      <c r="AW433" s="3" t="s">
        <v>5575</v>
      </c>
      <c r="AX433" s="3" t="s">
        <v>5575</v>
      </c>
      <c r="AY433" s="3" t="s">
        <v>5576</v>
      </c>
      <c r="AZ433" s="3" t="s">
        <v>75</v>
      </c>
      <c r="BB433" s="3" t="s">
        <v>5577</v>
      </c>
      <c r="BC433" s="3" t="s">
        <v>5578</v>
      </c>
      <c r="BD433" s="3" t="s">
        <v>5579</v>
      </c>
    </row>
    <row r="434" spans="1:56" ht="48" customHeight="1" x14ac:dyDescent="0.25">
      <c r="A434" s="7" t="s">
        <v>59</v>
      </c>
      <c r="B434" s="2" t="s">
        <v>5580</v>
      </c>
      <c r="C434" s="2" t="s">
        <v>5581</v>
      </c>
      <c r="D434" s="2" t="s">
        <v>5582</v>
      </c>
      <c r="F434" s="3" t="s">
        <v>59</v>
      </c>
      <c r="G434" s="3" t="s">
        <v>60</v>
      </c>
      <c r="H434" s="3" t="s">
        <v>59</v>
      </c>
      <c r="I434" s="3" t="s">
        <v>59</v>
      </c>
      <c r="J434" s="3" t="s">
        <v>61</v>
      </c>
      <c r="L434" s="2" t="s">
        <v>5583</v>
      </c>
      <c r="M434" s="3" t="s">
        <v>63</v>
      </c>
      <c r="O434" s="3" t="s">
        <v>64</v>
      </c>
      <c r="P434" s="3" t="s">
        <v>130</v>
      </c>
      <c r="R434" s="3" t="s">
        <v>67</v>
      </c>
      <c r="S434" s="4">
        <v>3</v>
      </c>
      <c r="T434" s="4">
        <v>3</v>
      </c>
      <c r="U434" s="5" t="s">
        <v>5584</v>
      </c>
      <c r="V434" s="5" t="s">
        <v>5584</v>
      </c>
      <c r="W434" s="5" t="s">
        <v>4108</v>
      </c>
      <c r="X434" s="5" t="s">
        <v>4108</v>
      </c>
      <c r="Y434" s="4">
        <v>217</v>
      </c>
      <c r="Z434" s="4">
        <v>166</v>
      </c>
      <c r="AA434" s="4">
        <v>166</v>
      </c>
      <c r="AB434" s="4">
        <v>2</v>
      </c>
      <c r="AC434" s="4">
        <v>2</v>
      </c>
      <c r="AD434" s="4">
        <v>4</v>
      </c>
      <c r="AE434" s="4">
        <v>4</v>
      </c>
      <c r="AF434" s="4">
        <v>1</v>
      </c>
      <c r="AG434" s="4">
        <v>1</v>
      </c>
      <c r="AH434" s="4">
        <v>1</v>
      </c>
      <c r="AI434" s="4">
        <v>1</v>
      </c>
      <c r="AJ434" s="4">
        <v>2</v>
      </c>
      <c r="AK434" s="4">
        <v>2</v>
      </c>
      <c r="AL434" s="4">
        <v>1</v>
      </c>
      <c r="AM434" s="4">
        <v>1</v>
      </c>
      <c r="AN434" s="4">
        <v>0</v>
      </c>
      <c r="AO434" s="4">
        <v>0</v>
      </c>
      <c r="AP434" s="3" t="s">
        <v>59</v>
      </c>
      <c r="AQ434" s="3" t="s">
        <v>59</v>
      </c>
      <c r="AS434" s="6" t="str">
        <f>HYPERLINK("https://creighton-primo.hosted.exlibrisgroup.com/primo-explore/search?tab=default_tab&amp;search_scope=EVERYTHING&amp;vid=01CRU&amp;lang=en_US&amp;offset=0&amp;query=any,contains,991005370519702656","Catalog Record")</f>
        <v>Catalog Record</v>
      </c>
      <c r="AT434" s="6" t="str">
        <f>HYPERLINK("http://www.worldcat.org/oclc/2985055","WorldCat Record")</f>
        <v>WorldCat Record</v>
      </c>
      <c r="AU434" s="3" t="s">
        <v>5585</v>
      </c>
      <c r="AV434" s="3" t="s">
        <v>5586</v>
      </c>
      <c r="AW434" s="3" t="s">
        <v>5587</v>
      </c>
      <c r="AX434" s="3" t="s">
        <v>5587</v>
      </c>
      <c r="AY434" s="3" t="s">
        <v>5588</v>
      </c>
      <c r="AZ434" s="3" t="s">
        <v>75</v>
      </c>
      <c r="BB434" s="3" t="s">
        <v>5589</v>
      </c>
      <c r="BC434" s="3" t="s">
        <v>5590</v>
      </c>
      <c r="BD434" s="3" t="s">
        <v>5591</v>
      </c>
    </row>
    <row r="435" spans="1:56" ht="48" customHeight="1" x14ac:dyDescent="0.25">
      <c r="A435" s="7" t="s">
        <v>59</v>
      </c>
      <c r="B435" s="2" t="s">
        <v>5592</v>
      </c>
      <c r="C435" s="2" t="s">
        <v>5593</v>
      </c>
      <c r="D435" s="2" t="s">
        <v>5594</v>
      </c>
      <c r="F435" s="3" t="s">
        <v>59</v>
      </c>
      <c r="G435" s="3" t="s">
        <v>60</v>
      </c>
      <c r="H435" s="3" t="s">
        <v>59</v>
      </c>
      <c r="I435" s="3" t="s">
        <v>59</v>
      </c>
      <c r="J435" s="3" t="s">
        <v>61</v>
      </c>
      <c r="K435" s="2" t="s">
        <v>5595</v>
      </c>
      <c r="L435" s="2" t="s">
        <v>5596</v>
      </c>
      <c r="M435" s="3" t="s">
        <v>897</v>
      </c>
      <c r="O435" s="3" t="s">
        <v>64</v>
      </c>
      <c r="P435" s="3" t="s">
        <v>264</v>
      </c>
      <c r="R435" s="3" t="s">
        <v>67</v>
      </c>
      <c r="S435" s="4">
        <v>2</v>
      </c>
      <c r="T435" s="4">
        <v>2</v>
      </c>
      <c r="U435" s="5" t="s">
        <v>885</v>
      </c>
      <c r="V435" s="5" t="s">
        <v>885</v>
      </c>
      <c r="W435" s="5" t="s">
        <v>5597</v>
      </c>
      <c r="X435" s="5" t="s">
        <v>5597</v>
      </c>
      <c r="Y435" s="4">
        <v>435</v>
      </c>
      <c r="Z435" s="4">
        <v>298</v>
      </c>
      <c r="AA435" s="4">
        <v>300</v>
      </c>
      <c r="AB435" s="4">
        <v>4</v>
      </c>
      <c r="AC435" s="4">
        <v>4</v>
      </c>
      <c r="AD435" s="4">
        <v>13</v>
      </c>
      <c r="AE435" s="4">
        <v>13</v>
      </c>
      <c r="AF435" s="4">
        <v>3</v>
      </c>
      <c r="AG435" s="4">
        <v>3</v>
      </c>
      <c r="AH435" s="4">
        <v>3</v>
      </c>
      <c r="AI435" s="4">
        <v>3</v>
      </c>
      <c r="AJ435" s="4">
        <v>8</v>
      </c>
      <c r="AK435" s="4">
        <v>8</v>
      </c>
      <c r="AL435" s="4">
        <v>3</v>
      </c>
      <c r="AM435" s="4">
        <v>3</v>
      </c>
      <c r="AN435" s="4">
        <v>0</v>
      </c>
      <c r="AO435" s="4">
        <v>0</v>
      </c>
      <c r="AP435" s="3" t="s">
        <v>59</v>
      </c>
      <c r="AQ435" s="3" t="s">
        <v>70</v>
      </c>
      <c r="AR435" s="6" t="str">
        <f>HYPERLINK("http://catalog.hathitrust.org/Record/002493060","HathiTrust Record")</f>
        <v>HathiTrust Record</v>
      </c>
      <c r="AS435" s="6" t="str">
        <f>HYPERLINK("https://creighton-primo.hosted.exlibrisgroup.com/primo-explore/search?tab=default_tab&amp;search_scope=EVERYTHING&amp;vid=01CRU&amp;lang=en_US&amp;offset=0&amp;query=any,contains,991001848579702656","Catalog Record")</f>
        <v>Catalog Record</v>
      </c>
      <c r="AT435" s="6" t="str">
        <f>HYPERLINK("http://www.worldcat.org/oclc/23211728","WorldCat Record")</f>
        <v>WorldCat Record</v>
      </c>
      <c r="AU435" s="3" t="s">
        <v>5598</v>
      </c>
      <c r="AV435" s="3" t="s">
        <v>5599</v>
      </c>
      <c r="AW435" s="3" t="s">
        <v>5600</v>
      </c>
      <c r="AX435" s="3" t="s">
        <v>5600</v>
      </c>
      <c r="AY435" s="3" t="s">
        <v>5601</v>
      </c>
      <c r="AZ435" s="3" t="s">
        <v>75</v>
      </c>
      <c r="BB435" s="3" t="s">
        <v>5602</v>
      </c>
      <c r="BC435" s="3" t="s">
        <v>5603</v>
      </c>
      <c r="BD435" s="3" t="s">
        <v>5604</v>
      </c>
    </row>
    <row r="436" spans="1:56" ht="48" customHeight="1" x14ac:dyDescent="0.25">
      <c r="A436" s="7" t="s">
        <v>59</v>
      </c>
      <c r="B436" s="2" t="s">
        <v>5605</v>
      </c>
      <c r="C436" s="2" t="s">
        <v>5606</v>
      </c>
      <c r="D436" s="2" t="s">
        <v>5607</v>
      </c>
      <c r="F436" s="3" t="s">
        <v>59</v>
      </c>
      <c r="G436" s="3" t="s">
        <v>60</v>
      </c>
      <c r="H436" s="3" t="s">
        <v>59</v>
      </c>
      <c r="I436" s="3" t="s">
        <v>59</v>
      </c>
      <c r="J436" s="3" t="s">
        <v>61</v>
      </c>
      <c r="K436" s="2" t="s">
        <v>5608</v>
      </c>
      <c r="L436" s="2" t="s">
        <v>5609</v>
      </c>
      <c r="M436" s="3" t="s">
        <v>471</v>
      </c>
      <c r="O436" s="3" t="s">
        <v>64</v>
      </c>
      <c r="P436" s="3" t="s">
        <v>130</v>
      </c>
      <c r="R436" s="3" t="s">
        <v>67</v>
      </c>
      <c r="S436" s="4">
        <v>1</v>
      </c>
      <c r="T436" s="4">
        <v>1</v>
      </c>
      <c r="U436" s="5" t="s">
        <v>5610</v>
      </c>
      <c r="V436" s="5" t="s">
        <v>5610</v>
      </c>
      <c r="W436" s="5" t="s">
        <v>5611</v>
      </c>
      <c r="X436" s="5" t="s">
        <v>5611</v>
      </c>
      <c r="Y436" s="4">
        <v>636</v>
      </c>
      <c r="Z436" s="4">
        <v>573</v>
      </c>
      <c r="AA436" s="4">
        <v>647</v>
      </c>
      <c r="AB436" s="4">
        <v>8</v>
      </c>
      <c r="AC436" s="4">
        <v>8</v>
      </c>
      <c r="AD436" s="4">
        <v>26</v>
      </c>
      <c r="AE436" s="4">
        <v>27</v>
      </c>
      <c r="AF436" s="4">
        <v>6</v>
      </c>
      <c r="AG436" s="4">
        <v>7</v>
      </c>
      <c r="AH436" s="4">
        <v>4</v>
      </c>
      <c r="AI436" s="4">
        <v>4</v>
      </c>
      <c r="AJ436" s="4">
        <v>13</v>
      </c>
      <c r="AK436" s="4">
        <v>13</v>
      </c>
      <c r="AL436" s="4">
        <v>6</v>
      </c>
      <c r="AM436" s="4">
        <v>6</v>
      </c>
      <c r="AN436" s="4">
        <v>2</v>
      </c>
      <c r="AO436" s="4">
        <v>2</v>
      </c>
      <c r="AP436" s="3" t="s">
        <v>59</v>
      </c>
      <c r="AQ436" s="3" t="s">
        <v>59</v>
      </c>
      <c r="AS436" s="6" t="str">
        <f>HYPERLINK("https://creighton-primo.hosted.exlibrisgroup.com/primo-explore/search?tab=default_tab&amp;search_scope=EVERYTHING&amp;vid=01CRU&amp;lang=en_US&amp;offset=0&amp;query=any,contains,991003160019702656","Catalog Record")</f>
        <v>Catalog Record</v>
      </c>
      <c r="AT436" s="6" t="str">
        <f>HYPERLINK("http://www.worldcat.org/oclc/698751","WorldCat Record")</f>
        <v>WorldCat Record</v>
      </c>
      <c r="AU436" s="3" t="s">
        <v>5612</v>
      </c>
      <c r="AV436" s="3" t="s">
        <v>5613</v>
      </c>
      <c r="AW436" s="3" t="s">
        <v>5614</v>
      </c>
      <c r="AX436" s="3" t="s">
        <v>5614</v>
      </c>
      <c r="AY436" s="3" t="s">
        <v>5615</v>
      </c>
      <c r="AZ436" s="3" t="s">
        <v>75</v>
      </c>
      <c r="BB436" s="3" t="s">
        <v>5616</v>
      </c>
      <c r="BC436" s="3" t="s">
        <v>5617</v>
      </c>
      <c r="BD436" s="3" t="s">
        <v>5618</v>
      </c>
    </row>
    <row r="437" spans="1:56" ht="48" customHeight="1" x14ac:dyDescent="0.25">
      <c r="A437" s="7" t="s">
        <v>59</v>
      </c>
      <c r="B437" s="2" t="s">
        <v>5619</v>
      </c>
      <c r="C437" s="2" t="s">
        <v>5620</v>
      </c>
      <c r="D437" s="2" t="s">
        <v>5621</v>
      </c>
      <c r="F437" s="3" t="s">
        <v>59</v>
      </c>
      <c r="G437" s="3" t="s">
        <v>60</v>
      </c>
      <c r="H437" s="3" t="s">
        <v>59</v>
      </c>
      <c r="I437" s="3" t="s">
        <v>59</v>
      </c>
      <c r="J437" s="3" t="s">
        <v>61</v>
      </c>
      <c r="K437" s="2" t="s">
        <v>5622</v>
      </c>
      <c r="L437" s="2" t="s">
        <v>5623</v>
      </c>
      <c r="M437" s="3" t="s">
        <v>1351</v>
      </c>
      <c r="O437" s="3" t="s">
        <v>64</v>
      </c>
      <c r="P437" s="3" t="s">
        <v>130</v>
      </c>
      <c r="R437" s="3" t="s">
        <v>67</v>
      </c>
      <c r="S437" s="4">
        <v>3</v>
      </c>
      <c r="T437" s="4">
        <v>3</v>
      </c>
      <c r="U437" s="5" t="s">
        <v>5624</v>
      </c>
      <c r="V437" s="5" t="s">
        <v>5624</v>
      </c>
      <c r="W437" s="5" t="s">
        <v>5625</v>
      </c>
      <c r="X437" s="5" t="s">
        <v>5625</v>
      </c>
      <c r="Y437" s="4">
        <v>1409</v>
      </c>
      <c r="Z437" s="4">
        <v>1300</v>
      </c>
      <c r="AA437" s="4">
        <v>1334</v>
      </c>
      <c r="AB437" s="4">
        <v>8</v>
      </c>
      <c r="AC437" s="4">
        <v>8</v>
      </c>
      <c r="AD437" s="4">
        <v>38</v>
      </c>
      <c r="AE437" s="4">
        <v>39</v>
      </c>
      <c r="AF437" s="4">
        <v>15</v>
      </c>
      <c r="AG437" s="4">
        <v>16</v>
      </c>
      <c r="AH437" s="4">
        <v>7</v>
      </c>
      <c r="AI437" s="4">
        <v>7</v>
      </c>
      <c r="AJ437" s="4">
        <v>19</v>
      </c>
      <c r="AK437" s="4">
        <v>20</v>
      </c>
      <c r="AL437" s="4">
        <v>5</v>
      </c>
      <c r="AM437" s="4">
        <v>5</v>
      </c>
      <c r="AN437" s="4">
        <v>0</v>
      </c>
      <c r="AO437" s="4">
        <v>0</v>
      </c>
      <c r="AP437" s="3" t="s">
        <v>59</v>
      </c>
      <c r="AQ437" s="3" t="s">
        <v>59</v>
      </c>
      <c r="AS437" s="6" t="str">
        <f>HYPERLINK("https://creighton-primo.hosted.exlibrisgroup.com/primo-explore/search?tab=default_tab&amp;search_scope=EVERYTHING&amp;vid=01CRU&amp;lang=en_US&amp;offset=0&amp;query=any,contains,991004201559702656","Catalog Record")</f>
        <v>Catalog Record</v>
      </c>
      <c r="AT437" s="6" t="str">
        <f>HYPERLINK("http://www.worldcat.org/oclc/53223682","WorldCat Record")</f>
        <v>WorldCat Record</v>
      </c>
      <c r="AU437" s="3" t="s">
        <v>5626</v>
      </c>
      <c r="AV437" s="3" t="s">
        <v>5627</v>
      </c>
      <c r="AW437" s="3" t="s">
        <v>5628</v>
      </c>
      <c r="AX437" s="3" t="s">
        <v>5628</v>
      </c>
      <c r="AY437" s="3" t="s">
        <v>5629</v>
      </c>
      <c r="AZ437" s="3" t="s">
        <v>75</v>
      </c>
      <c r="BB437" s="3" t="s">
        <v>5630</v>
      </c>
      <c r="BC437" s="3" t="s">
        <v>5631</v>
      </c>
      <c r="BD437" s="3" t="s">
        <v>5632</v>
      </c>
    </row>
    <row r="438" spans="1:56" ht="48" customHeight="1" x14ac:dyDescent="0.25">
      <c r="A438" s="7" t="s">
        <v>59</v>
      </c>
      <c r="B438" s="2" t="s">
        <v>5633</v>
      </c>
      <c r="C438" s="2" t="s">
        <v>5634</v>
      </c>
      <c r="D438" s="2" t="s">
        <v>5635</v>
      </c>
      <c r="F438" s="3" t="s">
        <v>59</v>
      </c>
      <c r="G438" s="3" t="s">
        <v>60</v>
      </c>
      <c r="H438" s="3" t="s">
        <v>59</v>
      </c>
      <c r="I438" s="3" t="s">
        <v>59</v>
      </c>
      <c r="J438" s="3" t="s">
        <v>61</v>
      </c>
      <c r="K438" s="2" t="s">
        <v>5636</v>
      </c>
      <c r="L438" s="2" t="s">
        <v>5637</v>
      </c>
      <c r="M438" s="3" t="s">
        <v>2825</v>
      </c>
      <c r="O438" s="3" t="s">
        <v>64</v>
      </c>
      <c r="P438" s="3" t="s">
        <v>264</v>
      </c>
      <c r="R438" s="3" t="s">
        <v>67</v>
      </c>
      <c r="S438" s="4">
        <v>5</v>
      </c>
      <c r="T438" s="4">
        <v>5</v>
      </c>
      <c r="U438" s="5" t="s">
        <v>5638</v>
      </c>
      <c r="V438" s="5" t="s">
        <v>5638</v>
      </c>
      <c r="W438" s="5" t="s">
        <v>5639</v>
      </c>
      <c r="X438" s="5" t="s">
        <v>5639</v>
      </c>
      <c r="Y438" s="4">
        <v>815</v>
      </c>
      <c r="Z438" s="4">
        <v>760</v>
      </c>
      <c r="AA438" s="4">
        <v>830</v>
      </c>
      <c r="AB438" s="4">
        <v>4</v>
      </c>
      <c r="AC438" s="4">
        <v>4</v>
      </c>
      <c r="AD438" s="4">
        <v>11</v>
      </c>
      <c r="AE438" s="4">
        <v>12</v>
      </c>
      <c r="AF438" s="4">
        <v>4</v>
      </c>
      <c r="AG438" s="4">
        <v>5</v>
      </c>
      <c r="AH438" s="4">
        <v>1</v>
      </c>
      <c r="AI438" s="4">
        <v>2</v>
      </c>
      <c r="AJ438" s="4">
        <v>7</v>
      </c>
      <c r="AK438" s="4">
        <v>7</v>
      </c>
      <c r="AL438" s="4">
        <v>1</v>
      </c>
      <c r="AM438" s="4">
        <v>1</v>
      </c>
      <c r="AN438" s="4">
        <v>0</v>
      </c>
      <c r="AO438" s="4">
        <v>0</v>
      </c>
      <c r="AP438" s="3" t="s">
        <v>59</v>
      </c>
      <c r="AQ438" s="3" t="s">
        <v>59</v>
      </c>
      <c r="AS438" s="6" t="str">
        <f>HYPERLINK("https://creighton-primo.hosted.exlibrisgroup.com/primo-explore/search?tab=default_tab&amp;search_scope=EVERYTHING&amp;vid=01CRU&amp;lang=en_US&amp;offset=0&amp;query=any,contains,991005143349702656","Catalog Record")</f>
        <v>Catalog Record</v>
      </c>
      <c r="AT438" s="6" t="str">
        <f>HYPERLINK("http://www.worldcat.org/oclc/85692888","WorldCat Record")</f>
        <v>WorldCat Record</v>
      </c>
      <c r="AU438" s="3" t="s">
        <v>5640</v>
      </c>
      <c r="AV438" s="3" t="s">
        <v>5641</v>
      </c>
      <c r="AW438" s="3" t="s">
        <v>5642</v>
      </c>
      <c r="AX438" s="3" t="s">
        <v>5642</v>
      </c>
      <c r="AY438" s="3" t="s">
        <v>5643</v>
      </c>
      <c r="AZ438" s="3" t="s">
        <v>75</v>
      </c>
      <c r="BB438" s="3" t="s">
        <v>5644</v>
      </c>
      <c r="BC438" s="3" t="s">
        <v>5645</v>
      </c>
      <c r="BD438" s="3" t="s">
        <v>5646</v>
      </c>
    </row>
    <row r="439" spans="1:56" ht="48" customHeight="1" x14ac:dyDescent="0.25">
      <c r="A439" s="7" t="s">
        <v>59</v>
      </c>
      <c r="B439" s="2" t="s">
        <v>5647</v>
      </c>
      <c r="C439" s="2" t="s">
        <v>5648</v>
      </c>
      <c r="D439" s="2" t="s">
        <v>5649</v>
      </c>
      <c r="F439" s="3" t="s">
        <v>59</v>
      </c>
      <c r="G439" s="3" t="s">
        <v>60</v>
      </c>
      <c r="H439" s="3" t="s">
        <v>59</v>
      </c>
      <c r="I439" s="3" t="s">
        <v>59</v>
      </c>
      <c r="J439" s="3" t="s">
        <v>61</v>
      </c>
      <c r="K439" s="2" t="s">
        <v>5650</v>
      </c>
      <c r="L439" s="2" t="s">
        <v>5651</v>
      </c>
      <c r="M439" s="3" t="s">
        <v>145</v>
      </c>
      <c r="O439" s="3" t="s">
        <v>64</v>
      </c>
      <c r="P439" s="3" t="s">
        <v>115</v>
      </c>
      <c r="R439" s="3" t="s">
        <v>67</v>
      </c>
      <c r="S439" s="4">
        <v>2</v>
      </c>
      <c r="T439" s="4">
        <v>2</v>
      </c>
      <c r="U439" s="5" t="s">
        <v>5652</v>
      </c>
      <c r="V439" s="5" t="s">
        <v>5652</v>
      </c>
      <c r="W439" s="5" t="s">
        <v>5653</v>
      </c>
      <c r="X439" s="5" t="s">
        <v>5653</v>
      </c>
      <c r="Y439" s="4">
        <v>119</v>
      </c>
      <c r="Z439" s="4">
        <v>108</v>
      </c>
      <c r="AA439" s="4">
        <v>114</v>
      </c>
      <c r="AB439" s="4">
        <v>1</v>
      </c>
      <c r="AC439" s="4">
        <v>1</v>
      </c>
      <c r="AD439" s="4">
        <v>0</v>
      </c>
      <c r="AE439" s="4">
        <v>0</v>
      </c>
      <c r="AF439" s="4">
        <v>0</v>
      </c>
      <c r="AG439" s="4">
        <v>0</v>
      </c>
      <c r="AH439" s="4">
        <v>0</v>
      </c>
      <c r="AI439" s="4">
        <v>0</v>
      </c>
      <c r="AJ439" s="4">
        <v>0</v>
      </c>
      <c r="AK439" s="4">
        <v>0</v>
      </c>
      <c r="AL439" s="4">
        <v>0</v>
      </c>
      <c r="AM439" s="4">
        <v>0</v>
      </c>
      <c r="AN439" s="4">
        <v>0</v>
      </c>
      <c r="AO439" s="4">
        <v>0</v>
      </c>
      <c r="AP439" s="3" t="s">
        <v>59</v>
      </c>
      <c r="AQ439" s="3" t="s">
        <v>59</v>
      </c>
      <c r="AS439" s="6" t="str">
        <f>HYPERLINK("https://creighton-primo.hosted.exlibrisgroup.com/primo-explore/search?tab=default_tab&amp;search_scope=EVERYTHING&amp;vid=01CRU&amp;lang=en_US&amp;offset=0&amp;query=any,contains,991005264359702656","Catalog Record")</f>
        <v>Catalog Record</v>
      </c>
      <c r="AT439" s="6" t="str">
        <f>HYPERLINK("http://www.worldcat.org/oclc/4445052","WorldCat Record")</f>
        <v>WorldCat Record</v>
      </c>
      <c r="AU439" s="3" t="s">
        <v>5654</v>
      </c>
      <c r="AV439" s="3" t="s">
        <v>5655</v>
      </c>
      <c r="AW439" s="3" t="s">
        <v>5656</v>
      </c>
      <c r="AX439" s="3" t="s">
        <v>5656</v>
      </c>
      <c r="AY439" s="3" t="s">
        <v>5657</v>
      </c>
      <c r="AZ439" s="3" t="s">
        <v>75</v>
      </c>
      <c r="BB439" s="3" t="s">
        <v>5658</v>
      </c>
      <c r="BC439" s="3" t="s">
        <v>5659</v>
      </c>
      <c r="BD439" s="3" t="s">
        <v>5660</v>
      </c>
    </row>
    <row r="440" spans="1:56" ht="48" customHeight="1" x14ac:dyDescent="0.25">
      <c r="A440" s="7" t="s">
        <v>59</v>
      </c>
      <c r="B440" s="2" t="s">
        <v>5661</v>
      </c>
      <c r="C440" s="2" t="s">
        <v>5662</v>
      </c>
      <c r="D440" s="2" t="s">
        <v>5663</v>
      </c>
      <c r="F440" s="3" t="s">
        <v>59</v>
      </c>
      <c r="G440" s="3" t="s">
        <v>60</v>
      </c>
      <c r="H440" s="3" t="s">
        <v>59</v>
      </c>
      <c r="I440" s="3" t="s">
        <v>59</v>
      </c>
      <c r="J440" s="3" t="s">
        <v>61</v>
      </c>
      <c r="L440" s="2" t="s">
        <v>5664</v>
      </c>
      <c r="M440" s="3" t="s">
        <v>2825</v>
      </c>
      <c r="O440" s="3" t="s">
        <v>64</v>
      </c>
      <c r="P440" s="3" t="s">
        <v>1394</v>
      </c>
      <c r="R440" s="3" t="s">
        <v>67</v>
      </c>
      <c r="S440" s="4">
        <v>1</v>
      </c>
      <c r="T440" s="4">
        <v>1</v>
      </c>
      <c r="U440" s="5" t="s">
        <v>5665</v>
      </c>
      <c r="V440" s="5" t="s">
        <v>5665</v>
      </c>
      <c r="W440" s="5" t="s">
        <v>5665</v>
      </c>
      <c r="X440" s="5" t="s">
        <v>5665</v>
      </c>
      <c r="Y440" s="4">
        <v>923</v>
      </c>
      <c r="Z440" s="4">
        <v>838</v>
      </c>
      <c r="AA440" s="4">
        <v>948</v>
      </c>
      <c r="AB440" s="4">
        <v>7</v>
      </c>
      <c r="AC440" s="4">
        <v>8</v>
      </c>
      <c r="AD440" s="4">
        <v>4</v>
      </c>
      <c r="AE440" s="4">
        <v>4</v>
      </c>
      <c r="AF440" s="4">
        <v>1</v>
      </c>
      <c r="AG440" s="4">
        <v>1</v>
      </c>
      <c r="AH440" s="4">
        <v>1</v>
      </c>
      <c r="AI440" s="4">
        <v>1</v>
      </c>
      <c r="AJ440" s="4">
        <v>2</v>
      </c>
      <c r="AK440" s="4">
        <v>2</v>
      </c>
      <c r="AL440" s="4">
        <v>1</v>
      </c>
      <c r="AM440" s="4">
        <v>1</v>
      </c>
      <c r="AN440" s="4">
        <v>0</v>
      </c>
      <c r="AO440" s="4">
        <v>0</v>
      </c>
      <c r="AP440" s="3" t="s">
        <v>59</v>
      </c>
      <c r="AQ440" s="3" t="s">
        <v>70</v>
      </c>
      <c r="AR440" s="6" t="str">
        <f>HYPERLINK("http://catalog.hathitrust.org/Record/007068354","HathiTrust Record")</f>
        <v>HathiTrust Record</v>
      </c>
      <c r="AS440" s="6" t="str">
        <f>HYPERLINK("https://creighton-primo.hosted.exlibrisgroup.com/primo-explore/search?tab=default_tab&amp;search_scope=EVERYTHING&amp;vid=01CRU&amp;lang=en_US&amp;offset=0&amp;query=any,contains,991005232159702656","Catalog Record")</f>
        <v>Catalog Record</v>
      </c>
      <c r="AT440" s="6" t="str">
        <f>HYPERLINK("http://www.worldcat.org/oclc/144226844","WorldCat Record")</f>
        <v>WorldCat Record</v>
      </c>
      <c r="AU440" s="3" t="s">
        <v>5666</v>
      </c>
      <c r="AV440" s="3" t="s">
        <v>5667</v>
      </c>
      <c r="AW440" s="3" t="s">
        <v>5668</v>
      </c>
      <c r="AX440" s="3" t="s">
        <v>5668</v>
      </c>
      <c r="AY440" s="3" t="s">
        <v>5669</v>
      </c>
      <c r="AZ440" s="3" t="s">
        <v>75</v>
      </c>
      <c r="BB440" s="3" t="s">
        <v>5670</v>
      </c>
      <c r="BC440" s="3" t="s">
        <v>5671</v>
      </c>
      <c r="BD440" s="3" t="s">
        <v>5672</v>
      </c>
    </row>
    <row r="441" spans="1:56" ht="48" customHeight="1" x14ac:dyDescent="0.25">
      <c r="A441" s="7" t="s">
        <v>59</v>
      </c>
      <c r="B441" s="2" t="s">
        <v>5673</v>
      </c>
      <c r="C441" s="2" t="s">
        <v>5674</v>
      </c>
      <c r="D441" s="2" t="s">
        <v>5675</v>
      </c>
      <c r="F441" s="3" t="s">
        <v>59</v>
      </c>
      <c r="G441" s="3" t="s">
        <v>60</v>
      </c>
      <c r="H441" s="3" t="s">
        <v>59</v>
      </c>
      <c r="I441" s="3" t="s">
        <v>59</v>
      </c>
      <c r="J441" s="3" t="s">
        <v>61</v>
      </c>
      <c r="K441" s="2" t="s">
        <v>5676</v>
      </c>
      <c r="L441" s="2" t="s">
        <v>5677</v>
      </c>
      <c r="M441" s="3" t="s">
        <v>500</v>
      </c>
      <c r="N441" s="2" t="s">
        <v>5678</v>
      </c>
      <c r="O441" s="3" t="s">
        <v>64</v>
      </c>
      <c r="P441" s="3" t="s">
        <v>130</v>
      </c>
      <c r="Q441" s="2" t="s">
        <v>5679</v>
      </c>
      <c r="R441" s="3" t="s">
        <v>67</v>
      </c>
      <c r="S441" s="4">
        <v>1</v>
      </c>
      <c r="T441" s="4">
        <v>1</v>
      </c>
      <c r="U441" s="5" t="s">
        <v>3449</v>
      </c>
      <c r="V441" s="5" t="s">
        <v>3449</v>
      </c>
      <c r="W441" s="5" t="s">
        <v>1704</v>
      </c>
      <c r="X441" s="5" t="s">
        <v>1704</v>
      </c>
      <c r="Y441" s="4">
        <v>1203</v>
      </c>
      <c r="Z441" s="4">
        <v>1138</v>
      </c>
      <c r="AA441" s="4">
        <v>1152</v>
      </c>
      <c r="AB441" s="4">
        <v>9</v>
      </c>
      <c r="AC441" s="4">
        <v>9</v>
      </c>
      <c r="AD441" s="4">
        <v>34</v>
      </c>
      <c r="AE441" s="4">
        <v>34</v>
      </c>
      <c r="AF441" s="4">
        <v>12</v>
      </c>
      <c r="AG441" s="4">
        <v>12</v>
      </c>
      <c r="AH441" s="4">
        <v>5</v>
      </c>
      <c r="AI441" s="4">
        <v>5</v>
      </c>
      <c r="AJ441" s="4">
        <v>17</v>
      </c>
      <c r="AK441" s="4">
        <v>17</v>
      </c>
      <c r="AL441" s="4">
        <v>6</v>
      </c>
      <c r="AM441" s="4">
        <v>6</v>
      </c>
      <c r="AN441" s="4">
        <v>0</v>
      </c>
      <c r="AO441" s="4">
        <v>0</v>
      </c>
      <c r="AP441" s="3" t="s">
        <v>59</v>
      </c>
      <c r="AQ441" s="3" t="s">
        <v>70</v>
      </c>
      <c r="AR441" s="6" t="str">
        <f>HYPERLINK("http://catalog.hathitrust.org/Record/001553348","HathiTrust Record")</f>
        <v>HathiTrust Record</v>
      </c>
      <c r="AS441" s="6" t="str">
        <f>HYPERLINK("https://creighton-primo.hosted.exlibrisgroup.com/primo-explore/search?tab=default_tab&amp;search_scope=EVERYTHING&amp;vid=01CRU&amp;lang=en_US&amp;offset=0&amp;query=any,contains,991000135319702656","Catalog Record")</f>
        <v>Catalog Record</v>
      </c>
      <c r="AT441" s="6" t="str">
        <f>HYPERLINK("http://www.worldcat.org/oclc/56048","WorldCat Record")</f>
        <v>WorldCat Record</v>
      </c>
      <c r="AU441" s="3" t="s">
        <v>5680</v>
      </c>
      <c r="AV441" s="3" t="s">
        <v>5681</v>
      </c>
      <c r="AW441" s="3" t="s">
        <v>5682</v>
      </c>
      <c r="AX441" s="3" t="s">
        <v>5682</v>
      </c>
      <c r="AY441" s="3" t="s">
        <v>5683</v>
      </c>
      <c r="AZ441" s="3" t="s">
        <v>75</v>
      </c>
      <c r="BC441" s="3" t="s">
        <v>5684</v>
      </c>
      <c r="BD441" s="3" t="s">
        <v>5685</v>
      </c>
    </row>
    <row r="442" spans="1:56" ht="48" customHeight="1" x14ac:dyDescent="0.25">
      <c r="A442" s="7" t="s">
        <v>59</v>
      </c>
      <c r="B442" s="2" t="s">
        <v>5686</v>
      </c>
      <c r="C442" s="2" t="s">
        <v>5687</v>
      </c>
      <c r="D442" s="2" t="s">
        <v>5688</v>
      </c>
      <c r="F442" s="3" t="s">
        <v>59</v>
      </c>
      <c r="G442" s="3" t="s">
        <v>60</v>
      </c>
      <c r="H442" s="3" t="s">
        <v>59</v>
      </c>
      <c r="I442" s="3" t="s">
        <v>59</v>
      </c>
      <c r="J442" s="3" t="s">
        <v>61</v>
      </c>
      <c r="K442" s="2" t="s">
        <v>5689</v>
      </c>
      <c r="L442" s="2" t="s">
        <v>5690</v>
      </c>
      <c r="M442" s="3" t="s">
        <v>333</v>
      </c>
      <c r="N442" s="2" t="s">
        <v>731</v>
      </c>
      <c r="O442" s="3" t="s">
        <v>64</v>
      </c>
      <c r="P442" s="3" t="s">
        <v>130</v>
      </c>
      <c r="R442" s="3" t="s">
        <v>67</v>
      </c>
      <c r="S442" s="4">
        <v>7</v>
      </c>
      <c r="T442" s="4">
        <v>7</v>
      </c>
      <c r="U442" s="5" t="s">
        <v>2128</v>
      </c>
      <c r="V442" s="5" t="s">
        <v>2128</v>
      </c>
      <c r="W442" s="5" t="s">
        <v>2950</v>
      </c>
      <c r="X442" s="5" t="s">
        <v>2950</v>
      </c>
      <c r="Y442" s="4">
        <v>394</v>
      </c>
      <c r="Z442" s="4">
        <v>382</v>
      </c>
      <c r="AA442" s="4">
        <v>383</v>
      </c>
      <c r="AB442" s="4">
        <v>3</v>
      </c>
      <c r="AC442" s="4">
        <v>3</v>
      </c>
      <c r="AD442" s="4">
        <v>2</v>
      </c>
      <c r="AE442" s="4">
        <v>2</v>
      </c>
      <c r="AF442" s="4">
        <v>1</v>
      </c>
      <c r="AG442" s="4">
        <v>1</v>
      </c>
      <c r="AH442" s="4">
        <v>0</v>
      </c>
      <c r="AI442" s="4">
        <v>0</v>
      </c>
      <c r="AJ442" s="4">
        <v>1</v>
      </c>
      <c r="AK442" s="4">
        <v>1</v>
      </c>
      <c r="AL442" s="4">
        <v>1</v>
      </c>
      <c r="AM442" s="4">
        <v>1</v>
      </c>
      <c r="AN442" s="4">
        <v>0</v>
      </c>
      <c r="AO442" s="4">
        <v>0</v>
      </c>
      <c r="AP442" s="3" t="s">
        <v>59</v>
      </c>
      <c r="AQ442" s="3" t="s">
        <v>70</v>
      </c>
      <c r="AR442" s="6" t="str">
        <f>HYPERLINK("http://catalog.hathitrust.org/Record/102075398","HathiTrust Record")</f>
        <v>HathiTrust Record</v>
      </c>
      <c r="AS442" s="6" t="str">
        <f>HYPERLINK("https://creighton-primo.hosted.exlibrisgroup.com/primo-explore/search?tab=default_tab&amp;search_scope=EVERYTHING&amp;vid=01CRU&amp;lang=en_US&amp;offset=0&amp;query=any,contains,991000536979702656","Catalog Record")</f>
        <v>Catalog Record</v>
      </c>
      <c r="AT442" s="6" t="str">
        <f>HYPERLINK("http://www.worldcat.org/oclc/11467717","WorldCat Record")</f>
        <v>WorldCat Record</v>
      </c>
      <c r="AU442" s="3" t="s">
        <v>5691</v>
      </c>
      <c r="AV442" s="3" t="s">
        <v>5692</v>
      </c>
      <c r="AW442" s="3" t="s">
        <v>5693</v>
      </c>
      <c r="AX442" s="3" t="s">
        <v>5693</v>
      </c>
      <c r="AY442" s="3" t="s">
        <v>5694</v>
      </c>
      <c r="AZ442" s="3" t="s">
        <v>75</v>
      </c>
      <c r="BB442" s="3" t="s">
        <v>5695</v>
      </c>
      <c r="BC442" s="3" t="s">
        <v>5696</v>
      </c>
      <c r="BD442" s="3" t="s">
        <v>5697</v>
      </c>
    </row>
    <row r="443" spans="1:56" ht="48" customHeight="1" x14ac:dyDescent="0.25">
      <c r="A443" s="7" t="s">
        <v>59</v>
      </c>
      <c r="B443" s="2" t="s">
        <v>5698</v>
      </c>
      <c r="C443" s="2" t="s">
        <v>5699</v>
      </c>
      <c r="D443" s="2" t="s">
        <v>5700</v>
      </c>
      <c r="F443" s="3" t="s">
        <v>59</v>
      </c>
      <c r="G443" s="3" t="s">
        <v>60</v>
      </c>
      <c r="H443" s="3" t="s">
        <v>59</v>
      </c>
      <c r="I443" s="3" t="s">
        <v>59</v>
      </c>
      <c r="J443" s="3" t="s">
        <v>61</v>
      </c>
      <c r="K443" s="2" t="s">
        <v>5701</v>
      </c>
      <c r="L443" s="2" t="s">
        <v>5702</v>
      </c>
      <c r="M443" s="3" t="s">
        <v>911</v>
      </c>
      <c r="O443" s="3" t="s">
        <v>64</v>
      </c>
      <c r="P443" s="3" t="s">
        <v>130</v>
      </c>
      <c r="Q443" s="2" t="s">
        <v>5703</v>
      </c>
      <c r="R443" s="3" t="s">
        <v>67</v>
      </c>
      <c r="S443" s="4">
        <v>5</v>
      </c>
      <c r="T443" s="4">
        <v>5</v>
      </c>
      <c r="U443" s="5" t="s">
        <v>2128</v>
      </c>
      <c r="V443" s="5" t="s">
        <v>2128</v>
      </c>
      <c r="W443" s="5" t="s">
        <v>5704</v>
      </c>
      <c r="X443" s="5" t="s">
        <v>5704</v>
      </c>
      <c r="Y443" s="4">
        <v>1019</v>
      </c>
      <c r="Z443" s="4">
        <v>952</v>
      </c>
      <c r="AA443" s="4">
        <v>1325</v>
      </c>
      <c r="AB443" s="4">
        <v>9</v>
      </c>
      <c r="AC443" s="4">
        <v>13</v>
      </c>
      <c r="AD443" s="4">
        <v>17</v>
      </c>
      <c r="AE443" s="4">
        <v>20</v>
      </c>
      <c r="AF443" s="4">
        <v>7</v>
      </c>
      <c r="AG443" s="4">
        <v>7</v>
      </c>
      <c r="AH443" s="4">
        <v>2</v>
      </c>
      <c r="AI443" s="4">
        <v>2</v>
      </c>
      <c r="AJ443" s="4">
        <v>9</v>
      </c>
      <c r="AK443" s="4">
        <v>11</v>
      </c>
      <c r="AL443" s="4">
        <v>4</v>
      </c>
      <c r="AM443" s="4">
        <v>5</v>
      </c>
      <c r="AN443" s="4">
        <v>0</v>
      </c>
      <c r="AO443" s="4">
        <v>0</v>
      </c>
      <c r="AP443" s="3" t="s">
        <v>59</v>
      </c>
      <c r="AQ443" s="3" t="s">
        <v>70</v>
      </c>
      <c r="AR443" s="6" t="str">
        <f>HYPERLINK("http://catalog.hathitrust.org/Record/001553358","HathiTrust Record")</f>
        <v>HathiTrust Record</v>
      </c>
      <c r="AS443" s="6" t="str">
        <f>HYPERLINK("https://creighton-primo.hosted.exlibrisgroup.com/primo-explore/search?tab=default_tab&amp;search_scope=EVERYTHING&amp;vid=01CRU&amp;lang=en_US&amp;offset=0&amp;query=any,contains,991002980529702656","Catalog Record")</f>
        <v>Catalog Record</v>
      </c>
      <c r="AT443" s="6" t="str">
        <f>HYPERLINK("http://www.worldcat.org/oclc/554791","WorldCat Record")</f>
        <v>WorldCat Record</v>
      </c>
      <c r="AU443" s="3" t="s">
        <v>5705</v>
      </c>
      <c r="AV443" s="3" t="s">
        <v>5706</v>
      </c>
      <c r="AW443" s="3" t="s">
        <v>5707</v>
      </c>
      <c r="AX443" s="3" t="s">
        <v>5707</v>
      </c>
      <c r="AY443" s="3" t="s">
        <v>5708</v>
      </c>
      <c r="AZ443" s="3" t="s">
        <v>75</v>
      </c>
      <c r="BC443" s="3" t="s">
        <v>5709</v>
      </c>
      <c r="BD443" s="3" t="s">
        <v>5710</v>
      </c>
    </row>
    <row r="444" spans="1:56" ht="48" customHeight="1" x14ac:dyDescent="0.25">
      <c r="A444" s="7" t="s">
        <v>59</v>
      </c>
      <c r="B444" s="2" t="s">
        <v>5711</v>
      </c>
      <c r="C444" s="2" t="s">
        <v>5712</v>
      </c>
      <c r="D444" s="2" t="s">
        <v>5713</v>
      </c>
      <c r="F444" s="3" t="s">
        <v>59</v>
      </c>
      <c r="G444" s="3" t="s">
        <v>60</v>
      </c>
      <c r="H444" s="3" t="s">
        <v>59</v>
      </c>
      <c r="I444" s="3" t="s">
        <v>59</v>
      </c>
      <c r="J444" s="3" t="s">
        <v>61</v>
      </c>
      <c r="K444" s="2" t="s">
        <v>5528</v>
      </c>
      <c r="L444" s="2" t="s">
        <v>5714</v>
      </c>
      <c r="M444" s="3" t="s">
        <v>190</v>
      </c>
      <c r="N444" s="2" t="s">
        <v>5715</v>
      </c>
      <c r="O444" s="3" t="s">
        <v>64</v>
      </c>
      <c r="P444" s="3" t="s">
        <v>130</v>
      </c>
      <c r="R444" s="3" t="s">
        <v>67</v>
      </c>
      <c r="S444" s="4">
        <v>5</v>
      </c>
      <c r="T444" s="4">
        <v>5</v>
      </c>
      <c r="U444" s="5" t="s">
        <v>2128</v>
      </c>
      <c r="V444" s="5" t="s">
        <v>2128</v>
      </c>
      <c r="W444" s="5" t="s">
        <v>2950</v>
      </c>
      <c r="X444" s="5" t="s">
        <v>2950</v>
      </c>
      <c r="Y444" s="4">
        <v>397</v>
      </c>
      <c r="Z444" s="4">
        <v>384</v>
      </c>
      <c r="AA444" s="4">
        <v>766</v>
      </c>
      <c r="AB444" s="4">
        <v>2</v>
      </c>
      <c r="AC444" s="4">
        <v>7</v>
      </c>
      <c r="AD444" s="4">
        <v>2</v>
      </c>
      <c r="AE444" s="4">
        <v>19</v>
      </c>
      <c r="AF444" s="4">
        <v>0</v>
      </c>
      <c r="AG444" s="4">
        <v>2</v>
      </c>
      <c r="AH444" s="4">
        <v>0</v>
      </c>
      <c r="AI444" s="4">
        <v>4</v>
      </c>
      <c r="AJ444" s="4">
        <v>1</v>
      </c>
      <c r="AK444" s="4">
        <v>10</v>
      </c>
      <c r="AL444" s="4">
        <v>1</v>
      </c>
      <c r="AM444" s="4">
        <v>6</v>
      </c>
      <c r="AN444" s="4">
        <v>0</v>
      </c>
      <c r="AO444" s="4">
        <v>0</v>
      </c>
      <c r="AP444" s="3" t="s">
        <v>59</v>
      </c>
      <c r="AQ444" s="3" t="s">
        <v>70</v>
      </c>
      <c r="AR444" s="6" t="str">
        <f>HYPERLINK("http://catalog.hathitrust.org/Record/000387261","HathiTrust Record")</f>
        <v>HathiTrust Record</v>
      </c>
      <c r="AS444" s="6" t="str">
        <f>HYPERLINK("https://creighton-primo.hosted.exlibrisgroup.com/primo-explore/search?tab=default_tab&amp;search_scope=EVERYTHING&amp;vid=01CRU&amp;lang=en_US&amp;offset=0&amp;query=any,contains,991000660529702656","Catalog Record")</f>
        <v>Catalog Record</v>
      </c>
      <c r="AT444" s="6" t="str">
        <f>HYPERLINK("http://www.worldcat.org/oclc/12237876","WorldCat Record")</f>
        <v>WorldCat Record</v>
      </c>
      <c r="AU444" s="3" t="s">
        <v>5716</v>
      </c>
      <c r="AV444" s="3" t="s">
        <v>5717</v>
      </c>
      <c r="AW444" s="3" t="s">
        <v>5718</v>
      </c>
      <c r="AX444" s="3" t="s">
        <v>5718</v>
      </c>
      <c r="AY444" s="3" t="s">
        <v>5719</v>
      </c>
      <c r="AZ444" s="3" t="s">
        <v>75</v>
      </c>
      <c r="BB444" s="3" t="s">
        <v>5720</v>
      </c>
      <c r="BC444" s="3" t="s">
        <v>5721</v>
      </c>
      <c r="BD444" s="3" t="s">
        <v>5722</v>
      </c>
    </row>
    <row r="445" spans="1:56" ht="48" customHeight="1" x14ac:dyDescent="0.25">
      <c r="A445" s="7" t="s">
        <v>59</v>
      </c>
      <c r="B445" s="2" t="s">
        <v>5723</v>
      </c>
      <c r="C445" s="2" t="s">
        <v>5724</v>
      </c>
      <c r="D445" s="2" t="s">
        <v>5725</v>
      </c>
      <c r="F445" s="3" t="s">
        <v>59</v>
      </c>
      <c r="G445" s="3" t="s">
        <v>60</v>
      </c>
      <c r="H445" s="3" t="s">
        <v>59</v>
      </c>
      <c r="I445" s="3" t="s">
        <v>70</v>
      </c>
      <c r="J445" s="3" t="s">
        <v>61</v>
      </c>
      <c r="K445" s="2" t="s">
        <v>5726</v>
      </c>
      <c r="L445" s="2" t="s">
        <v>5727</v>
      </c>
      <c r="M445" s="3" t="s">
        <v>5728</v>
      </c>
      <c r="O445" s="3" t="s">
        <v>64</v>
      </c>
      <c r="P445" s="3" t="s">
        <v>84</v>
      </c>
      <c r="R445" s="3" t="s">
        <v>67</v>
      </c>
      <c r="S445" s="4">
        <v>8</v>
      </c>
      <c r="T445" s="4">
        <v>8</v>
      </c>
      <c r="U445" s="5" t="s">
        <v>1703</v>
      </c>
      <c r="V445" s="5" t="s">
        <v>1703</v>
      </c>
      <c r="W445" s="5" t="s">
        <v>5729</v>
      </c>
      <c r="X445" s="5" t="s">
        <v>5729</v>
      </c>
      <c r="Y445" s="4">
        <v>406</v>
      </c>
      <c r="Z445" s="4">
        <v>339</v>
      </c>
      <c r="AA445" s="4">
        <v>1416</v>
      </c>
      <c r="AB445" s="4">
        <v>4</v>
      </c>
      <c r="AC445" s="4">
        <v>10</v>
      </c>
      <c r="AD445" s="4">
        <v>19</v>
      </c>
      <c r="AE445" s="4">
        <v>47</v>
      </c>
      <c r="AF445" s="4">
        <v>4</v>
      </c>
      <c r="AG445" s="4">
        <v>21</v>
      </c>
      <c r="AH445" s="4">
        <v>6</v>
      </c>
      <c r="AI445" s="4">
        <v>7</v>
      </c>
      <c r="AJ445" s="4">
        <v>11</v>
      </c>
      <c r="AK445" s="4">
        <v>20</v>
      </c>
      <c r="AL445" s="4">
        <v>2</v>
      </c>
      <c r="AM445" s="4">
        <v>8</v>
      </c>
      <c r="AN445" s="4">
        <v>0</v>
      </c>
      <c r="AO445" s="4">
        <v>0</v>
      </c>
      <c r="AP445" s="3" t="s">
        <v>59</v>
      </c>
      <c r="AQ445" s="3" t="s">
        <v>70</v>
      </c>
      <c r="AR445" s="6" t="str">
        <f>HYPERLINK("http://catalog.hathitrust.org/Record/001554874","HathiTrust Record")</f>
        <v>HathiTrust Record</v>
      </c>
      <c r="AS445" s="6" t="str">
        <f>HYPERLINK("https://creighton-primo.hosted.exlibrisgroup.com/primo-explore/search?tab=default_tab&amp;search_scope=EVERYTHING&amp;vid=01CRU&amp;lang=en_US&amp;offset=0&amp;query=any,contains,991005266119702656","Catalog Record")</f>
        <v>Catalog Record</v>
      </c>
      <c r="AT445" s="6" t="str">
        <f>HYPERLINK("http://www.worldcat.org/oclc/14748665","WorldCat Record")</f>
        <v>WorldCat Record</v>
      </c>
      <c r="AU445" s="3" t="s">
        <v>5730</v>
      </c>
      <c r="AV445" s="3" t="s">
        <v>5731</v>
      </c>
      <c r="AW445" s="3" t="s">
        <v>5732</v>
      </c>
      <c r="AX445" s="3" t="s">
        <v>5732</v>
      </c>
      <c r="AY445" s="3" t="s">
        <v>5733</v>
      </c>
      <c r="AZ445" s="3" t="s">
        <v>75</v>
      </c>
      <c r="BC445" s="3" t="s">
        <v>5734</v>
      </c>
      <c r="BD445" s="3" t="s">
        <v>5735</v>
      </c>
    </row>
    <row r="446" spans="1:56" ht="48" customHeight="1" x14ac:dyDescent="0.25">
      <c r="A446" s="7" t="s">
        <v>59</v>
      </c>
      <c r="B446" s="2" t="s">
        <v>5736</v>
      </c>
      <c r="C446" s="2" t="s">
        <v>5737</v>
      </c>
      <c r="D446" s="2" t="s">
        <v>5738</v>
      </c>
      <c r="F446" s="3" t="s">
        <v>59</v>
      </c>
      <c r="G446" s="3" t="s">
        <v>60</v>
      </c>
      <c r="H446" s="3" t="s">
        <v>59</v>
      </c>
      <c r="I446" s="3" t="s">
        <v>70</v>
      </c>
      <c r="J446" s="3" t="s">
        <v>61</v>
      </c>
      <c r="K446" s="2" t="s">
        <v>5726</v>
      </c>
      <c r="L446" s="2" t="s">
        <v>5739</v>
      </c>
      <c r="M446" s="3" t="s">
        <v>5740</v>
      </c>
      <c r="O446" s="3" t="s">
        <v>64</v>
      </c>
      <c r="P446" s="3" t="s">
        <v>130</v>
      </c>
      <c r="R446" s="3" t="s">
        <v>67</v>
      </c>
      <c r="S446" s="4">
        <v>7</v>
      </c>
      <c r="T446" s="4">
        <v>7</v>
      </c>
      <c r="U446" s="5" t="s">
        <v>5741</v>
      </c>
      <c r="V446" s="5" t="s">
        <v>5741</v>
      </c>
      <c r="W446" s="5" t="s">
        <v>5742</v>
      </c>
      <c r="X446" s="5" t="s">
        <v>5742</v>
      </c>
      <c r="Y446" s="4">
        <v>1322</v>
      </c>
      <c r="Z446" s="4">
        <v>1135</v>
      </c>
      <c r="AA446" s="4">
        <v>1416</v>
      </c>
      <c r="AB446" s="4">
        <v>6</v>
      </c>
      <c r="AC446" s="4">
        <v>10</v>
      </c>
      <c r="AD446" s="4">
        <v>32</v>
      </c>
      <c r="AE446" s="4">
        <v>47</v>
      </c>
      <c r="AF446" s="4">
        <v>17</v>
      </c>
      <c r="AG446" s="4">
        <v>21</v>
      </c>
      <c r="AH446" s="4">
        <v>4</v>
      </c>
      <c r="AI446" s="4">
        <v>7</v>
      </c>
      <c r="AJ446" s="4">
        <v>12</v>
      </c>
      <c r="AK446" s="4">
        <v>20</v>
      </c>
      <c r="AL446" s="4">
        <v>5</v>
      </c>
      <c r="AM446" s="4">
        <v>8</v>
      </c>
      <c r="AN446" s="4">
        <v>0</v>
      </c>
      <c r="AO446" s="4">
        <v>0</v>
      </c>
      <c r="AP446" s="3" t="s">
        <v>59</v>
      </c>
      <c r="AQ446" s="3" t="s">
        <v>70</v>
      </c>
      <c r="AR446" s="6" t="str">
        <f>HYPERLINK("http://catalog.hathitrust.org/Record/001554873","HathiTrust Record")</f>
        <v>HathiTrust Record</v>
      </c>
      <c r="AS446" s="6" t="str">
        <f>HYPERLINK("https://creighton-primo.hosted.exlibrisgroup.com/primo-explore/search?tab=default_tab&amp;search_scope=EVERYTHING&amp;vid=01CRU&amp;lang=en_US&amp;offset=0&amp;query=any,contains,991001931949702656","Catalog Record")</f>
        <v>Catalog Record</v>
      </c>
      <c r="AT446" s="6" t="str">
        <f>HYPERLINK("http://www.worldcat.org/oclc/249196","WorldCat Record")</f>
        <v>WorldCat Record</v>
      </c>
      <c r="AU446" s="3" t="s">
        <v>5730</v>
      </c>
      <c r="AV446" s="3" t="s">
        <v>5743</v>
      </c>
      <c r="AW446" s="3" t="s">
        <v>5744</v>
      </c>
      <c r="AX446" s="3" t="s">
        <v>5744</v>
      </c>
      <c r="AY446" s="3" t="s">
        <v>5745</v>
      </c>
      <c r="AZ446" s="3" t="s">
        <v>75</v>
      </c>
      <c r="BC446" s="3" t="s">
        <v>5746</v>
      </c>
      <c r="BD446" s="3" t="s">
        <v>5747</v>
      </c>
    </row>
    <row r="447" spans="1:56" ht="48" customHeight="1" x14ac:dyDescent="0.25">
      <c r="A447" s="7" t="s">
        <v>59</v>
      </c>
      <c r="B447" s="2" t="s">
        <v>5748</v>
      </c>
      <c r="C447" s="2" t="s">
        <v>5749</v>
      </c>
      <c r="D447" s="2" t="s">
        <v>5750</v>
      </c>
      <c r="F447" s="3" t="s">
        <v>59</v>
      </c>
      <c r="G447" s="3" t="s">
        <v>60</v>
      </c>
      <c r="H447" s="3" t="s">
        <v>59</v>
      </c>
      <c r="I447" s="3" t="s">
        <v>59</v>
      </c>
      <c r="J447" s="3" t="s">
        <v>61</v>
      </c>
      <c r="K447" s="2" t="s">
        <v>5751</v>
      </c>
      <c r="L447" s="2" t="s">
        <v>5752</v>
      </c>
      <c r="M447" s="3" t="s">
        <v>190</v>
      </c>
      <c r="O447" s="3" t="s">
        <v>64</v>
      </c>
      <c r="P447" s="3" t="s">
        <v>84</v>
      </c>
      <c r="R447" s="3" t="s">
        <v>67</v>
      </c>
      <c r="S447" s="4">
        <v>5</v>
      </c>
      <c r="T447" s="4">
        <v>5</v>
      </c>
      <c r="U447" s="5" t="s">
        <v>5753</v>
      </c>
      <c r="V447" s="5" t="s">
        <v>5753</v>
      </c>
      <c r="W447" s="5" t="s">
        <v>4108</v>
      </c>
      <c r="X447" s="5" t="s">
        <v>4108</v>
      </c>
      <c r="Y447" s="4">
        <v>285</v>
      </c>
      <c r="Z447" s="4">
        <v>186</v>
      </c>
      <c r="AA447" s="4">
        <v>208</v>
      </c>
      <c r="AB447" s="4">
        <v>3</v>
      </c>
      <c r="AC447" s="4">
        <v>3</v>
      </c>
      <c r="AD447" s="4">
        <v>8</v>
      </c>
      <c r="AE447" s="4">
        <v>8</v>
      </c>
      <c r="AF447" s="4">
        <v>2</v>
      </c>
      <c r="AG447" s="4">
        <v>2</v>
      </c>
      <c r="AH447" s="4">
        <v>3</v>
      </c>
      <c r="AI447" s="4">
        <v>3</v>
      </c>
      <c r="AJ447" s="4">
        <v>4</v>
      </c>
      <c r="AK447" s="4">
        <v>4</v>
      </c>
      <c r="AL447" s="4">
        <v>2</v>
      </c>
      <c r="AM447" s="4">
        <v>2</v>
      </c>
      <c r="AN447" s="4">
        <v>0</v>
      </c>
      <c r="AO447" s="4">
        <v>0</v>
      </c>
      <c r="AP447" s="3" t="s">
        <v>59</v>
      </c>
      <c r="AQ447" s="3" t="s">
        <v>59</v>
      </c>
      <c r="AS447" s="6" t="str">
        <f>HYPERLINK("https://creighton-primo.hosted.exlibrisgroup.com/primo-explore/search?tab=default_tab&amp;search_scope=EVERYTHING&amp;vid=01CRU&amp;lang=en_US&amp;offset=0&amp;query=any,contains,991000821899702656","Catalog Record")</f>
        <v>Catalog Record</v>
      </c>
      <c r="AT447" s="6" t="str">
        <f>HYPERLINK("http://www.worldcat.org/oclc/13395809","WorldCat Record")</f>
        <v>WorldCat Record</v>
      </c>
      <c r="AU447" s="3" t="s">
        <v>5754</v>
      </c>
      <c r="AV447" s="3" t="s">
        <v>5755</v>
      </c>
      <c r="AW447" s="3" t="s">
        <v>5756</v>
      </c>
      <c r="AX447" s="3" t="s">
        <v>5756</v>
      </c>
      <c r="AY447" s="3" t="s">
        <v>5757</v>
      </c>
      <c r="AZ447" s="3" t="s">
        <v>75</v>
      </c>
      <c r="BB447" s="3" t="s">
        <v>5758</v>
      </c>
      <c r="BC447" s="3" t="s">
        <v>5759</v>
      </c>
      <c r="BD447" s="3" t="s">
        <v>5760</v>
      </c>
    </row>
    <row r="448" spans="1:56" ht="48" customHeight="1" x14ac:dyDescent="0.25">
      <c r="A448" s="7" t="s">
        <v>59</v>
      </c>
      <c r="B448" s="2" t="s">
        <v>5761</v>
      </c>
      <c r="C448" s="2" t="s">
        <v>5762</v>
      </c>
      <c r="D448" s="2" t="s">
        <v>5763</v>
      </c>
      <c r="F448" s="3" t="s">
        <v>59</v>
      </c>
      <c r="G448" s="3" t="s">
        <v>60</v>
      </c>
      <c r="H448" s="3" t="s">
        <v>59</v>
      </c>
      <c r="I448" s="3" t="s">
        <v>59</v>
      </c>
      <c r="J448" s="3" t="s">
        <v>61</v>
      </c>
      <c r="L448" s="2" t="s">
        <v>5764</v>
      </c>
      <c r="M448" s="3" t="s">
        <v>113</v>
      </c>
      <c r="O448" s="3" t="s">
        <v>64</v>
      </c>
      <c r="P448" s="3" t="s">
        <v>130</v>
      </c>
      <c r="R448" s="3" t="s">
        <v>67</v>
      </c>
      <c r="S448" s="4">
        <v>5</v>
      </c>
      <c r="T448" s="4">
        <v>5</v>
      </c>
      <c r="U448" s="5" t="s">
        <v>5121</v>
      </c>
      <c r="V448" s="5" t="s">
        <v>5121</v>
      </c>
      <c r="W448" s="5" t="s">
        <v>4108</v>
      </c>
      <c r="X448" s="5" t="s">
        <v>4108</v>
      </c>
      <c r="Y448" s="4">
        <v>321</v>
      </c>
      <c r="Z448" s="4">
        <v>264</v>
      </c>
      <c r="AA448" s="4">
        <v>319</v>
      </c>
      <c r="AB448" s="4">
        <v>5</v>
      </c>
      <c r="AC448" s="4">
        <v>5</v>
      </c>
      <c r="AD448" s="4">
        <v>14</v>
      </c>
      <c r="AE448" s="4">
        <v>16</v>
      </c>
      <c r="AF448" s="4">
        <v>5</v>
      </c>
      <c r="AG448" s="4">
        <v>5</v>
      </c>
      <c r="AH448" s="4">
        <v>2</v>
      </c>
      <c r="AI448" s="4">
        <v>3</v>
      </c>
      <c r="AJ448" s="4">
        <v>6</v>
      </c>
      <c r="AK448" s="4">
        <v>7</v>
      </c>
      <c r="AL448" s="4">
        <v>4</v>
      </c>
      <c r="AM448" s="4">
        <v>4</v>
      </c>
      <c r="AN448" s="4">
        <v>0</v>
      </c>
      <c r="AO448" s="4">
        <v>0</v>
      </c>
      <c r="AP448" s="3" t="s">
        <v>59</v>
      </c>
      <c r="AQ448" s="3" t="s">
        <v>70</v>
      </c>
      <c r="AR448" s="6" t="str">
        <f>HYPERLINK("http://catalog.hathitrust.org/Record/001071245","HathiTrust Record")</f>
        <v>HathiTrust Record</v>
      </c>
      <c r="AS448" s="6" t="str">
        <f>HYPERLINK("https://creighton-primo.hosted.exlibrisgroup.com/primo-explore/search?tab=default_tab&amp;search_scope=EVERYTHING&amp;vid=01CRU&amp;lang=en_US&amp;offset=0&amp;query=any,contains,991000956389702656","Catalog Record")</f>
        <v>Catalog Record</v>
      </c>
      <c r="AT448" s="6" t="str">
        <f>HYPERLINK("http://www.worldcat.org/oclc/14718989","WorldCat Record")</f>
        <v>WorldCat Record</v>
      </c>
      <c r="AU448" s="3" t="s">
        <v>5765</v>
      </c>
      <c r="AV448" s="3" t="s">
        <v>5766</v>
      </c>
      <c r="AW448" s="3" t="s">
        <v>5767</v>
      </c>
      <c r="AX448" s="3" t="s">
        <v>5767</v>
      </c>
      <c r="AY448" s="3" t="s">
        <v>5768</v>
      </c>
      <c r="AZ448" s="3" t="s">
        <v>75</v>
      </c>
      <c r="BB448" s="3" t="s">
        <v>5769</v>
      </c>
      <c r="BC448" s="3" t="s">
        <v>5770</v>
      </c>
      <c r="BD448" s="3" t="s">
        <v>5771</v>
      </c>
    </row>
    <row r="449" spans="1:56" ht="48" customHeight="1" x14ac:dyDescent="0.25">
      <c r="A449" s="7" t="s">
        <v>59</v>
      </c>
      <c r="B449" s="2" t="s">
        <v>5772</v>
      </c>
      <c r="C449" s="2" t="s">
        <v>5773</v>
      </c>
      <c r="D449" s="2" t="s">
        <v>5774</v>
      </c>
      <c r="F449" s="3" t="s">
        <v>59</v>
      </c>
      <c r="G449" s="3" t="s">
        <v>60</v>
      </c>
      <c r="H449" s="3" t="s">
        <v>59</v>
      </c>
      <c r="I449" s="3" t="s">
        <v>59</v>
      </c>
      <c r="J449" s="3" t="s">
        <v>61</v>
      </c>
      <c r="L449" s="2" t="s">
        <v>5775</v>
      </c>
      <c r="M449" s="3" t="s">
        <v>219</v>
      </c>
      <c r="O449" s="3" t="s">
        <v>64</v>
      </c>
      <c r="P449" s="3" t="s">
        <v>264</v>
      </c>
      <c r="R449" s="3" t="s">
        <v>67</v>
      </c>
      <c r="S449" s="4">
        <v>10</v>
      </c>
      <c r="T449" s="4">
        <v>10</v>
      </c>
      <c r="U449" s="5" t="s">
        <v>5776</v>
      </c>
      <c r="V449" s="5" t="s">
        <v>5776</v>
      </c>
      <c r="W449" s="5" t="s">
        <v>5777</v>
      </c>
      <c r="X449" s="5" t="s">
        <v>5777</v>
      </c>
      <c r="Y449" s="4">
        <v>291</v>
      </c>
      <c r="Z449" s="4">
        <v>226</v>
      </c>
      <c r="AA449" s="4">
        <v>241</v>
      </c>
      <c r="AB449" s="4">
        <v>2</v>
      </c>
      <c r="AC449" s="4">
        <v>2</v>
      </c>
      <c r="AD449" s="4">
        <v>11</v>
      </c>
      <c r="AE449" s="4">
        <v>11</v>
      </c>
      <c r="AF449" s="4">
        <v>2</v>
      </c>
      <c r="AG449" s="4">
        <v>2</v>
      </c>
      <c r="AH449" s="4">
        <v>3</v>
      </c>
      <c r="AI449" s="4">
        <v>3</v>
      </c>
      <c r="AJ449" s="4">
        <v>7</v>
      </c>
      <c r="AK449" s="4">
        <v>7</v>
      </c>
      <c r="AL449" s="4">
        <v>1</v>
      </c>
      <c r="AM449" s="4">
        <v>1</v>
      </c>
      <c r="AN449" s="4">
        <v>0</v>
      </c>
      <c r="AO449" s="4">
        <v>0</v>
      </c>
      <c r="AP449" s="3" t="s">
        <v>59</v>
      </c>
      <c r="AQ449" s="3" t="s">
        <v>70</v>
      </c>
      <c r="AR449" s="6" t="str">
        <f>HYPERLINK("http://catalog.hathitrust.org/Record/002168741","HathiTrust Record")</f>
        <v>HathiTrust Record</v>
      </c>
      <c r="AS449" s="6" t="str">
        <f>HYPERLINK("https://creighton-primo.hosted.exlibrisgroup.com/primo-explore/search?tab=default_tab&amp;search_scope=EVERYTHING&amp;vid=01CRU&amp;lang=en_US&amp;offset=0&amp;query=any,contains,991001601439702656","Catalog Record")</f>
        <v>Catalog Record</v>
      </c>
      <c r="AT449" s="6" t="str">
        <f>HYPERLINK("http://www.worldcat.org/oclc/20670782","WorldCat Record")</f>
        <v>WorldCat Record</v>
      </c>
      <c r="AU449" s="3" t="s">
        <v>5778</v>
      </c>
      <c r="AV449" s="3" t="s">
        <v>5779</v>
      </c>
      <c r="AW449" s="3" t="s">
        <v>5780</v>
      </c>
      <c r="AX449" s="3" t="s">
        <v>5780</v>
      </c>
      <c r="AY449" s="3" t="s">
        <v>5781</v>
      </c>
      <c r="AZ449" s="3" t="s">
        <v>75</v>
      </c>
      <c r="BB449" s="3" t="s">
        <v>5782</v>
      </c>
      <c r="BC449" s="3" t="s">
        <v>5783</v>
      </c>
      <c r="BD449" s="3" t="s">
        <v>5784</v>
      </c>
    </row>
    <row r="450" spans="1:56" ht="48" customHeight="1" x14ac:dyDescent="0.25">
      <c r="A450" s="7" t="s">
        <v>59</v>
      </c>
      <c r="B450" s="2" t="s">
        <v>5785</v>
      </c>
      <c r="C450" s="2" t="s">
        <v>5786</v>
      </c>
      <c r="D450" s="2" t="s">
        <v>5787</v>
      </c>
      <c r="F450" s="3" t="s">
        <v>59</v>
      </c>
      <c r="G450" s="3" t="s">
        <v>60</v>
      </c>
      <c r="H450" s="3" t="s">
        <v>59</v>
      </c>
      <c r="I450" s="3" t="s">
        <v>59</v>
      </c>
      <c r="J450" s="3" t="s">
        <v>61</v>
      </c>
      <c r="K450" s="2" t="s">
        <v>5788</v>
      </c>
      <c r="L450" s="2" t="s">
        <v>5789</v>
      </c>
      <c r="M450" s="3" t="s">
        <v>590</v>
      </c>
      <c r="O450" s="3" t="s">
        <v>64</v>
      </c>
      <c r="P450" s="3" t="s">
        <v>130</v>
      </c>
      <c r="Q450" s="2" t="s">
        <v>5790</v>
      </c>
      <c r="R450" s="3" t="s">
        <v>67</v>
      </c>
      <c r="S450" s="4">
        <v>14</v>
      </c>
      <c r="T450" s="4">
        <v>14</v>
      </c>
      <c r="U450" s="5" t="s">
        <v>5791</v>
      </c>
      <c r="V450" s="5" t="s">
        <v>5791</v>
      </c>
      <c r="W450" s="5" t="s">
        <v>5792</v>
      </c>
      <c r="X450" s="5" t="s">
        <v>5792</v>
      </c>
      <c r="Y450" s="4">
        <v>1368</v>
      </c>
      <c r="Z450" s="4">
        <v>1136</v>
      </c>
      <c r="AA450" s="4">
        <v>1246</v>
      </c>
      <c r="AB450" s="4">
        <v>8</v>
      </c>
      <c r="AC450" s="4">
        <v>8</v>
      </c>
      <c r="AD450" s="4">
        <v>41</v>
      </c>
      <c r="AE450" s="4">
        <v>43</v>
      </c>
      <c r="AF450" s="4">
        <v>19</v>
      </c>
      <c r="AG450" s="4">
        <v>20</v>
      </c>
      <c r="AH450" s="4">
        <v>5</v>
      </c>
      <c r="AI450" s="4">
        <v>6</v>
      </c>
      <c r="AJ450" s="4">
        <v>21</v>
      </c>
      <c r="AK450" s="4">
        <v>22</v>
      </c>
      <c r="AL450" s="4">
        <v>6</v>
      </c>
      <c r="AM450" s="4">
        <v>6</v>
      </c>
      <c r="AN450" s="4">
        <v>0</v>
      </c>
      <c r="AO450" s="4">
        <v>0</v>
      </c>
      <c r="AP450" s="3" t="s">
        <v>59</v>
      </c>
      <c r="AQ450" s="3" t="s">
        <v>59</v>
      </c>
      <c r="AS450" s="6" t="str">
        <f>HYPERLINK("https://creighton-primo.hosted.exlibrisgroup.com/primo-explore/search?tab=default_tab&amp;search_scope=EVERYTHING&amp;vid=01CRU&amp;lang=en_US&amp;offset=0&amp;query=any,contains,991001126359702656","Catalog Record")</f>
        <v>Catalog Record</v>
      </c>
      <c r="AT450" s="6" t="str">
        <f>HYPERLINK("http://www.worldcat.org/oclc/16649224","WorldCat Record")</f>
        <v>WorldCat Record</v>
      </c>
      <c r="AU450" s="3" t="s">
        <v>5793</v>
      </c>
      <c r="AV450" s="3" t="s">
        <v>5794</v>
      </c>
      <c r="AW450" s="3" t="s">
        <v>5795</v>
      </c>
      <c r="AX450" s="3" t="s">
        <v>5795</v>
      </c>
      <c r="AY450" s="3" t="s">
        <v>5796</v>
      </c>
      <c r="AZ450" s="3" t="s">
        <v>75</v>
      </c>
      <c r="BB450" s="3" t="s">
        <v>5797</v>
      </c>
      <c r="BC450" s="3" t="s">
        <v>5798</v>
      </c>
      <c r="BD450" s="3" t="s">
        <v>5799</v>
      </c>
    </row>
    <row r="451" spans="1:56" ht="48" customHeight="1" x14ac:dyDescent="0.25">
      <c r="A451" s="7" t="s">
        <v>59</v>
      </c>
      <c r="B451" s="2" t="s">
        <v>5800</v>
      </c>
      <c r="C451" s="2" t="s">
        <v>5801</v>
      </c>
      <c r="D451" s="2" t="s">
        <v>5802</v>
      </c>
      <c r="E451" s="3" t="s">
        <v>1470</v>
      </c>
      <c r="F451" s="3" t="s">
        <v>59</v>
      </c>
      <c r="G451" s="3" t="s">
        <v>60</v>
      </c>
      <c r="H451" s="3" t="s">
        <v>59</v>
      </c>
      <c r="I451" s="3" t="s">
        <v>59</v>
      </c>
      <c r="J451" s="3" t="s">
        <v>61</v>
      </c>
      <c r="L451" s="2" t="s">
        <v>5803</v>
      </c>
      <c r="M451" s="3" t="s">
        <v>1831</v>
      </c>
      <c r="O451" s="3" t="s">
        <v>64</v>
      </c>
      <c r="P451" s="3" t="s">
        <v>130</v>
      </c>
      <c r="R451" s="3" t="s">
        <v>67</v>
      </c>
      <c r="S451" s="4">
        <v>7</v>
      </c>
      <c r="T451" s="4">
        <v>7</v>
      </c>
      <c r="U451" s="5" t="s">
        <v>5776</v>
      </c>
      <c r="V451" s="5" t="s">
        <v>5776</v>
      </c>
      <c r="W451" s="5" t="s">
        <v>4108</v>
      </c>
      <c r="X451" s="5" t="s">
        <v>4108</v>
      </c>
      <c r="Y451" s="4">
        <v>416</v>
      </c>
      <c r="Z451" s="4">
        <v>350</v>
      </c>
      <c r="AA451" s="4">
        <v>352</v>
      </c>
      <c r="AB451" s="4">
        <v>3</v>
      </c>
      <c r="AC451" s="4">
        <v>3</v>
      </c>
      <c r="AD451" s="4">
        <v>18</v>
      </c>
      <c r="AE451" s="4">
        <v>18</v>
      </c>
      <c r="AF451" s="4">
        <v>6</v>
      </c>
      <c r="AG451" s="4">
        <v>6</v>
      </c>
      <c r="AH451" s="4">
        <v>5</v>
      </c>
      <c r="AI451" s="4">
        <v>5</v>
      </c>
      <c r="AJ451" s="4">
        <v>8</v>
      </c>
      <c r="AK451" s="4">
        <v>8</v>
      </c>
      <c r="AL451" s="4">
        <v>2</v>
      </c>
      <c r="AM451" s="4">
        <v>2</v>
      </c>
      <c r="AN451" s="4">
        <v>0</v>
      </c>
      <c r="AO451" s="4">
        <v>0</v>
      </c>
      <c r="AP451" s="3" t="s">
        <v>59</v>
      </c>
      <c r="AQ451" s="3" t="s">
        <v>70</v>
      </c>
      <c r="AR451" s="6" t="str">
        <f>HYPERLINK("http://catalog.hathitrust.org/Record/000228520","HathiTrust Record")</f>
        <v>HathiTrust Record</v>
      </c>
      <c r="AS451" s="6" t="str">
        <f>HYPERLINK("https://creighton-primo.hosted.exlibrisgroup.com/primo-explore/search?tab=default_tab&amp;search_scope=EVERYTHING&amp;vid=01CRU&amp;lang=en_US&amp;offset=0&amp;query=any,contains,991003843409702656","Catalog Record")</f>
        <v>Catalog Record</v>
      </c>
      <c r="AT451" s="6" t="str">
        <f>HYPERLINK("http://www.worldcat.org/oclc/1622244","WorldCat Record")</f>
        <v>WorldCat Record</v>
      </c>
      <c r="AU451" s="3" t="s">
        <v>5804</v>
      </c>
      <c r="AV451" s="3" t="s">
        <v>5805</v>
      </c>
      <c r="AW451" s="3" t="s">
        <v>5806</v>
      </c>
      <c r="AX451" s="3" t="s">
        <v>5806</v>
      </c>
      <c r="AY451" s="3" t="s">
        <v>5807</v>
      </c>
      <c r="AZ451" s="3" t="s">
        <v>75</v>
      </c>
      <c r="BB451" s="3" t="s">
        <v>5808</v>
      </c>
      <c r="BC451" s="3" t="s">
        <v>5809</v>
      </c>
      <c r="BD451" s="3" t="s">
        <v>5810</v>
      </c>
    </row>
    <row r="452" spans="1:56" ht="48" customHeight="1" x14ac:dyDescent="0.25">
      <c r="A452" s="7" t="s">
        <v>59</v>
      </c>
      <c r="B452" s="2" t="s">
        <v>5811</v>
      </c>
      <c r="C452" s="2" t="s">
        <v>5812</v>
      </c>
      <c r="D452" s="2" t="s">
        <v>5813</v>
      </c>
      <c r="F452" s="3" t="s">
        <v>59</v>
      </c>
      <c r="G452" s="3" t="s">
        <v>60</v>
      </c>
      <c r="H452" s="3" t="s">
        <v>59</v>
      </c>
      <c r="I452" s="3" t="s">
        <v>70</v>
      </c>
      <c r="J452" s="3" t="s">
        <v>61</v>
      </c>
      <c r="K452" s="2" t="s">
        <v>5814</v>
      </c>
      <c r="L452" s="2" t="s">
        <v>5815</v>
      </c>
      <c r="M452" s="3" t="s">
        <v>471</v>
      </c>
      <c r="O452" s="3" t="s">
        <v>64</v>
      </c>
      <c r="P452" s="3" t="s">
        <v>130</v>
      </c>
      <c r="R452" s="3" t="s">
        <v>67</v>
      </c>
      <c r="S452" s="4">
        <v>2</v>
      </c>
      <c r="T452" s="4">
        <v>2</v>
      </c>
      <c r="U452" s="5" t="s">
        <v>5816</v>
      </c>
      <c r="V452" s="5" t="s">
        <v>5816</v>
      </c>
      <c r="W452" s="5" t="s">
        <v>501</v>
      </c>
      <c r="X452" s="5" t="s">
        <v>501</v>
      </c>
      <c r="Y452" s="4">
        <v>444</v>
      </c>
      <c r="Z452" s="4">
        <v>343</v>
      </c>
      <c r="AA452" s="4">
        <v>532</v>
      </c>
      <c r="AB452" s="4">
        <v>5</v>
      </c>
      <c r="AC452" s="4">
        <v>8</v>
      </c>
      <c r="AD452" s="4">
        <v>15</v>
      </c>
      <c r="AE452" s="4">
        <v>25</v>
      </c>
      <c r="AF452" s="4">
        <v>4</v>
      </c>
      <c r="AG452" s="4">
        <v>9</v>
      </c>
      <c r="AH452" s="4">
        <v>2</v>
      </c>
      <c r="AI452" s="4">
        <v>4</v>
      </c>
      <c r="AJ452" s="4">
        <v>8</v>
      </c>
      <c r="AK452" s="4">
        <v>11</v>
      </c>
      <c r="AL452" s="4">
        <v>4</v>
      </c>
      <c r="AM452" s="4">
        <v>7</v>
      </c>
      <c r="AN452" s="4">
        <v>0</v>
      </c>
      <c r="AO452" s="4">
        <v>0</v>
      </c>
      <c r="AP452" s="3" t="s">
        <v>59</v>
      </c>
      <c r="AQ452" s="3" t="s">
        <v>70</v>
      </c>
      <c r="AR452" s="6" t="str">
        <f>HYPERLINK("http://catalog.hathitrust.org/Record/001554880","HathiTrust Record")</f>
        <v>HathiTrust Record</v>
      </c>
      <c r="AS452" s="6" t="str">
        <f>HYPERLINK("https://creighton-primo.hosted.exlibrisgroup.com/primo-explore/search?tab=default_tab&amp;search_scope=EVERYTHING&amp;vid=01CRU&amp;lang=en_US&amp;offset=0&amp;query=any,contains,991003364969702656","Catalog Record")</f>
        <v>Catalog Record</v>
      </c>
      <c r="AT452" s="6" t="str">
        <f>HYPERLINK("http://www.worldcat.org/oclc/901104","WorldCat Record")</f>
        <v>WorldCat Record</v>
      </c>
      <c r="AU452" s="3" t="s">
        <v>5817</v>
      </c>
      <c r="AV452" s="3" t="s">
        <v>5818</v>
      </c>
      <c r="AW452" s="3" t="s">
        <v>5819</v>
      </c>
      <c r="AX452" s="3" t="s">
        <v>5819</v>
      </c>
      <c r="AY452" s="3" t="s">
        <v>5820</v>
      </c>
      <c r="AZ452" s="3" t="s">
        <v>75</v>
      </c>
      <c r="BB452" s="3" t="s">
        <v>5821</v>
      </c>
      <c r="BC452" s="3" t="s">
        <v>5822</v>
      </c>
      <c r="BD452" s="3" t="s">
        <v>5823</v>
      </c>
    </row>
    <row r="453" spans="1:56" ht="48" customHeight="1" x14ac:dyDescent="0.25">
      <c r="A453" s="7" t="s">
        <v>59</v>
      </c>
      <c r="B453" s="2" t="s">
        <v>5824</v>
      </c>
      <c r="C453" s="2" t="s">
        <v>5825</v>
      </c>
      <c r="D453" s="2" t="s">
        <v>5826</v>
      </c>
      <c r="F453" s="3" t="s">
        <v>59</v>
      </c>
      <c r="G453" s="3" t="s">
        <v>60</v>
      </c>
      <c r="H453" s="3" t="s">
        <v>59</v>
      </c>
      <c r="I453" s="3" t="s">
        <v>59</v>
      </c>
      <c r="J453" s="3" t="s">
        <v>61</v>
      </c>
      <c r="K453" s="2" t="s">
        <v>5827</v>
      </c>
      <c r="L453" s="2" t="s">
        <v>5828</v>
      </c>
      <c r="M453" s="3" t="s">
        <v>145</v>
      </c>
      <c r="O453" s="3" t="s">
        <v>64</v>
      </c>
      <c r="P453" s="3" t="s">
        <v>84</v>
      </c>
      <c r="R453" s="3" t="s">
        <v>67</v>
      </c>
      <c r="S453" s="4">
        <v>5</v>
      </c>
      <c r="T453" s="4">
        <v>5</v>
      </c>
      <c r="U453" s="5" t="s">
        <v>5776</v>
      </c>
      <c r="V453" s="5" t="s">
        <v>5776</v>
      </c>
      <c r="W453" s="5" t="s">
        <v>4108</v>
      </c>
      <c r="X453" s="5" t="s">
        <v>4108</v>
      </c>
      <c r="Y453" s="4">
        <v>402</v>
      </c>
      <c r="Z453" s="4">
        <v>281</v>
      </c>
      <c r="AA453" s="4">
        <v>283</v>
      </c>
      <c r="AB453" s="4">
        <v>3</v>
      </c>
      <c r="AC453" s="4">
        <v>3</v>
      </c>
      <c r="AD453" s="4">
        <v>11</v>
      </c>
      <c r="AE453" s="4">
        <v>11</v>
      </c>
      <c r="AF453" s="4">
        <v>3</v>
      </c>
      <c r="AG453" s="4">
        <v>3</v>
      </c>
      <c r="AH453" s="4">
        <v>3</v>
      </c>
      <c r="AI453" s="4">
        <v>3</v>
      </c>
      <c r="AJ453" s="4">
        <v>8</v>
      </c>
      <c r="AK453" s="4">
        <v>8</v>
      </c>
      <c r="AL453" s="4">
        <v>1</v>
      </c>
      <c r="AM453" s="4">
        <v>1</v>
      </c>
      <c r="AN453" s="4">
        <v>0</v>
      </c>
      <c r="AO453" s="4">
        <v>0</v>
      </c>
      <c r="AP453" s="3" t="s">
        <v>59</v>
      </c>
      <c r="AQ453" s="3" t="s">
        <v>70</v>
      </c>
      <c r="AR453" s="6" t="str">
        <f>HYPERLINK("http://catalog.hathitrust.org/Record/000220322","HathiTrust Record")</f>
        <v>HathiTrust Record</v>
      </c>
      <c r="AS453" s="6" t="str">
        <f>HYPERLINK("https://creighton-primo.hosted.exlibrisgroup.com/primo-explore/search?tab=default_tab&amp;search_scope=EVERYTHING&amp;vid=01CRU&amp;lang=en_US&amp;offset=0&amp;query=any,contains,991005266139702656","Catalog Record")</f>
        <v>Catalog Record</v>
      </c>
      <c r="AT453" s="6" t="str">
        <f>HYPERLINK("http://www.worldcat.org/oclc/4430731","WorldCat Record")</f>
        <v>WorldCat Record</v>
      </c>
      <c r="AU453" s="3" t="s">
        <v>5829</v>
      </c>
      <c r="AV453" s="3" t="s">
        <v>5830</v>
      </c>
      <c r="AW453" s="3" t="s">
        <v>5831</v>
      </c>
      <c r="AX453" s="3" t="s">
        <v>5831</v>
      </c>
      <c r="AY453" s="3" t="s">
        <v>5832</v>
      </c>
      <c r="AZ453" s="3" t="s">
        <v>75</v>
      </c>
      <c r="BB453" s="3" t="s">
        <v>5833</v>
      </c>
      <c r="BC453" s="3" t="s">
        <v>5834</v>
      </c>
      <c r="BD453" s="3" t="s">
        <v>5835</v>
      </c>
    </row>
    <row r="454" spans="1:56" ht="48" customHeight="1" x14ac:dyDescent="0.25">
      <c r="A454" s="7" t="s">
        <v>59</v>
      </c>
      <c r="B454" s="2" t="s">
        <v>5836</v>
      </c>
      <c r="C454" s="2" t="s">
        <v>5837</v>
      </c>
      <c r="D454" s="2" t="s">
        <v>5838</v>
      </c>
      <c r="F454" s="3" t="s">
        <v>59</v>
      </c>
      <c r="G454" s="3" t="s">
        <v>60</v>
      </c>
      <c r="H454" s="3" t="s">
        <v>59</v>
      </c>
      <c r="I454" s="3" t="s">
        <v>59</v>
      </c>
      <c r="J454" s="3" t="s">
        <v>61</v>
      </c>
      <c r="K454" s="2" t="s">
        <v>5839</v>
      </c>
      <c r="L454" s="2" t="s">
        <v>978</v>
      </c>
      <c r="M454" s="3" t="s">
        <v>113</v>
      </c>
      <c r="O454" s="3" t="s">
        <v>64</v>
      </c>
      <c r="P454" s="3" t="s">
        <v>130</v>
      </c>
      <c r="Q454" s="2" t="s">
        <v>5840</v>
      </c>
      <c r="R454" s="3" t="s">
        <v>67</v>
      </c>
      <c r="S454" s="4">
        <v>4</v>
      </c>
      <c r="T454" s="4">
        <v>4</v>
      </c>
      <c r="U454" s="5" t="s">
        <v>4820</v>
      </c>
      <c r="V454" s="5" t="s">
        <v>4820</v>
      </c>
      <c r="W454" s="5" t="s">
        <v>4108</v>
      </c>
      <c r="X454" s="5" t="s">
        <v>4108</v>
      </c>
      <c r="Y454" s="4">
        <v>181</v>
      </c>
      <c r="Z454" s="4">
        <v>143</v>
      </c>
      <c r="AA454" s="4">
        <v>156</v>
      </c>
      <c r="AB454" s="4">
        <v>1</v>
      </c>
      <c r="AC454" s="4">
        <v>1</v>
      </c>
      <c r="AD454" s="4">
        <v>5</v>
      </c>
      <c r="AE454" s="4">
        <v>5</v>
      </c>
      <c r="AF454" s="4">
        <v>0</v>
      </c>
      <c r="AG454" s="4">
        <v>0</v>
      </c>
      <c r="AH454" s="4">
        <v>3</v>
      </c>
      <c r="AI454" s="4">
        <v>3</v>
      </c>
      <c r="AJ454" s="4">
        <v>4</v>
      </c>
      <c r="AK454" s="4">
        <v>4</v>
      </c>
      <c r="AL454" s="4">
        <v>0</v>
      </c>
      <c r="AM454" s="4">
        <v>0</v>
      </c>
      <c r="AN454" s="4">
        <v>0</v>
      </c>
      <c r="AO454" s="4">
        <v>0</v>
      </c>
      <c r="AP454" s="3" t="s">
        <v>59</v>
      </c>
      <c r="AQ454" s="3" t="s">
        <v>70</v>
      </c>
      <c r="AR454" s="6" t="str">
        <f>HYPERLINK("http://catalog.hathitrust.org/Record/003911200","HathiTrust Record")</f>
        <v>HathiTrust Record</v>
      </c>
      <c r="AS454" s="6" t="str">
        <f>HYPERLINK("https://creighton-primo.hosted.exlibrisgroup.com/primo-explore/search?tab=default_tab&amp;search_scope=EVERYTHING&amp;vid=01CRU&amp;lang=en_US&amp;offset=0&amp;query=any,contains,991001082499702656","Catalog Record")</f>
        <v>Catalog Record</v>
      </c>
      <c r="AT454" s="6" t="str">
        <f>HYPERLINK("http://www.worldcat.org/oclc/16090350","WorldCat Record")</f>
        <v>WorldCat Record</v>
      </c>
      <c r="AU454" s="3" t="s">
        <v>5841</v>
      </c>
      <c r="AV454" s="3" t="s">
        <v>5842</v>
      </c>
      <c r="AW454" s="3" t="s">
        <v>5843</v>
      </c>
      <c r="AX454" s="3" t="s">
        <v>5843</v>
      </c>
      <c r="AY454" s="3" t="s">
        <v>5844</v>
      </c>
      <c r="AZ454" s="3" t="s">
        <v>75</v>
      </c>
      <c r="BB454" s="3" t="s">
        <v>5845</v>
      </c>
      <c r="BC454" s="3" t="s">
        <v>5846</v>
      </c>
      <c r="BD454" s="3" t="s">
        <v>5847</v>
      </c>
    </row>
    <row r="455" spans="1:56" ht="48" customHeight="1" x14ac:dyDescent="0.25">
      <c r="A455" s="7" t="s">
        <v>59</v>
      </c>
      <c r="B455" s="2" t="s">
        <v>5848</v>
      </c>
      <c r="C455" s="2" t="s">
        <v>5849</v>
      </c>
      <c r="D455" s="2" t="s">
        <v>5850</v>
      </c>
      <c r="F455" s="3" t="s">
        <v>59</v>
      </c>
      <c r="G455" s="3" t="s">
        <v>60</v>
      </c>
      <c r="H455" s="3" t="s">
        <v>70</v>
      </c>
      <c r="I455" s="3" t="s">
        <v>59</v>
      </c>
      <c r="J455" s="3" t="s">
        <v>61</v>
      </c>
      <c r="L455" s="2" t="s">
        <v>5851</v>
      </c>
      <c r="M455" s="3" t="s">
        <v>897</v>
      </c>
      <c r="O455" s="3" t="s">
        <v>64</v>
      </c>
      <c r="P455" s="3" t="s">
        <v>130</v>
      </c>
      <c r="R455" s="3" t="s">
        <v>67</v>
      </c>
      <c r="S455" s="4">
        <v>2</v>
      </c>
      <c r="T455" s="4">
        <v>7</v>
      </c>
      <c r="U455" s="5" t="s">
        <v>5852</v>
      </c>
      <c r="V455" s="5" t="s">
        <v>5853</v>
      </c>
      <c r="W455" s="5" t="s">
        <v>3606</v>
      </c>
      <c r="X455" s="5" t="s">
        <v>3606</v>
      </c>
      <c r="Y455" s="4">
        <v>237</v>
      </c>
      <c r="Z455" s="4">
        <v>178</v>
      </c>
      <c r="AA455" s="4">
        <v>183</v>
      </c>
      <c r="AB455" s="4">
        <v>2</v>
      </c>
      <c r="AC455" s="4">
        <v>2</v>
      </c>
      <c r="AD455" s="4">
        <v>8</v>
      </c>
      <c r="AE455" s="4">
        <v>8</v>
      </c>
      <c r="AF455" s="4">
        <v>1</v>
      </c>
      <c r="AG455" s="4">
        <v>1</v>
      </c>
      <c r="AH455" s="4">
        <v>3</v>
      </c>
      <c r="AI455" s="4">
        <v>3</v>
      </c>
      <c r="AJ455" s="4">
        <v>5</v>
      </c>
      <c r="AK455" s="4">
        <v>5</v>
      </c>
      <c r="AL455" s="4">
        <v>0</v>
      </c>
      <c r="AM455" s="4">
        <v>0</v>
      </c>
      <c r="AN455" s="4">
        <v>0</v>
      </c>
      <c r="AO455" s="4">
        <v>0</v>
      </c>
      <c r="AP455" s="3" t="s">
        <v>59</v>
      </c>
      <c r="AQ455" s="3" t="s">
        <v>59</v>
      </c>
      <c r="AS455" s="6" t="str">
        <f>HYPERLINK("https://creighton-primo.hosted.exlibrisgroup.com/primo-explore/search?tab=default_tab&amp;search_scope=EVERYTHING&amp;vid=01CRU&amp;lang=en_US&amp;offset=0&amp;query=any,contains,991001793669702656","Catalog Record")</f>
        <v>Catalog Record</v>
      </c>
      <c r="AT455" s="6" t="str">
        <f>HYPERLINK("http://www.worldcat.org/oclc/22388270","WorldCat Record")</f>
        <v>WorldCat Record</v>
      </c>
      <c r="AU455" s="3" t="s">
        <v>5854</v>
      </c>
      <c r="AV455" s="3" t="s">
        <v>5855</v>
      </c>
      <c r="AW455" s="3" t="s">
        <v>5856</v>
      </c>
      <c r="AX455" s="3" t="s">
        <v>5856</v>
      </c>
      <c r="AY455" s="3" t="s">
        <v>5857</v>
      </c>
      <c r="AZ455" s="3" t="s">
        <v>75</v>
      </c>
      <c r="BB455" s="3" t="s">
        <v>5858</v>
      </c>
      <c r="BC455" s="3" t="s">
        <v>5859</v>
      </c>
      <c r="BD455" s="3" t="s">
        <v>5860</v>
      </c>
    </row>
    <row r="456" spans="1:56" ht="48" customHeight="1" x14ac:dyDescent="0.25">
      <c r="A456" s="7" t="s">
        <v>59</v>
      </c>
      <c r="B456" s="2" t="s">
        <v>5861</v>
      </c>
      <c r="C456" s="2" t="s">
        <v>5862</v>
      </c>
      <c r="D456" s="2" t="s">
        <v>5863</v>
      </c>
      <c r="F456" s="3" t="s">
        <v>59</v>
      </c>
      <c r="G456" s="3" t="s">
        <v>60</v>
      </c>
      <c r="H456" s="3" t="s">
        <v>59</v>
      </c>
      <c r="I456" s="3" t="s">
        <v>59</v>
      </c>
      <c r="J456" s="3" t="s">
        <v>61</v>
      </c>
      <c r="K456" s="2" t="s">
        <v>5864</v>
      </c>
      <c r="L456" s="2" t="s">
        <v>5865</v>
      </c>
      <c r="M456" s="3" t="s">
        <v>1338</v>
      </c>
      <c r="N456" s="2" t="s">
        <v>5544</v>
      </c>
      <c r="O456" s="3" t="s">
        <v>64</v>
      </c>
      <c r="P456" s="3" t="s">
        <v>130</v>
      </c>
      <c r="R456" s="3" t="s">
        <v>67</v>
      </c>
      <c r="S456" s="4">
        <v>9</v>
      </c>
      <c r="T456" s="4">
        <v>9</v>
      </c>
      <c r="U456" s="5" t="s">
        <v>5866</v>
      </c>
      <c r="V456" s="5" t="s">
        <v>5866</v>
      </c>
      <c r="W456" s="5" t="s">
        <v>5867</v>
      </c>
      <c r="X456" s="5" t="s">
        <v>5867</v>
      </c>
      <c r="Y456" s="4">
        <v>200</v>
      </c>
      <c r="Z456" s="4">
        <v>190</v>
      </c>
      <c r="AA456" s="4">
        <v>194</v>
      </c>
      <c r="AB456" s="4">
        <v>2</v>
      </c>
      <c r="AC456" s="4">
        <v>2</v>
      </c>
      <c r="AD456" s="4">
        <v>3</v>
      </c>
      <c r="AE456" s="4">
        <v>3</v>
      </c>
      <c r="AF456" s="4">
        <v>0</v>
      </c>
      <c r="AG456" s="4">
        <v>0</v>
      </c>
      <c r="AH456" s="4">
        <v>1</v>
      </c>
      <c r="AI456" s="4">
        <v>1</v>
      </c>
      <c r="AJ456" s="4">
        <v>1</v>
      </c>
      <c r="AK456" s="4">
        <v>1</v>
      </c>
      <c r="AL456" s="4">
        <v>1</v>
      </c>
      <c r="AM456" s="4">
        <v>1</v>
      </c>
      <c r="AN456" s="4">
        <v>0</v>
      </c>
      <c r="AO456" s="4">
        <v>0</v>
      </c>
      <c r="AP456" s="3" t="s">
        <v>59</v>
      </c>
      <c r="AQ456" s="3" t="s">
        <v>70</v>
      </c>
      <c r="AR456" s="6" t="str">
        <f>HYPERLINK("http://catalog.hathitrust.org/Record/001554886","HathiTrust Record")</f>
        <v>HathiTrust Record</v>
      </c>
      <c r="AS456" s="6" t="str">
        <f>HYPERLINK("https://creighton-primo.hosted.exlibrisgroup.com/primo-explore/search?tab=default_tab&amp;search_scope=EVERYTHING&amp;vid=01CRU&amp;lang=en_US&amp;offset=0&amp;query=any,contains,991003480389702656","Catalog Record")</f>
        <v>Catalog Record</v>
      </c>
      <c r="AT456" s="6" t="str">
        <f>HYPERLINK("http://www.worldcat.org/oclc/1027393","WorldCat Record")</f>
        <v>WorldCat Record</v>
      </c>
      <c r="AU456" s="3" t="s">
        <v>5868</v>
      </c>
      <c r="AV456" s="3" t="s">
        <v>5869</v>
      </c>
      <c r="AW456" s="3" t="s">
        <v>5870</v>
      </c>
      <c r="AX456" s="3" t="s">
        <v>5870</v>
      </c>
      <c r="AY456" s="3" t="s">
        <v>5871</v>
      </c>
      <c r="AZ456" s="3" t="s">
        <v>75</v>
      </c>
      <c r="BC456" s="3" t="s">
        <v>5872</v>
      </c>
      <c r="BD456" s="3" t="s">
        <v>5873</v>
      </c>
    </row>
    <row r="457" spans="1:56" ht="48" customHeight="1" x14ac:dyDescent="0.25">
      <c r="A457" s="7" t="s">
        <v>59</v>
      </c>
      <c r="B457" s="2" t="s">
        <v>5874</v>
      </c>
      <c r="C457" s="2" t="s">
        <v>5875</v>
      </c>
      <c r="D457" s="2" t="s">
        <v>5876</v>
      </c>
      <c r="F457" s="3" t="s">
        <v>59</v>
      </c>
      <c r="G457" s="3" t="s">
        <v>60</v>
      </c>
      <c r="H457" s="3" t="s">
        <v>59</v>
      </c>
      <c r="I457" s="3" t="s">
        <v>59</v>
      </c>
      <c r="J457" s="3" t="s">
        <v>61</v>
      </c>
      <c r="K457" s="2" t="s">
        <v>5877</v>
      </c>
      <c r="L457" s="2" t="s">
        <v>5878</v>
      </c>
      <c r="M457" s="3" t="s">
        <v>113</v>
      </c>
      <c r="O457" s="3" t="s">
        <v>64</v>
      </c>
      <c r="P457" s="3" t="s">
        <v>264</v>
      </c>
      <c r="R457" s="3" t="s">
        <v>67</v>
      </c>
      <c r="S457" s="4">
        <v>2</v>
      </c>
      <c r="T457" s="4">
        <v>2</v>
      </c>
      <c r="U457" s="5" t="s">
        <v>5879</v>
      </c>
      <c r="V457" s="5" t="s">
        <v>5879</v>
      </c>
      <c r="W457" s="5" t="s">
        <v>133</v>
      </c>
      <c r="X457" s="5" t="s">
        <v>133</v>
      </c>
      <c r="Y457" s="4">
        <v>427</v>
      </c>
      <c r="Z457" s="4">
        <v>333</v>
      </c>
      <c r="AA457" s="4">
        <v>333</v>
      </c>
      <c r="AB457" s="4">
        <v>3</v>
      </c>
      <c r="AC457" s="4">
        <v>3</v>
      </c>
      <c r="AD457" s="4">
        <v>14</v>
      </c>
      <c r="AE457" s="4">
        <v>14</v>
      </c>
      <c r="AF457" s="4">
        <v>3</v>
      </c>
      <c r="AG457" s="4">
        <v>3</v>
      </c>
      <c r="AH457" s="4">
        <v>4</v>
      </c>
      <c r="AI457" s="4">
        <v>4</v>
      </c>
      <c r="AJ457" s="4">
        <v>8</v>
      </c>
      <c r="AK457" s="4">
        <v>8</v>
      </c>
      <c r="AL457" s="4">
        <v>2</v>
      </c>
      <c r="AM457" s="4">
        <v>2</v>
      </c>
      <c r="AN457" s="4">
        <v>0</v>
      </c>
      <c r="AO457" s="4">
        <v>0</v>
      </c>
      <c r="AP457" s="3" t="s">
        <v>59</v>
      </c>
      <c r="AQ457" s="3" t="s">
        <v>59</v>
      </c>
      <c r="AS457" s="6" t="str">
        <f>HYPERLINK("https://creighton-primo.hosted.exlibrisgroup.com/primo-explore/search?tab=default_tab&amp;search_scope=EVERYTHING&amp;vid=01CRU&amp;lang=en_US&amp;offset=0&amp;query=any,contains,991000871319702656","Catalog Record")</f>
        <v>Catalog Record</v>
      </c>
      <c r="AT457" s="6" t="str">
        <f>HYPERLINK("http://www.worldcat.org/oclc/13792967","WorldCat Record")</f>
        <v>WorldCat Record</v>
      </c>
      <c r="AU457" s="3" t="s">
        <v>5880</v>
      </c>
      <c r="AV457" s="3" t="s">
        <v>5881</v>
      </c>
      <c r="AW457" s="3" t="s">
        <v>5882</v>
      </c>
      <c r="AX457" s="3" t="s">
        <v>5882</v>
      </c>
      <c r="AY457" s="3" t="s">
        <v>5883</v>
      </c>
      <c r="AZ457" s="3" t="s">
        <v>75</v>
      </c>
      <c r="BB457" s="3" t="s">
        <v>5884</v>
      </c>
      <c r="BC457" s="3" t="s">
        <v>5885</v>
      </c>
      <c r="BD457" s="3" t="s">
        <v>5886</v>
      </c>
    </row>
    <row r="458" spans="1:56" ht="48" customHeight="1" x14ac:dyDescent="0.25">
      <c r="A458" s="7" t="s">
        <v>59</v>
      </c>
      <c r="B458" s="2" t="s">
        <v>5887</v>
      </c>
      <c r="C458" s="2" t="s">
        <v>5888</v>
      </c>
      <c r="D458" s="2" t="s">
        <v>5889</v>
      </c>
      <c r="F458" s="3" t="s">
        <v>59</v>
      </c>
      <c r="G458" s="3" t="s">
        <v>60</v>
      </c>
      <c r="H458" s="3" t="s">
        <v>59</v>
      </c>
      <c r="I458" s="3" t="s">
        <v>59</v>
      </c>
      <c r="J458" s="3" t="s">
        <v>61</v>
      </c>
      <c r="K458" s="2" t="s">
        <v>5890</v>
      </c>
      <c r="L458" s="2" t="s">
        <v>5891</v>
      </c>
      <c r="M458" s="3" t="s">
        <v>319</v>
      </c>
      <c r="O458" s="3" t="s">
        <v>64</v>
      </c>
      <c r="P458" s="3" t="s">
        <v>130</v>
      </c>
      <c r="R458" s="3" t="s">
        <v>67</v>
      </c>
      <c r="S458" s="4">
        <v>2</v>
      </c>
      <c r="T458" s="4">
        <v>2</v>
      </c>
      <c r="U458" s="5" t="s">
        <v>5892</v>
      </c>
      <c r="V458" s="5" t="s">
        <v>5892</v>
      </c>
      <c r="W458" s="5" t="s">
        <v>5893</v>
      </c>
      <c r="X458" s="5" t="s">
        <v>5893</v>
      </c>
      <c r="Y458" s="4">
        <v>288</v>
      </c>
      <c r="Z458" s="4">
        <v>261</v>
      </c>
      <c r="AA458" s="4">
        <v>261</v>
      </c>
      <c r="AB458" s="4">
        <v>3</v>
      </c>
      <c r="AC458" s="4">
        <v>3</v>
      </c>
      <c r="AD458" s="4">
        <v>11</v>
      </c>
      <c r="AE458" s="4">
        <v>11</v>
      </c>
      <c r="AF458" s="4">
        <v>4</v>
      </c>
      <c r="AG458" s="4">
        <v>4</v>
      </c>
      <c r="AH458" s="4">
        <v>1</v>
      </c>
      <c r="AI458" s="4">
        <v>1</v>
      </c>
      <c r="AJ458" s="4">
        <v>4</v>
      </c>
      <c r="AK458" s="4">
        <v>4</v>
      </c>
      <c r="AL458" s="4">
        <v>2</v>
      </c>
      <c r="AM458" s="4">
        <v>2</v>
      </c>
      <c r="AN458" s="4">
        <v>0</v>
      </c>
      <c r="AO458" s="4">
        <v>0</v>
      </c>
      <c r="AP458" s="3" t="s">
        <v>59</v>
      </c>
      <c r="AQ458" s="3" t="s">
        <v>59</v>
      </c>
      <c r="AS458" s="6" t="str">
        <f>HYPERLINK("https://creighton-primo.hosted.exlibrisgroup.com/primo-explore/search?tab=default_tab&amp;search_scope=EVERYTHING&amp;vid=01CRU&amp;lang=en_US&amp;offset=0&amp;query=any,contains,991000300679702656","Catalog Record")</f>
        <v>Catalog Record</v>
      </c>
      <c r="AT458" s="6" t="str">
        <f>HYPERLINK("http://www.worldcat.org/oclc/10021699","WorldCat Record")</f>
        <v>WorldCat Record</v>
      </c>
      <c r="AU458" s="3" t="s">
        <v>5894</v>
      </c>
      <c r="AV458" s="3" t="s">
        <v>5895</v>
      </c>
      <c r="AW458" s="3" t="s">
        <v>5896</v>
      </c>
      <c r="AX458" s="3" t="s">
        <v>5896</v>
      </c>
      <c r="AY458" s="3" t="s">
        <v>5897</v>
      </c>
      <c r="AZ458" s="3" t="s">
        <v>75</v>
      </c>
      <c r="BB458" s="3" t="s">
        <v>5898</v>
      </c>
      <c r="BC458" s="3" t="s">
        <v>5899</v>
      </c>
      <c r="BD458" s="3" t="s">
        <v>5900</v>
      </c>
    </row>
    <row r="459" spans="1:56" ht="48" customHeight="1" x14ac:dyDescent="0.25">
      <c r="A459" s="7" t="s">
        <v>59</v>
      </c>
      <c r="B459" s="2" t="s">
        <v>5901</v>
      </c>
      <c r="C459" s="2" t="s">
        <v>5902</v>
      </c>
      <c r="D459" s="2" t="s">
        <v>5903</v>
      </c>
      <c r="F459" s="3" t="s">
        <v>59</v>
      </c>
      <c r="G459" s="3" t="s">
        <v>60</v>
      </c>
      <c r="H459" s="3" t="s">
        <v>70</v>
      </c>
      <c r="I459" s="3" t="s">
        <v>59</v>
      </c>
      <c r="J459" s="3" t="s">
        <v>61</v>
      </c>
      <c r="L459" s="2" t="s">
        <v>4195</v>
      </c>
      <c r="M459" s="3" t="s">
        <v>161</v>
      </c>
      <c r="O459" s="3" t="s">
        <v>64</v>
      </c>
      <c r="P459" s="3" t="s">
        <v>130</v>
      </c>
      <c r="Q459" s="2" t="s">
        <v>5904</v>
      </c>
      <c r="R459" s="3" t="s">
        <v>67</v>
      </c>
      <c r="S459" s="4">
        <v>23</v>
      </c>
      <c r="T459" s="4">
        <v>23</v>
      </c>
      <c r="U459" s="5" t="s">
        <v>5905</v>
      </c>
      <c r="V459" s="5" t="s">
        <v>5905</v>
      </c>
      <c r="W459" s="5" t="s">
        <v>2773</v>
      </c>
      <c r="X459" s="5" t="s">
        <v>2773</v>
      </c>
      <c r="Y459" s="4">
        <v>684</v>
      </c>
      <c r="Z459" s="4">
        <v>529</v>
      </c>
      <c r="AA459" s="4">
        <v>569</v>
      </c>
      <c r="AB459" s="4">
        <v>6</v>
      </c>
      <c r="AC459" s="4">
        <v>6</v>
      </c>
      <c r="AD459" s="4">
        <v>28</v>
      </c>
      <c r="AE459" s="4">
        <v>30</v>
      </c>
      <c r="AF459" s="4">
        <v>12</v>
      </c>
      <c r="AG459" s="4">
        <v>13</v>
      </c>
      <c r="AH459" s="4">
        <v>5</v>
      </c>
      <c r="AI459" s="4">
        <v>7</v>
      </c>
      <c r="AJ459" s="4">
        <v>14</v>
      </c>
      <c r="AK459" s="4">
        <v>14</v>
      </c>
      <c r="AL459" s="4">
        <v>4</v>
      </c>
      <c r="AM459" s="4">
        <v>4</v>
      </c>
      <c r="AN459" s="4">
        <v>0</v>
      </c>
      <c r="AO459" s="4">
        <v>0</v>
      </c>
      <c r="AP459" s="3" t="s">
        <v>59</v>
      </c>
      <c r="AQ459" s="3" t="s">
        <v>70</v>
      </c>
      <c r="AR459" s="6" t="str">
        <f>HYPERLINK("http://catalog.hathitrust.org/Record/000708284","HathiTrust Record")</f>
        <v>HathiTrust Record</v>
      </c>
      <c r="AS459" s="6" t="str">
        <f>HYPERLINK("https://creighton-primo.hosted.exlibrisgroup.com/primo-explore/search?tab=default_tab&amp;search_scope=EVERYTHING&amp;vid=01CRU&amp;lang=en_US&amp;offset=0&amp;query=any,contains,991004857079702656","Catalog Record")</f>
        <v>Catalog Record</v>
      </c>
      <c r="AT459" s="6" t="str">
        <f>HYPERLINK("http://www.worldcat.org/oclc/5675807","WorldCat Record")</f>
        <v>WorldCat Record</v>
      </c>
      <c r="AU459" s="3" t="s">
        <v>5906</v>
      </c>
      <c r="AV459" s="3" t="s">
        <v>5907</v>
      </c>
      <c r="AW459" s="3" t="s">
        <v>5908</v>
      </c>
      <c r="AX459" s="3" t="s">
        <v>5908</v>
      </c>
      <c r="AY459" s="3" t="s">
        <v>5909</v>
      </c>
      <c r="AZ459" s="3" t="s">
        <v>75</v>
      </c>
      <c r="BB459" s="3" t="s">
        <v>5910</v>
      </c>
      <c r="BC459" s="3" t="s">
        <v>5911</v>
      </c>
      <c r="BD459" s="3" t="s">
        <v>5912</v>
      </c>
    </row>
    <row r="460" spans="1:56" ht="48" customHeight="1" x14ac:dyDescent="0.25">
      <c r="A460" s="7" t="s">
        <v>59</v>
      </c>
      <c r="B460" s="2" t="s">
        <v>5913</v>
      </c>
      <c r="C460" s="2" t="s">
        <v>5914</v>
      </c>
      <c r="D460" s="2" t="s">
        <v>5915</v>
      </c>
      <c r="F460" s="3" t="s">
        <v>59</v>
      </c>
      <c r="G460" s="3" t="s">
        <v>60</v>
      </c>
      <c r="H460" s="3" t="s">
        <v>59</v>
      </c>
      <c r="I460" s="3" t="s">
        <v>59</v>
      </c>
      <c r="J460" s="3" t="s">
        <v>61</v>
      </c>
      <c r="K460" s="2" t="s">
        <v>4594</v>
      </c>
      <c r="L460" s="2" t="s">
        <v>5916</v>
      </c>
      <c r="M460" s="3" t="s">
        <v>1986</v>
      </c>
      <c r="O460" s="3" t="s">
        <v>64</v>
      </c>
      <c r="P460" s="3" t="s">
        <v>264</v>
      </c>
      <c r="Q460" s="2" t="s">
        <v>5917</v>
      </c>
      <c r="R460" s="3" t="s">
        <v>67</v>
      </c>
      <c r="S460" s="4">
        <v>4</v>
      </c>
      <c r="T460" s="4">
        <v>4</v>
      </c>
      <c r="U460" s="5" t="s">
        <v>5918</v>
      </c>
      <c r="V460" s="5" t="s">
        <v>5918</v>
      </c>
      <c r="W460" s="5" t="s">
        <v>5919</v>
      </c>
      <c r="X460" s="5" t="s">
        <v>5919</v>
      </c>
      <c r="Y460" s="4">
        <v>417</v>
      </c>
      <c r="Z460" s="4">
        <v>297</v>
      </c>
      <c r="AA460" s="4">
        <v>316</v>
      </c>
      <c r="AB460" s="4">
        <v>3</v>
      </c>
      <c r="AC460" s="4">
        <v>3</v>
      </c>
      <c r="AD460" s="4">
        <v>13</v>
      </c>
      <c r="AE460" s="4">
        <v>13</v>
      </c>
      <c r="AF460" s="4">
        <v>3</v>
      </c>
      <c r="AG460" s="4">
        <v>3</v>
      </c>
      <c r="AH460" s="4">
        <v>3</v>
      </c>
      <c r="AI460" s="4">
        <v>3</v>
      </c>
      <c r="AJ460" s="4">
        <v>7</v>
      </c>
      <c r="AK460" s="4">
        <v>7</v>
      </c>
      <c r="AL460" s="4">
        <v>2</v>
      </c>
      <c r="AM460" s="4">
        <v>2</v>
      </c>
      <c r="AN460" s="4">
        <v>0</v>
      </c>
      <c r="AO460" s="4">
        <v>0</v>
      </c>
      <c r="AP460" s="3" t="s">
        <v>59</v>
      </c>
      <c r="AQ460" s="3" t="s">
        <v>59</v>
      </c>
      <c r="AS460" s="6" t="str">
        <f>HYPERLINK("https://creighton-primo.hosted.exlibrisgroup.com/primo-explore/search?tab=default_tab&amp;search_scope=EVERYTHING&amp;vid=01CRU&amp;lang=en_US&amp;offset=0&amp;query=any,contains,991003729049702656","Catalog Record")</f>
        <v>Catalog Record</v>
      </c>
      <c r="AT460" s="6" t="str">
        <f>HYPERLINK("http://www.worldcat.org/oclc/45248325","WorldCat Record")</f>
        <v>WorldCat Record</v>
      </c>
      <c r="AU460" s="3" t="s">
        <v>5920</v>
      </c>
      <c r="AV460" s="3" t="s">
        <v>5921</v>
      </c>
      <c r="AW460" s="3" t="s">
        <v>5922</v>
      </c>
      <c r="AX460" s="3" t="s">
        <v>5922</v>
      </c>
      <c r="AY460" s="3" t="s">
        <v>5923</v>
      </c>
      <c r="AZ460" s="3" t="s">
        <v>75</v>
      </c>
      <c r="BB460" s="3" t="s">
        <v>5924</v>
      </c>
      <c r="BC460" s="3" t="s">
        <v>5925</v>
      </c>
      <c r="BD460" s="3" t="s">
        <v>5926</v>
      </c>
    </row>
    <row r="461" spans="1:56" ht="48" customHeight="1" x14ac:dyDescent="0.25">
      <c r="A461" s="7" t="s">
        <v>59</v>
      </c>
      <c r="B461" s="2" t="s">
        <v>5927</v>
      </c>
      <c r="C461" s="2" t="s">
        <v>5928</v>
      </c>
      <c r="D461" s="2" t="s">
        <v>5929</v>
      </c>
      <c r="F461" s="3" t="s">
        <v>59</v>
      </c>
      <c r="G461" s="3" t="s">
        <v>60</v>
      </c>
      <c r="H461" s="3" t="s">
        <v>70</v>
      </c>
      <c r="I461" s="3" t="s">
        <v>59</v>
      </c>
      <c r="J461" s="3" t="s">
        <v>61</v>
      </c>
      <c r="L461" s="2" t="s">
        <v>5930</v>
      </c>
      <c r="M461" s="3" t="s">
        <v>145</v>
      </c>
      <c r="O461" s="3" t="s">
        <v>64</v>
      </c>
      <c r="P461" s="3" t="s">
        <v>264</v>
      </c>
      <c r="R461" s="3" t="s">
        <v>67</v>
      </c>
      <c r="S461" s="4">
        <v>4</v>
      </c>
      <c r="T461" s="4">
        <v>7</v>
      </c>
      <c r="U461" s="5" t="s">
        <v>5931</v>
      </c>
      <c r="V461" s="5" t="s">
        <v>5931</v>
      </c>
      <c r="W461" s="5" t="s">
        <v>4108</v>
      </c>
      <c r="X461" s="5" t="s">
        <v>4108</v>
      </c>
      <c r="Y461" s="4">
        <v>492</v>
      </c>
      <c r="Z461" s="4">
        <v>353</v>
      </c>
      <c r="AA461" s="4">
        <v>358</v>
      </c>
      <c r="AB461" s="4">
        <v>3</v>
      </c>
      <c r="AC461" s="4">
        <v>3</v>
      </c>
      <c r="AD461" s="4">
        <v>16</v>
      </c>
      <c r="AE461" s="4">
        <v>16</v>
      </c>
      <c r="AF461" s="4">
        <v>4</v>
      </c>
      <c r="AG461" s="4">
        <v>4</v>
      </c>
      <c r="AH461" s="4">
        <v>4</v>
      </c>
      <c r="AI461" s="4">
        <v>4</v>
      </c>
      <c r="AJ461" s="4">
        <v>9</v>
      </c>
      <c r="AK461" s="4">
        <v>9</v>
      </c>
      <c r="AL461" s="4">
        <v>1</v>
      </c>
      <c r="AM461" s="4">
        <v>1</v>
      </c>
      <c r="AN461" s="4">
        <v>0</v>
      </c>
      <c r="AO461" s="4">
        <v>0</v>
      </c>
      <c r="AP461" s="3" t="s">
        <v>59</v>
      </c>
      <c r="AQ461" s="3" t="s">
        <v>59</v>
      </c>
      <c r="AS461" s="6" t="str">
        <f>HYPERLINK("https://creighton-primo.hosted.exlibrisgroup.com/primo-explore/search?tab=default_tab&amp;search_scope=EVERYTHING&amp;vid=01CRU&amp;lang=en_US&amp;offset=0&amp;query=any,contains,991001791359702656","Catalog Record")</f>
        <v>Catalog Record</v>
      </c>
      <c r="AT461" s="6" t="str">
        <f>HYPERLINK("http://www.worldcat.org/oclc/3002664","WorldCat Record")</f>
        <v>WorldCat Record</v>
      </c>
      <c r="AU461" s="3" t="s">
        <v>5932</v>
      </c>
      <c r="AV461" s="3" t="s">
        <v>5933</v>
      </c>
      <c r="AW461" s="3" t="s">
        <v>5934</v>
      </c>
      <c r="AX461" s="3" t="s">
        <v>5934</v>
      </c>
      <c r="AY461" s="3" t="s">
        <v>5935</v>
      </c>
      <c r="AZ461" s="3" t="s">
        <v>75</v>
      </c>
      <c r="BB461" s="3" t="s">
        <v>5936</v>
      </c>
      <c r="BC461" s="3" t="s">
        <v>5937</v>
      </c>
      <c r="BD461" s="3" t="s">
        <v>5938</v>
      </c>
    </row>
    <row r="462" spans="1:56" ht="48" customHeight="1" x14ac:dyDescent="0.25">
      <c r="A462" s="7" t="s">
        <v>59</v>
      </c>
      <c r="B462" s="2" t="s">
        <v>5939</v>
      </c>
      <c r="C462" s="2" t="s">
        <v>5940</v>
      </c>
      <c r="D462" s="2" t="s">
        <v>5941</v>
      </c>
      <c r="F462" s="3" t="s">
        <v>59</v>
      </c>
      <c r="G462" s="3" t="s">
        <v>60</v>
      </c>
      <c r="H462" s="3" t="s">
        <v>59</v>
      </c>
      <c r="I462" s="3" t="s">
        <v>59</v>
      </c>
      <c r="J462" s="3" t="s">
        <v>61</v>
      </c>
      <c r="K462" s="2" t="s">
        <v>5942</v>
      </c>
      <c r="L462" s="2" t="s">
        <v>5943</v>
      </c>
      <c r="M462" s="3" t="s">
        <v>190</v>
      </c>
      <c r="O462" s="3" t="s">
        <v>64</v>
      </c>
      <c r="P462" s="3" t="s">
        <v>5944</v>
      </c>
      <c r="R462" s="3" t="s">
        <v>67</v>
      </c>
      <c r="S462" s="4">
        <v>14</v>
      </c>
      <c r="T462" s="4">
        <v>14</v>
      </c>
      <c r="U462" s="5" t="s">
        <v>5905</v>
      </c>
      <c r="V462" s="5" t="s">
        <v>5905</v>
      </c>
      <c r="W462" s="5" t="s">
        <v>4108</v>
      </c>
      <c r="X462" s="5" t="s">
        <v>4108</v>
      </c>
      <c r="Y462" s="4">
        <v>626</v>
      </c>
      <c r="Z462" s="4">
        <v>586</v>
      </c>
      <c r="AA462" s="4">
        <v>644</v>
      </c>
      <c r="AB462" s="4">
        <v>5</v>
      </c>
      <c r="AC462" s="4">
        <v>6</v>
      </c>
      <c r="AD462" s="4">
        <v>32</v>
      </c>
      <c r="AE462" s="4">
        <v>33</v>
      </c>
      <c r="AF462" s="4">
        <v>15</v>
      </c>
      <c r="AG462" s="4">
        <v>15</v>
      </c>
      <c r="AH462" s="4">
        <v>7</v>
      </c>
      <c r="AI462" s="4">
        <v>7</v>
      </c>
      <c r="AJ462" s="4">
        <v>13</v>
      </c>
      <c r="AK462" s="4">
        <v>13</v>
      </c>
      <c r="AL462" s="4">
        <v>4</v>
      </c>
      <c r="AM462" s="4">
        <v>5</v>
      </c>
      <c r="AN462" s="4">
        <v>0</v>
      </c>
      <c r="AO462" s="4">
        <v>0</v>
      </c>
      <c r="AP462" s="3" t="s">
        <v>59</v>
      </c>
      <c r="AQ462" s="3" t="s">
        <v>59</v>
      </c>
      <c r="AS462" s="6" t="str">
        <f>HYPERLINK("https://creighton-primo.hosted.exlibrisgroup.com/primo-explore/search?tab=default_tab&amp;search_scope=EVERYTHING&amp;vid=01CRU&amp;lang=en_US&amp;offset=0&amp;query=any,contains,991000801989702656","Catalog Record")</f>
        <v>Catalog Record</v>
      </c>
      <c r="AT462" s="6" t="str">
        <f>HYPERLINK("http://www.worldcat.org/oclc/13261135","WorldCat Record")</f>
        <v>WorldCat Record</v>
      </c>
      <c r="AU462" s="3" t="s">
        <v>5945</v>
      </c>
      <c r="AV462" s="3" t="s">
        <v>5946</v>
      </c>
      <c r="AW462" s="3" t="s">
        <v>5947</v>
      </c>
      <c r="AX462" s="3" t="s">
        <v>5947</v>
      </c>
      <c r="AY462" s="3" t="s">
        <v>5948</v>
      </c>
      <c r="AZ462" s="3" t="s">
        <v>75</v>
      </c>
      <c r="BB462" s="3" t="s">
        <v>5949</v>
      </c>
      <c r="BC462" s="3" t="s">
        <v>5950</v>
      </c>
      <c r="BD462" s="3" t="s">
        <v>5951</v>
      </c>
    </row>
    <row r="463" spans="1:56" ht="48" customHeight="1" x14ac:dyDescent="0.25">
      <c r="A463" s="7" t="s">
        <v>59</v>
      </c>
      <c r="B463" s="2" t="s">
        <v>5952</v>
      </c>
      <c r="C463" s="2" t="s">
        <v>5953</v>
      </c>
      <c r="D463" s="2" t="s">
        <v>5954</v>
      </c>
      <c r="F463" s="3" t="s">
        <v>59</v>
      </c>
      <c r="G463" s="3" t="s">
        <v>60</v>
      </c>
      <c r="H463" s="3" t="s">
        <v>59</v>
      </c>
      <c r="I463" s="3" t="s">
        <v>59</v>
      </c>
      <c r="J463" s="3" t="s">
        <v>61</v>
      </c>
      <c r="K463" s="2" t="s">
        <v>5955</v>
      </c>
      <c r="L463" s="2" t="s">
        <v>5956</v>
      </c>
      <c r="M463" s="3" t="s">
        <v>234</v>
      </c>
      <c r="O463" s="3" t="s">
        <v>64</v>
      </c>
      <c r="P463" s="3" t="s">
        <v>84</v>
      </c>
      <c r="R463" s="3" t="s">
        <v>67</v>
      </c>
      <c r="S463" s="4">
        <v>21</v>
      </c>
      <c r="T463" s="4">
        <v>21</v>
      </c>
      <c r="U463" s="5" t="s">
        <v>5957</v>
      </c>
      <c r="V463" s="5" t="s">
        <v>5957</v>
      </c>
      <c r="W463" s="5" t="s">
        <v>5958</v>
      </c>
      <c r="X463" s="5" t="s">
        <v>5958</v>
      </c>
      <c r="Y463" s="4">
        <v>316</v>
      </c>
      <c r="Z463" s="4">
        <v>196</v>
      </c>
      <c r="AA463" s="4">
        <v>205</v>
      </c>
      <c r="AB463" s="4">
        <v>1</v>
      </c>
      <c r="AC463" s="4">
        <v>1</v>
      </c>
      <c r="AD463" s="4">
        <v>9</v>
      </c>
      <c r="AE463" s="4">
        <v>9</v>
      </c>
      <c r="AF463" s="4">
        <v>1</v>
      </c>
      <c r="AG463" s="4">
        <v>1</v>
      </c>
      <c r="AH463" s="4">
        <v>3</v>
      </c>
      <c r="AI463" s="4">
        <v>3</v>
      </c>
      <c r="AJ463" s="4">
        <v>7</v>
      </c>
      <c r="AK463" s="4">
        <v>7</v>
      </c>
      <c r="AL463" s="4">
        <v>0</v>
      </c>
      <c r="AM463" s="4">
        <v>0</v>
      </c>
      <c r="AN463" s="4">
        <v>0</v>
      </c>
      <c r="AO463" s="4">
        <v>0</v>
      </c>
      <c r="AP463" s="3" t="s">
        <v>59</v>
      </c>
      <c r="AQ463" s="3" t="s">
        <v>70</v>
      </c>
      <c r="AR463" s="6" t="str">
        <f>HYPERLINK("http://catalog.hathitrust.org/Record/001835224","HathiTrust Record")</f>
        <v>HathiTrust Record</v>
      </c>
      <c r="AS463" s="6" t="str">
        <f>HYPERLINK("https://creighton-primo.hosted.exlibrisgroup.com/primo-explore/search?tab=default_tab&amp;search_scope=EVERYTHING&amp;vid=01CRU&amp;lang=en_US&amp;offset=0&amp;query=any,contains,991001533549702656","Catalog Record")</f>
        <v>Catalog Record</v>
      </c>
      <c r="AT463" s="6" t="str">
        <f>HYPERLINK("http://www.worldcat.org/oclc/20056706","WorldCat Record")</f>
        <v>WorldCat Record</v>
      </c>
      <c r="AU463" s="3" t="s">
        <v>5959</v>
      </c>
      <c r="AV463" s="3" t="s">
        <v>5960</v>
      </c>
      <c r="AW463" s="3" t="s">
        <v>5961</v>
      </c>
      <c r="AX463" s="3" t="s">
        <v>5961</v>
      </c>
      <c r="AY463" s="3" t="s">
        <v>5962</v>
      </c>
      <c r="AZ463" s="3" t="s">
        <v>75</v>
      </c>
      <c r="BB463" s="3" t="s">
        <v>5963</v>
      </c>
      <c r="BC463" s="3" t="s">
        <v>5964</v>
      </c>
      <c r="BD463" s="3" t="s">
        <v>5965</v>
      </c>
    </row>
    <row r="464" spans="1:56" ht="48" customHeight="1" x14ac:dyDescent="0.25">
      <c r="A464" s="7" t="s">
        <v>59</v>
      </c>
      <c r="B464" s="2" t="s">
        <v>5966</v>
      </c>
      <c r="C464" s="2" t="s">
        <v>5967</v>
      </c>
      <c r="D464" s="2" t="s">
        <v>5968</v>
      </c>
      <c r="F464" s="3" t="s">
        <v>59</v>
      </c>
      <c r="G464" s="3" t="s">
        <v>60</v>
      </c>
      <c r="H464" s="3" t="s">
        <v>59</v>
      </c>
      <c r="I464" s="3" t="s">
        <v>59</v>
      </c>
      <c r="J464" s="3" t="s">
        <v>61</v>
      </c>
      <c r="L464" s="2" t="s">
        <v>1572</v>
      </c>
      <c r="M464" s="3" t="s">
        <v>590</v>
      </c>
      <c r="O464" s="3" t="s">
        <v>64</v>
      </c>
      <c r="P464" s="3" t="s">
        <v>130</v>
      </c>
      <c r="R464" s="3" t="s">
        <v>67</v>
      </c>
      <c r="S464" s="4">
        <v>6</v>
      </c>
      <c r="T464" s="4">
        <v>6</v>
      </c>
      <c r="U464" s="5" t="s">
        <v>5969</v>
      </c>
      <c r="V464" s="5" t="s">
        <v>5969</v>
      </c>
      <c r="W464" s="5" t="s">
        <v>5970</v>
      </c>
      <c r="X464" s="5" t="s">
        <v>5970</v>
      </c>
      <c r="Y464" s="4">
        <v>411</v>
      </c>
      <c r="Z464" s="4">
        <v>310</v>
      </c>
      <c r="AA464" s="4">
        <v>311</v>
      </c>
      <c r="AB464" s="4">
        <v>3</v>
      </c>
      <c r="AC464" s="4">
        <v>3</v>
      </c>
      <c r="AD464" s="4">
        <v>17</v>
      </c>
      <c r="AE464" s="4">
        <v>17</v>
      </c>
      <c r="AF464" s="4">
        <v>5</v>
      </c>
      <c r="AG464" s="4">
        <v>5</v>
      </c>
      <c r="AH464" s="4">
        <v>5</v>
      </c>
      <c r="AI464" s="4">
        <v>5</v>
      </c>
      <c r="AJ464" s="4">
        <v>10</v>
      </c>
      <c r="AK464" s="4">
        <v>10</v>
      </c>
      <c r="AL464" s="4">
        <v>2</v>
      </c>
      <c r="AM464" s="4">
        <v>2</v>
      </c>
      <c r="AN464" s="4">
        <v>0</v>
      </c>
      <c r="AO464" s="4">
        <v>0</v>
      </c>
      <c r="AP464" s="3" t="s">
        <v>59</v>
      </c>
      <c r="AQ464" s="3" t="s">
        <v>59</v>
      </c>
      <c r="AS464" s="6" t="str">
        <f>HYPERLINK("https://creighton-primo.hosted.exlibrisgroup.com/primo-explore/search?tab=default_tab&amp;search_scope=EVERYTHING&amp;vid=01CRU&amp;lang=en_US&amp;offset=0&amp;query=any,contains,991001280799702656","Catalog Record")</f>
        <v>Catalog Record</v>
      </c>
      <c r="AT464" s="6" t="str">
        <f>HYPERLINK("http://www.worldcat.org/oclc/17917332","WorldCat Record")</f>
        <v>WorldCat Record</v>
      </c>
      <c r="AU464" s="3" t="s">
        <v>5971</v>
      </c>
      <c r="AV464" s="3" t="s">
        <v>5972</v>
      </c>
      <c r="AW464" s="3" t="s">
        <v>5973</v>
      </c>
      <c r="AX464" s="3" t="s">
        <v>5973</v>
      </c>
      <c r="AY464" s="3" t="s">
        <v>5974</v>
      </c>
      <c r="AZ464" s="3" t="s">
        <v>75</v>
      </c>
      <c r="BB464" s="3" t="s">
        <v>5975</v>
      </c>
      <c r="BC464" s="3" t="s">
        <v>5976</v>
      </c>
      <c r="BD464" s="3" t="s">
        <v>5977</v>
      </c>
    </row>
    <row r="465" spans="1:56" ht="48" customHeight="1" x14ac:dyDescent="0.25">
      <c r="A465" s="7" t="s">
        <v>59</v>
      </c>
      <c r="B465" s="2" t="s">
        <v>5978</v>
      </c>
      <c r="C465" s="2" t="s">
        <v>5979</v>
      </c>
      <c r="D465" s="2" t="s">
        <v>5980</v>
      </c>
      <c r="F465" s="3" t="s">
        <v>59</v>
      </c>
      <c r="G465" s="3" t="s">
        <v>60</v>
      </c>
      <c r="H465" s="3" t="s">
        <v>59</v>
      </c>
      <c r="I465" s="3" t="s">
        <v>59</v>
      </c>
      <c r="J465" s="3" t="s">
        <v>61</v>
      </c>
      <c r="K465" s="2" t="s">
        <v>5981</v>
      </c>
      <c r="L465" s="2" t="s">
        <v>5982</v>
      </c>
      <c r="M465" s="3" t="s">
        <v>363</v>
      </c>
      <c r="O465" s="3" t="s">
        <v>64</v>
      </c>
      <c r="P465" s="3" t="s">
        <v>130</v>
      </c>
      <c r="Q465" s="2" t="s">
        <v>5983</v>
      </c>
      <c r="R465" s="3" t="s">
        <v>67</v>
      </c>
      <c r="S465" s="4">
        <v>4</v>
      </c>
      <c r="T465" s="4">
        <v>4</v>
      </c>
      <c r="U465" s="5" t="s">
        <v>5879</v>
      </c>
      <c r="V465" s="5" t="s">
        <v>5879</v>
      </c>
      <c r="W465" s="5" t="s">
        <v>133</v>
      </c>
      <c r="X465" s="5" t="s">
        <v>133</v>
      </c>
      <c r="Y465" s="4">
        <v>501</v>
      </c>
      <c r="Z465" s="4">
        <v>365</v>
      </c>
      <c r="AA465" s="4">
        <v>392</v>
      </c>
      <c r="AB465" s="4">
        <v>3</v>
      </c>
      <c r="AC465" s="4">
        <v>3</v>
      </c>
      <c r="AD465" s="4">
        <v>17</v>
      </c>
      <c r="AE465" s="4">
        <v>19</v>
      </c>
      <c r="AF465" s="4">
        <v>6</v>
      </c>
      <c r="AG465" s="4">
        <v>7</v>
      </c>
      <c r="AH465" s="4">
        <v>4</v>
      </c>
      <c r="AI465" s="4">
        <v>5</v>
      </c>
      <c r="AJ465" s="4">
        <v>9</v>
      </c>
      <c r="AK465" s="4">
        <v>9</v>
      </c>
      <c r="AL465" s="4">
        <v>2</v>
      </c>
      <c r="AM465" s="4">
        <v>2</v>
      </c>
      <c r="AN465" s="4">
        <v>0</v>
      </c>
      <c r="AO465" s="4">
        <v>0</v>
      </c>
      <c r="AP465" s="3" t="s">
        <v>59</v>
      </c>
      <c r="AQ465" s="3" t="s">
        <v>70</v>
      </c>
      <c r="AR465" s="6" t="str">
        <f>HYPERLINK("http://catalog.hathitrust.org/Record/000231091","HathiTrust Record")</f>
        <v>HathiTrust Record</v>
      </c>
      <c r="AS465" s="6" t="str">
        <f>HYPERLINK("https://creighton-primo.hosted.exlibrisgroup.com/primo-explore/search?tab=default_tab&amp;search_scope=EVERYTHING&amp;vid=01CRU&amp;lang=en_US&amp;offset=0&amp;query=any,contains,991005247899702656","Catalog Record")</f>
        <v>Catalog Record</v>
      </c>
      <c r="AT465" s="6" t="str">
        <f>HYPERLINK("http://www.worldcat.org/oclc/8474811","WorldCat Record")</f>
        <v>WorldCat Record</v>
      </c>
      <c r="AU465" s="3" t="s">
        <v>5984</v>
      </c>
      <c r="AV465" s="3" t="s">
        <v>5985</v>
      </c>
      <c r="AW465" s="3" t="s">
        <v>5986</v>
      </c>
      <c r="AX465" s="3" t="s">
        <v>5986</v>
      </c>
      <c r="AY465" s="3" t="s">
        <v>5987</v>
      </c>
      <c r="AZ465" s="3" t="s">
        <v>75</v>
      </c>
      <c r="BB465" s="3" t="s">
        <v>5988</v>
      </c>
      <c r="BC465" s="3" t="s">
        <v>5989</v>
      </c>
      <c r="BD465" s="3" t="s">
        <v>5990</v>
      </c>
    </row>
    <row r="466" spans="1:56" ht="48" customHeight="1" x14ac:dyDescent="0.25">
      <c r="A466" s="7" t="s">
        <v>59</v>
      </c>
      <c r="B466" s="2" t="s">
        <v>5991</v>
      </c>
      <c r="C466" s="2" t="s">
        <v>5992</v>
      </c>
      <c r="D466" s="2" t="s">
        <v>5993</v>
      </c>
      <c r="F466" s="3" t="s">
        <v>59</v>
      </c>
      <c r="G466" s="3" t="s">
        <v>60</v>
      </c>
      <c r="H466" s="3" t="s">
        <v>59</v>
      </c>
      <c r="I466" s="3" t="s">
        <v>59</v>
      </c>
      <c r="J466" s="3" t="s">
        <v>61</v>
      </c>
      <c r="L466" s="2" t="s">
        <v>318</v>
      </c>
      <c r="M466" s="3" t="s">
        <v>319</v>
      </c>
      <c r="O466" s="3" t="s">
        <v>64</v>
      </c>
      <c r="P466" s="3" t="s">
        <v>264</v>
      </c>
      <c r="R466" s="3" t="s">
        <v>67</v>
      </c>
      <c r="S466" s="4">
        <v>4</v>
      </c>
      <c r="T466" s="4">
        <v>4</v>
      </c>
      <c r="U466" s="5" t="s">
        <v>5931</v>
      </c>
      <c r="V466" s="5" t="s">
        <v>5931</v>
      </c>
      <c r="W466" s="5" t="s">
        <v>4108</v>
      </c>
      <c r="X466" s="5" t="s">
        <v>4108</v>
      </c>
      <c r="Y466" s="4">
        <v>532</v>
      </c>
      <c r="Z466" s="4">
        <v>406</v>
      </c>
      <c r="AA466" s="4">
        <v>413</v>
      </c>
      <c r="AB466" s="4">
        <v>3</v>
      </c>
      <c r="AC466" s="4">
        <v>3</v>
      </c>
      <c r="AD466" s="4">
        <v>16</v>
      </c>
      <c r="AE466" s="4">
        <v>16</v>
      </c>
      <c r="AF466" s="4">
        <v>4</v>
      </c>
      <c r="AG466" s="4">
        <v>4</v>
      </c>
      <c r="AH466" s="4">
        <v>5</v>
      </c>
      <c r="AI466" s="4">
        <v>5</v>
      </c>
      <c r="AJ466" s="4">
        <v>9</v>
      </c>
      <c r="AK466" s="4">
        <v>9</v>
      </c>
      <c r="AL466" s="4">
        <v>2</v>
      </c>
      <c r="AM466" s="4">
        <v>2</v>
      </c>
      <c r="AN466" s="4">
        <v>0</v>
      </c>
      <c r="AO466" s="4">
        <v>0</v>
      </c>
      <c r="AP466" s="3" t="s">
        <v>59</v>
      </c>
      <c r="AQ466" s="3" t="s">
        <v>70</v>
      </c>
      <c r="AR466" s="6" t="str">
        <f>HYPERLINK("http://catalog.hathitrust.org/Record/000345309","HathiTrust Record")</f>
        <v>HathiTrust Record</v>
      </c>
      <c r="AS466" s="6" t="str">
        <f>HYPERLINK("https://creighton-primo.hosted.exlibrisgroup.com/primo-explore/search?tab=default_tab&amp;search_scope=EVERYTHING&amp;vid=01CRU&amp;lang=en_US&amp;offset=0&amp;query=any,contains,991000398329702656","Catalog Record")</f>
        <v>Catalog Record</v>
      </c>
      <c r="AT466" s="6" t="str">
        <f>HYPERLINK("http://www.worldcat.org/oclc/10605338","WorldCat Record")</f>
        <v>WorldCat Record</v>
      </c>
      <c r="AU466" s="3" t="s">
        <v>5994</v>
      </c>
      <c r="AV466" s="3" t="s">
        <v>5995</v>
      </c>
      <c r="AW466" s="3" t="s">
        <v>5996</v>
      </c>
      <c r="AX466" s="3" t="s">
        <v>5996</v>
      </c>
      <c r="AY466" s="3" t="s">
        <v>5997</v>
      </c>
      <c r="AZ466" s="3" t="s">
        <v>75</v>
      </c>
      <c r="BB466" s="3" t="s">
        <v>5998</v>
      </c>
      <c r="BC466" s="3" t="s">
        <v>5999</v>
      </c>
      <c r="BD466" s="3" t="s">
        <v>6000</v>
      </c>
    </row>
    <row r="467" spans="1:56" ht="48" customHeight="1" x14ac:dyDescent="0.25">
      <c r="A467" s="7" t="s">
        <v>59</v>
      </c>
      <c r="B467" s="2" t="s">
        <v>6001</v>
      </c>
      <c r="C467" s="2" t="s">
        <v>6002</v>
      </c>
      <c r="D467" s="2" t="s">
        <v>6003</v>
      </c>
      <c r="F467" s="3" t="s">
        <v>59</v>
      </c>
      <c r="G467" s="3" t="s">
        <v>60</v>
      </c>
      <c r="H467" s="3" t="s">
        <v>59</v>
      </c>
      <c r="I467" s="3" t="s">
        <v>70</v>
      </c>
      <c r="J467" s="3" t="s">
        <v>61</v>
      </c>
      <c r="K467" s="2" t="s">
        <v>6004</v>
      </c>
      <c r="L467" s="2" t="s">
        <v>430</v>
      </c>
      <c r="M467" s="3" t="s">
        <v>417</v>
      </c>
      <c r="O467" s="3" t="s">
        <v>64</v>
      </c>
      <c r="P467" s="3" t="s">
        <v>130</v>
      </c>
      <c r="Q467" s="2" t="s">
        <v>5983</v>
      </c>
      <c r="R467" s="3" t="s">
        <v>67</v>
      </c>
      <c r="S467" s="4">
        <v>7</v>
      </c>
      <c r="T467" s="4">
        <v>7</v>
      </c>
      <c r="U467" s="5" t="s">
        <v>5905</v>
      </c>
      <c r="V467" s="5" t="s">
        <v>5905</v>
      </c>
      <c r="W467" s="5" t="s">
        <v>4108</v>
      </c>
      <c r="X467" s="5" t="s">
        <v>4108</v>
      </c>
      <c r="Y467" s="4">
        <v>434</v>
      </c>
      <c r="Z467" s="4">
        <v>315</v>
      </c>
      <c r="AA467" s="4">
        <v>375</v>
      </c>
      <c r="AB467" s="4">
        <v>4</v>
      </c>
      <c r="AC467" s="4">
        <v>5</v>
      </c>
      <c r="AD467" s="4">
        <v>14</v>
      </c>
      <c r="AE467" s="4">
        <v>17</v>
      </c>
      <c r="AF467" s="4">
        <v>2</v>
      </c>
      <c r="AG467" s="4">
        <v>4</v>
      </c>
      <c r="AH467" s="4">
        <v>3</v>
      </c>
      <c r="AI467" s="4">
        <v>5</v>
      </c>
      <c r="AJ467" s="4">
        <v>9</v>
      </c>
      <c r="AK467" s="4">
        <v>9</v>
      </c>
      <c r="AL467" s="4">
        <v>3</v>
      </c>
      <c r="AM467" s="4">
        <v>3</v>
      </c>
      <c r="AN467" s="4">
        <v>0</v>
      </c>
      <c r="AO467" s="4">
        <v>0</v>
      </c>
      <c r="AP467" s="3" t="s">
        <v>59</v>
      </c>
      <c r="AQ467" s="3" t="s">
        <v>70</v>
      </c>
      <c r="AR467" s="6" t="str">
        <f>HYPERLINK("http://catalog.hathitrust.org/Record/000116462","HathiTrust Record")</f>
        <v>HathiTrust Record</v>
      </c>
      <c r="AS467" s="6" t="str">
        <f>HYPERLINK("https://creighton-primo.hosted.exlibrisgroup.com/primo-explore/search?tab=default_tab&amp;search_scope=EVERYTHING&amp;vid=01CRU&amp;lang=en_US&amp;offset=0&amp;query=any,contains,991000221479702656","Catalog Record")</f>
        <v>Catalog Record</v>
      </c>
      <c r="AT467" s="6" t="str">
        <f>HYPERLINK("http://www.worldcat.org/oclc/9576524","WorldCat Record")</f>
        <v>WorldCat Record</v>
      </c>
      <c r="AU467" s="3" t="s">
        <v>6005</v>
      </c>
      <c r="AV467" s="3" t="s">
        <v>6006</v>
      </c>
      <c r="AW467" s="3" t="s">
        <v>6007</v>
      </c>
      <c r="AX467" s="3" t="s">
        <v>6007</v>
      </c>
      <c r="AY467" s="3" t="s">
        <v>6008</v>
      </c>
      <c r="AZ467" s="3" t="s">
        <v>75</v>
      </c>
      <c r="BB467" s="3" t="s">
        <v>6009</v>
      </c>
      <c r="BC467" s="3" t="s">
        <v>6010</v>
      </c>
      <c r="BD467" s="3" t="s">
        <v>6011</v>
      </c>
    </row>
    <row r="468" spans="1:56" ht="48" customHeight="1" x14ac:dyDescent="0.25">
      <c r="A468" s="7" t="s">
        <v>59</v>
      </c>
      <c r="B468" s="2" t="s">
        <v>6012</v>
      </c>
      <c r="C468" s="2" t="s">
        <v>6013</v>
      </c>
      <c r="D468" s="2" t="s">
        <v>6014</v>
      </c>
      <c r="F468" s="3" t="s">
        <v>59</v>
      </c>
      <c r="G468" s="3" t="s">
        <v>60</v>
      </c>
      <c r="H468" s="3" t="s">
        <v>59</v>
      </c>
      <c r="I468" s="3" t="s">
        <v>59</v>
      </c>
      <c r="J468" s="3" t="s">
        <v>61</v>
      </c>
      <c r="K468" s="2" t="s">
        <v>6015</v>
      </c>
      <c r="L468" s="2" t="s">
        <v>6016</v>
      </c>
      <c r="M468" s="3" t="s">
        <v>129</v>
      </c>
      <c r="O468" s="3" t="s">
        <v>64</v>
      </c>
      <c r="P468" s="3" t="s">
        <v>130</v>
      </c>
      <c r="R468" s="3" t="s">
        <v>67</v>
      </c>
      <c r="S468" s="4">
        <v>22</v>
      </c>
      <c r="T468" s="4">
        <v>22</v>
      </c>
      <c r="U468" s="5" t="s">
        <v>5866</v>
      </c>
      <c r="V468" s="5" t="s">
        <v>5866</v>
      </c>
      <c r="W468" s="5" t="s">
        <v>6017</v>
      </c>
      <c r="X468" s="5" t="s">
        <v>6017</v>
      </c>
      <c r="Y468" s="4">
        <v>1307</v>
      </c>
      <c r="Z468" s="4">
        <v>1183</v>
      </c>
      <c r="AA468" s="4">
        <v>1374</v>
      </c>
      <c r="AB468" s="4">
        <v>6</v>
      </c>
      <c r="AC468" s="4">
        <v>8</v>
      </c>
      <c r="AD468" s="4">
        <v>24</v>
      </c>
      <c r="AE468" s="4">
        <v>28</v>
      </c>
      <c r="AF468" s="4">
        <v>12</v>
      </c>
      <c r="AG468" s="4">
        <v>13</v>
      </c>
      <c r="AH468" s="4">
        <v>6</v>
      </c>
      <c r="AI468" s="4">
        <v>7</v>
      </c>
      <c r="AJ468" s="4">
        <v>13</v>
      </c>
      <c r="AK468" s="4">
        <v>13</v>
      </c>
      <c r="AL468" s="4">
        <v>1</v>
      </c>
      <c r="AM468" s="4">
        <v>3</v>
      </c>
      <c r="AN468" s="4">
        <v>0</v>
      </c>
      <c r="AO468" s="4">
        <v>0</v>
      </c>
      <c r="AP468" s="3" t="s">
        <v>59</v>
      </c>
      <c r="AQ468" s="3" t="s">
        <v>70</v>
      </c>
      <c r="AR468" s="6" t="str">
        <f>HYPERLINK("http://catalog.hathitrust.org/Record/002507261","HathiTrust Record")</f>
        <v>HathiTrust Record</v>
      </c>
      <c r="AS468" s="6" t="str">
        <f>HYPERLINK("https://creighton-primo.hosted.exlibrisgroup.com/primo-explore/search?tab=default_tab&amp;search_scope=EVERYTHING&amp;vid=01CRU&amp;lang=en_US&amp;offset=0&amp;query=any,contains,991001908619702656","Catalog Record")</f>
        <v>Catalog Record</v>
      </c>
      <c r="AT468" s="6" t="str">
        <f>HYPERLINK("http://www.worldcat.org/oclc/24107035","WorldCat Record")</f>
        <v>WorldCat Record</v>
      </c>
      <c r="AU468" s="3" t="s">
        <v>6018</v>
      </c>
      <c r="AV468" s="3" t="s">
        <v>6019</v>
      </c>
      <c r="AW468" s="3" t="s">
        <v>6020</v>
      </c>
      <c r="AX468" s="3" t="s">
        <v>6020</v>
      </c>
      <c r="AY468" s="3" t="s">
        <v>6021</v>
      </c>
      <c r="AZ468" s="3" t="s">
        <v>75</v>
      </c>
      <c r="BB468" s="3" t="s">
        <v>6022</v>
      </c>
      <c r="BC468" s="3" t="s">
        <v>6023</v>
      </c>
      <c r="BD468" s="3" t="s">
        <v>6024</v>
      </c>
    </row>
    <row r="469" spans="1:56" ht="48" customHeight="1" x14ac:dyDescent="0.25">
      <c r="A469" s="7" t="s">
        <v>59</v>
      </c>
      <c r="B469" s="2" t="s">
        <v>6025</v>
      </c>
      <c r="C469" s="2" t="s">
        <v>6026</v>
      </c>
      <c r="D469" s="2" t="s">
        <v>6027</v>
      </c>
      <c r="F469" s="3" t="s">
        <v>59</v>
      </c>
      <c r="G469" s="3" t="s">
        <v>60</v>
      </c>
      <c r="H469" s="3" t="s">
        <v>59</v>
      </c>
      <c r="I469" s="3" t="s">
        <v>59</v>
      </c>
      <c r="J469" s="3" t="s">
        <v>61</v>
      </c>
      <c r="L469" s="2" t="s">
        <v>6028</v>
      </c>
      <c r="M469" s="3" t="s">
        <v>333</v>
      </c>
      <c r="O469" s="3" t="s">
        <v>64</v>
      </c>
      <c r="P469" s="3" t="s">
        <v>130</v>
      </c>
      <c r="Q469" s="2" t="s">
        <v>6029</v>
      </c>
      <c r="R469" s="3" t="s">
        <v>67</v>
      </c>
      <c r="S469" s="4">
        <v>14</v>
      </c>
      <c r="T469" s="4">
        <v>14</v>
      </c>
      <c r="U469" s="5" t="s">
        <v>5530</v>
      </c>
      <c r="V469" s="5" t="s">
        <v>5530</v>
      </c>
      <c r="W469" s="5" t="s">
        <v>4108</v>
      </c>
      <c r="X469" s="5" t="s">
        <v>4108</v>
      </c>
      <c r="Y469" s="4">
        <v>428</v>
      </c>
      <c r="Z469" s="4">
        <v>328</v>
      </c>
      <c r="AA469" s="4">
        <v>329</v>
      </c>
      <c r="AB469" s="4">
        <v>3</v>
      </c>
      <c r="AC469" s="4">
        <v>3</v>
      </c>
      <c r="AD469" s="4">
        <v>8</v>
      </c>
      <c r="AE469" s="4">
        <v>8</v>
      </c>
      <c r="AF469" s="4">
        <v>3</v>
      </c>
      <c r="AG469" s="4">
        <v>3</v>
      </c>
      <c r="AH469" s="4">
        <v>2</v>
      </c>
      <c r="AI469" s="4">
        <v>2</v>
      </c>
      <c r="AJ469" s="4">
        <v>3</v>
      </c>
      <c r="AK469" s="4">
        <v>3</v>
      </c>
      <c r="AL469" s="4">
        <v>2</v>
      </c>
      <c r="AM469" s="4">
        <v>2</v>
      </c>
      <c r="AN469" s="4">
        <v>0</v>
      </c>
      <c r="AO469" s="4">
        <v>0</v>
      </c>
      <c r="AP469" s="3" t="s">
        <v>59</v>
      </c>
      <c r="AQ469" s="3" t="s">
        <v>59</v>
      </c>
      <c r="AS469" s="6" t="str">
        <f>HYPERLINK("https://creighton-primo.hosted.exlibrisgroup.com/primo-explore/search?tab=default_tab&amp;search_scope=EVERYTHING&amp;vid=01CRU&amp;lang=en_US&amp;offset=0&amp;query=any,contains,991000720229702656","Catalog Record")</f>
        <v>Catalog Record</v>
      </c>
      <c r="AT469" s="6" t="str">
        <f>HYPERLINK("http://www.worldcat.org/oclc/12665267","WorldCat Record")</f>
        <v>WorldCat Record</v>
      </c>
      <c r="AU469" s="3" t="s">
        <v>6030</v>
      </c>
      <c r="AV469" s="3" t="s">
        <v>6031</v>
      </c>
      <c r="AW469" s="3" t="s">
        <v>6032</v>
      </c>
      <c r="AX469" s="3" t="s">
        <v>6032</v>
      </c>
      <c r="AY469" s="3" t="s">
        <v>6033</v>
      </c>
      <c r="AZ469" s="3" t="s">
        <v>75</v>
      </c>
      <c r="BB469" s="3" t="s">
        <v>6034</v>
      </c>
      <c r="BC469" s="3" t="s">
        <v>6035</v>
      </c>
      <c r="BD469" s="3" t="s">
        <v>6036</v>
      </c>
    </row>
    <row r="470" spans="1:56" ht="48" customHeight="1" x14ac:dyDescent="0.25">
      <c r="A470" s="7" t="s">
        <v>59</v>
      </c>
      <c r="B470" s="2" t="s">
        <v>6037</v>
      </c>
      <c r="C470" s="2" t="s">
        <v>6038</v>
      </c>
      <c r="D470" s="2" t="s">
        <v>6039</v>
      </c>
      <c r="F470" s="3" t="s">
        <v>59</v>
      </c>
      <c r="G470" s="3" t="s">
        <v>60</v>
      </c>
      <c r="H470" s="3" t="s">
        <v>59</v>
      </c>
      <c r="I470" s="3" t="s">
        <v>59</v>
      </c>
      <c r="J470" s="3" t="s">
        <v>61</v>
      </c>
      <c r="K470" s="2" t="s">
        <v>6040</v>
      </c>
      <c r="L470" s="2" t="s">
        <v>6041</v>
      </c>
      <c r="M470" s="3" t="s">
        <v>190</v>
      </c>
      <c r="N470" s="2" t="s">
        <v>6042</v>
      </c>
      <c r="O470" s="3" t="s">
        <v>64</v>
      </c>
      <c r="P470" s="3" t="s">
        <v>130</v>
      </c>
      <c r="R470" s="3" t="s">
        <v>67</v>
      </c>
      <c r="S470" s="4">
        <v>8</v>
      </c>
      <c r="T470" s="4">
        <v>8</v>
      </c>
      <c r="U470" s="5" t="s">
        <v>6043</v>
      </c>
      <c r="V470" s="5" t="s">
        <v>6043</v>
      </c>
      <c r="W470" s="5" t="s">
        <v>4108</v>
      </c>
      <c r="X470" s="5" t="s">
        <v>4108</v>
      </c>
      <c r="Y470" s="4">
        <v>56</v>
      </c>
      <c r="Z470" s="4">
        <v>54</v>
      </c>
      <c r="AA470" s="4">
        <v>443</v>
      </c>
      <c r="AB470" s="4">
        <v>1</v>
      </c>
      <c r="AC470" s="4">
        <v>4</v>
      </c>
      <c r="AD470" s="4">
        <v>2</v>
      </c>
      <c r="AE470" s="4">
        <v>17</v>
      </c>
      <c r="AF470" s="4">
        <v>0</v>
      </c>
      <c r="AG470" s="4">
        <v>5</v>
      </c>
      <c r="AH470" s="4">
        <v>2</v>
      </c>
      <c r="AI470" s="4">
        <v>6</v>
      </c>
      <c r="AJ470" s="4">
        <v>0</v>
      </c>
      <c r="AK470" s="4">
        <v>7</v>
      </c>
      <c r="AL470" s="4">
        <v>0</v>
      </c>
      <c r="AM470" s="4">
        <v>3</v>
      </c>
      <c r="AN470" s="4">
        <v>0</v>
      </c>
      <c r="AO470" s="4">
        <v>0</v>
      </c>
      <c r="AP470" s="3" t="s">
        <v>59</v>
      </c>
      <c r="AQ470" s="3" t="s">
        <v>59</v>
      </c>
      <c r="AS470" s="6" t="str">
        <f>HYPERLINK("https://creighton-primo.hosted.exlibrisgroup.com/primo-explore/search?tab=default_tab&amp;search_scope=EVERYTHING&amp;vid=01CRU&amp;lang=en_US&amp;offset=0&amp;query=any,contains,991000936609702656","Catalog Record")</f>
        <v>Catalog Record</v>
      </c>
      <c r="AT470" s="6" t="str">
        <f>HYPERLINK("http://www.worldcat.org/oclc/14362475","WorldCat Record")</f>
        <v>WorldCat Record</v>
      </c>
      <c r="AU470" s="3" t="s">
        <v>6044</v>
      </c>
      <c r="AV470" s="3" t="s">
        <v>6045</v>
      </c>
      <c r="AW470" s="3" t="s">
        <v>6046</v>
      </c>
      <c r="AX470" s="3" t="s">
        <v>6046</v>
      </c>
      <c r="AY470" s="3" t="s">
        <v>6047</v>
      </c>
      <c r="AZ470" s="3" t="s">
        <v>75</v>
      </c>
      <c r="BB470" s="3" t="s">
        <v>6048</v>
      </c>
      <c r="BC470" s="3" t="s">
        <v>6049</v>
      </c>
      <c r="BD470" s="3" t="s">
        <v>6050</v>
      </c>
    </row>
    <row r="471" spans="1:56" ht="48" customHeight="1" x14ac:dyDescent="0.25">
      <c r="A471" s="7" t="s">
        <v>59</v>
      </c>
      <c r="B471" s="2" t="s">
        <v>6051</v>
      </c>
      <c r="C471" s="2" t="s">
        <v>6052</v>
      </c>
      <c r="D471" s="2" t="s">
        <v>6053</v>
      </c>
      <c r="F471" s="3" t="s">
        <v>59</v>
      </c>
      <c r="G471" s="3" t="s">
        <v>60</v>
      </c>
      <c r="H471" s="3" t="s">
        <v>59</v>
      </c>
      <c r="I471" s="3" t="s">
        <v>59</v>
      </c>
      <c r="J471" s="3" t="s">
        <v>61</v>
      </c>
      <c r="K471" s="2" t="s">
        <v>6054</v>
      </c>
      <c r="L471" s="2" t="s">
        <v>6055</v>
      </c>
      <c r="M471" s="3" t="s">
        <v>348</v>
      </c>
      <c r="O471" s="3" t="s">
        <v>64</v>
      </c>
      <c r="P471" s="3" t="s">
        <v>264</v>
      </c>
      <c r="Q471" s="2" t="s">
        <v>6056</v>
      </c>
      <c r="R471" s="3" t="s">
        <v>67</v>
      </c>
      <c r="S471" s="4">
        <v>6</v>
      </c>
      <c r="T471" s="4">
        <v>6</v>
      </c>
      <c r="U471" s="5" t="s">
        <v>5879</v>
      </c>
      <c r="V471" s="5" t="s">
        <v>5879</v>
      </c>
      <c r="W471" s="5" t="s">
        <v>6057</v>
      </c>
      <c r="X471" s="5" t="s">
        <v>6057</v>
      </c>
      <c r="Y471" s="4">
        <v>563</v>
      </c>
      <c r="Z471" s="4">
        <v>438</v>
      </c>
      <c r="AA471" s="4">
        <v>479</v>
      </c>
      <c r="AB471" s="4">
        <v>4</v>
      </c>
      <c r="AC471" s="4">
        <v>4</v>
      </c>
      <c r="AD471" s="4">
        <v>22</v>
      </c>
      <c r="AE471" s="4">
        <v>24</v>
      </c>
      <c r="AF471" s="4">
        <v>8</v>
      </c>
      <c r="AG471" s="4">
        <v>10</v>
      </c>
      <c r="AH471" s="4">
        <v>5</v>
      </c>
      <c r="AI471" s="4">
        <v>6</v>
      </c>
      <c r="AJ471" s="4">
        <v>13</v>
      </c>
      <c r="AK471" s="4">
        <v>14</v>
      </c>
      <c r="AL471" s="4">
        <v>3</v>
      </c>
      <c r="AM471" s="4">
        <v>3</v>
      </c>
      <c r="AN471" s="4">
        <v>0</v>
      </c>
      <c r="AO471" s="4">
        <v>0</v>
      </c>
      <c r="AP471" s="3" t="s">
        <v>59</v>
      </c>
      <c r="AQ471" s="3" t="s">
        <v>70</v>
      </c>
      <c r="AR471" s="6" t="str">
        <f>HYPERLINK("http://catalog.hathitrust.org/Record/002635672","HathiTrust Record")</f>
        <v>HathiTrust Record</v>
      </c>
      <c r="AS471" s="6" t="str">
        <f>HYPERLINK("https://creighton-primo.hosted.exlibrisgroup.com/primo-explore/search?tab=default_tab&amp;search_scope=EVERYTHING&amp;vid=01CRU&amp;lang=en_US&amp;offset=0&amp;query=any,contains,991002062029702656","Catalog Record")</f>
        <v>Catalog Record</v>
      </c>
      <c r="AT471" s="6" t="str">
        <f>HYPERLINK("http://www.worldcat.org/oclc/26396426","WorldCat Record")</f>
        <v>WorldCat Record</v>
      </c>
      <c r="AU471" s="3" t="s">
        <v>6058</v>
      </c>
      <c r="AV471" s="3" t="s">
        <v>6059</v>
      </c>
      <c r="AW471" s="3" t="s">
        <v>6060</v>
      </c>
      <c r="AX471" s="3" t="s">
        <v>6060</v>
      </c>
      <c r="AY471" s="3" t="s">
        <v>6061</v>
      </c>
      <c r="AZ471" s="3" t="s">
        <v>75</v>
      </c>
      <c r="BB471" s="3" t="s">
        <v>6062</v>
      </c>
      <c r="BC471" s="3" t="s">
        <v>6063</v>
      </c>
      <c r="BD471" s="3" t="s">
        <v>6064</v>
      </c>
    </row>
    <row r="472" spans="1:56" ht="48" customHeight="1" x14ac:dyDescent="0.25">
      <c r="A472" s="7" t="s">
        <v>59</v>
      </c>
      <c r="B472" s="2" t="s">
        <v>6065</v>
      </c>
      <c r="C472" s="2" t="s">
        <v>6066</v>
      </c>
      <c r="D472" s="2" t="s">
        <v>6067</v>
      </c>
      <c r="F472" s="3" t="s">
        <v>59</v>
      </c>
      <c r="G472" s="3" t="s">
        <v>60</v>
      </c>
      <c r="H472" s="3" t="s">
        <v>59</v>
      </c>
      <c r="I472" s="3" t="s">
        <v>70</v>
      </c>
      <c r="J472" s="3" t="s">
        <v>61</v>
      </c>
      <c r="K472" s="2" t="s">
        <v>6068</v>
      </c>
      <c r="L472" s="2" t="s">
        <v>6069</v>
      </c>
      <c r="M472" s="3" t="s">
        <v>248</v>
      </c>
      <c r="O472" s="3" t="s">
        <v>64</v>
      </c>
      <c r="P472" s="3" t="s">
        <v>176</v>
      </c>
      <c r="Q472" s="2" t="s">
        <v>6070</v>
      </c>
      <c r="R472" s="3" t="s">
        <v>67</v>
      </c>
      <c r="S472" s="4">
        <v>11</v>
      </c>
      <c r="T472" s="4">
        <v>11</v>
      </c>
      <c r="U472" s="5" t="s">
        <v>5905</v>
      </c>
      <c r="V472" s="5" t="s">
        <v>5905</v>
      </c>
      <c r="W472" s="5" t="s">
        <v>4108</v>
      </c>
      <c r="X472" s="5" t="s">
        <v>4108</v>
      </c>
      <c r="Y472" s="4">
        <v>1236</v>
      </c>
      <c r="Z472" s="4">
        <v>1055</v>
      </c>
      <c r="AA472" s="4">
        <v>2005</v>
      </c>
      <c r="AB472" s="4">
        <v>10</v>
      </c>
      <c r="AC472" s="4">
        <v>21</v>
      </c>
      <c r="AD472" s="4">
        <v>32</v>
      </c>
      <c r="AE472" s="4">
        <v>54</v>
      </c>
      <c r="AF472" s="4">
        <v>11</v>
      </c>
      <c r="AG472" s="4">
        <v>22</v>
      </c>
      <c r="AH472" s="4">
        <v>6</v>
      </c>
      <c r="AI472" s="4">
        <v>10</v>
      </c>
      <c r="AJ472" s="4">
        <v>13</v>
      </c>
      <c r="AK472" s="4">
        <v>22</v>
      </c>
      <c r="AL472" s="4">
        <v>8</v>
      </c>
      <c r="AM472" s="4">
        <v>11</v>
      </c>
      <c r="AN472" s="4">
        <v>1</v>
      </c>
      <c r="AO472" s="4">
        <v>1</v>
      </c>
      <c r="AP472" s="3" t="s">
        <v>59</v>
      </c>
      <c r="AQ472" s="3" t="s">
        <v>59</v>
      </c>
      <c r="AS472" s="6" t="str">
        <f>HYPERLINK("https://creighton-primo.hosted.exlibrisgroup.com/primo-explore/search?tab=default_tab&amp;search_scope=EVERYTHING&amp;vid=01CRU&amp;lang=en_US&amp;offset=0&amp;query=any,contains,991005054149702656","Catalog Record")</f>
        <v>Catalog Record</v>
      </c>
      <c r="AT472" s="6" t="str">
        <f>HYPERLINK("http://www.worldcat.org/oclc/6890095","WorldCat Record")</f>
        <v>WorldCat Record</v>
      </c>
      <c r="AU472" s="3" t="s">
        <v>6071</v>
      </c>
      <c r="AV472" s="3" t="s">
        <v>6072</v>
      </c>
      <c r="AW472" s="3" t="s">
        <v>6073</v>
      </c>
      <c r="AX472" s="3" t="s">
        <v>6073</v>
      </c>
      <c r="AY472" s="3" t="s">
        <v>6074</v>
      </c>
      <c r="AZ472" s="3" t="s">
        <v>75</v>
      </c>
      <c r="BB472" s="3" t="s">
        <v>6075</v>
      </c>
      <c r="BC472" s="3" t="s">
        <v>6076</v>
      </c>
      <c r="BD472" s="3" t="s">
        <v>6077</v>
      </c>
    </row>
    <row r="473" spans="1:56" ht="48" customHeight="1" x14ac:dyDescent="0.25">
      <c r="A473" s="7" t="s">
        <v>59</v>
      </c>
      <c r="B473" s="2" t="s">
        <v>6078</v>
      </c>
      <c r="C473" s="2" t="s">
        <v>6079</v>
      </c>
      <c r="D473" s="2" t="s">
        <v>6067</v>
      </c>
      <c r="F473" s="3" t="s">
        <v>59</v>
      </c>
      <c r="G473" s="3" t="s">
        <v>60</v>
      </c>
      <c r="H473" s="3" t="s">
        <v>59</v>
      </c>
      <c r="I473" s="3" t="s">
        <v>70</v>
      </c>
      <c r="J473" s="3" t="s">
        <v>61</v>
      </c>
      <c r="K473" s="2" t="s">
        <v>6068</v>
      </c>
      <c r="L473" s="2" t="s">
        <v>4107</v>
      </c>
      <c r="M473" s="3" t="s">
        <v>333</v>
      </c>
      <c r="N473" s="2" t="s">
        <v>6080</v>
      </c>
      <c r="O473" s="3" t="s">
        <v>64</v>
      </c>
      <c r="P473" s="3" t="s">
        <v>130</v>
      </c>
      <c r="Q473" s="2" t="s">
        <v>576</v>
      </c>
      <c r="R473" s="3" t="s">
        <v>67</v>
      </c>
      <c r="S473" s="4">
        <v>29</v>
      </c>
      <c r="T473" s="4">
        <v>29</v>
      </c>
      <c r="U473" s="5" t="s">
        <v>5866</v>
      </c>
      <c r="V473" s="5" t="s">
        <v>5866</v>
      </c>
      <c r="W473" s="5" t="s">
        <v>6081</v>
      </c>
      <c r="X473" s="5" t="s">
        <v>6081</v>
      </c>
      <c r="Y473" s="4">
        <v>908</v>
      </c>
      <c r="Z473" s="4">
        <v>768</v>
      </c>
      <c r="AA473" s="4">
        <v>2005</v>
      </c>
      <c r="AB473" s="4">
        <v>11</v>
      </c>
      <c r="AC473" s="4">
        <v>21</v>
      </c>
      <c r="AD473" s="4">
        <v>19</v>
      </c>
      <c r="AE473" s="4">
        <v>54</v>
      </c>
      <c r="AF473" s="4">
        <v>7</v>
      </c>
      <c r="AG473" s="4">
        <v>22</v>
      </c>
      <c r="AH473" s="4">
        <v>3</v>
      </c>
      <c r="AI473" s="4">
        <v>10</v>
      </c>
      <c r="AJ473" s="4">
        <v>8</v>
      </c>
      <c r="AK473" s="4">
        <v>22</v>
      </c>
      <c r="AL473" s="4">
        <v>4</v>
      </c>
      <c r="AM473" s="4">
        <v>11</v>
      </c>
      <c r="AN473" s="4">
        <v>0</v>
      </c>
      <c r="AO473" s="4">
        <v>1</v>
      </c>
      <c r="AP473" s="3" t="s">
        <v>59</v>
      </c>
      <c r="AQ473" s="3" t="s">
        <v>59</v>
      </c>
      <c r="AS473" s="6" t="str">
        <f>HYPERLINK("https://creighton-primo.hosted.exlibrisgroup.com/primo-explore/search?tab=default_tab&amp;search_scope=EVERYTHING&amp;vid=01CRU&amp;lang=en_US&amp;offset=0&amp;query=any,contains,991000516019702656","Catalog Record")</f>
        <v>Catalog Record</v>
      </c>
      <c r="AT473" s="6" t="str">
        <f>HYPERLINK("http://www.worldcat.org/oclc/11290048","WorldCat Record")</f>
        <v>WorldCat Record</v>
      </c>
      <c r="AU473" s="3" t="s">
        <v>6071</v>
      </c>
      <c r="AV473" s="3" t="s">
        <v>6082</v>
      </c>
      <c r="AW473" s="3" t="s">
        <v>6083</v>
      </c>
      <c r="AX473" s="3" t="s">
        <v>6083</v>
      </c>
      <c r="AY473" s="3" t="s">
        <v>6084</v>
      </c>
      <c r="AZ473" s="3" t="s">
        <v>75</v>
      </c>
      <c r="BB473" s="3" t="s">
        <v>6085</v>
      </c>
      <c r="BC473" s="3" t="s">
        <v>6086</v>
      </c>
      <c r="BD473" s="3" t="s">
        <v>6087</v>
      </c>
    </row>
    <row r="474" spans="1:56" ht="48" customHeight="1" x14ac:dyDescent="0.25">
      <c r="A474" s="7" t="s">
        <v>59</v>
      </c>
      <c r="B474" s="2" t="s">
        <v>6088</v>
      </c>
      <c r="C474" s="2" t="s">
        <v>6089</v>
      </c>
      <c r="D474" s="2" t="s">
        <v>6090</v>
      </c>
      <c r="F474" s="3" t="s">
        <v>59</v>
      </c>
      <c r="G474" s="3" t="s">
        <v>60</v>
      </c>
      <c r="H474" s="3" t="s">
        <v>59</v>
      </c>
      <c r="I474" s="3" t="s">
        <v>59</v>
      </c>
      <c r="J474" s="3" t="s">
        <v>61</v>
      </c>
      <c r="K474" s="2" t="s">
        <v>6091</v>
      </c>
      <c r="L474" s="2" t="s">
        <v>6092</v>
      </c>
      <c r="M474" s="3" t="s">
        <v>190</v>
      </c>
      <c r="N474" s="2" t="s">
        <v>731</v>
      </c>
      <c r="O474" s="3" t="s">
        <v>64</v>
      </c>
      <c r="P474" s="3" t="s">
        <v>130</v>
      </c>
      <c r="Q474" s="2" t="s">
        <v>6093</v>
      </c>
      <c r="R474" s="3" t="s">
        <v>67</v>
      </c>
      <c r="S474" s="4">
        <v>0</v>
      </c>
      <c r="T474" s="4">
        <v>0</v>
      </c>
      <c r="U474" s="5" t="s">
        <v>620</v>
      </c>
      <c r="V474" s="5" t="s">
        <v>620</v>
      </c>
      <c r="W474" s="5" t="s">
        <v>6094</v>
      </c>
      <c r="X474" s="5" t="s">
        <v>6094</v>
      </c>
      <c r="Y474" s="4">
        <v>388</v>
      </c>
      <c r="Z474" s="4">
        <v>363</v>
      </c>
      <c r="AA474" s="4">
        <v>407</v>
      </c>
      <c r="AB474" s="4">
        <v>4</v>
      </c>
      <c r="AC474" s="4">
        <v>4</v>
      </c>
      <c r="AD474" s="4">
        <v>8</v>
      </c>
      <c r="AE474" s="4">
        <v>8</v>
      </c>
      <c r="AF474" s="4">
        <v>4</v>
      </c>
      <c r="AG474" s="4">
        <v>4</v>
      </c>
      <c r="AH474" s="4">
        <v>1</v>
      </c>
      <c r="AI474" s="4">
        <v>1</v>
      </c>
      <c r="AJ474" s="4">
        <v>4</v>
      </c>
      <c r="AK474" s="4">
        <v>4</v>
      </c>
      <c r="AL474" s="4">
        <v>1</v>
      </c>
      <c r="AM474" s="4">
        <v>1</v>
      </c>
      <c r="AN474" s="4">
        <v>0</v>
      </c>
      <c r="AO474" s="4">
        <v>0</v>
      </c>
      <c r="AP474" s="3" t="s">
        <v>59</v>
      </c>
      <c r="AQ474" s="3" t="s">
        <v>70</v>
      </c>
      <c r="AR474" s="6" t="str">
        <f>HYPERLINK("http://catalog.hathitrust.org/Record/102102362","HathiTrust Record")</f>
        <v>HathiTrust Record</v>
      </c>
      <c r="AS474" s="6" t="str">
        <f>HYPERLINK("https://creighton-primo.hosted.exlibrisgroup.com/primo-explore/search?tab=default_tab&amp;search_scope=EVERYTHING&amp;vid=01CRU&amp;lang=en_US&amp;offset=0&amp;query=any,contains,991000703229702656","Catalog Record")</f>
        <v>Catalog Record</v>
      </c>
      <c r="AT474" s="6" t="str">
        <f>HYPERLINK("http://www.worldcat.org/oclc/12553572","WorldCat Record")</f>
        <v>WorldCat Record</v>
      </c>
      <c r="AU474" s="3" t="s">
        <v>6095</v>
      </c>
      <c r="AV474" s="3" t="s">
        <v>6096</v>
      </c>
      <c r="AW474" s="3" t="s">
        <v>6097</v>
      </c>
      <c r="AX474" s="3" t="s">
        <v>6097</v>
      </c>
      <c r="AY474" s="3" t="s">
        <v>6098</v>
      </c>
      <c r="AZ474" s="3" t="s">
        <v>75</v>
      </c>
      <c r="BB474" s="3" t="s">
        <v>6099</v>
      </c>
      <c r="BC474" s="3" t="s">
        <v>6100</v>
      </c>
      <c r="BD474" s="3" t="s">
        <v>6101</v>
      </c>
    </row>
    <row r="475" spans="1:56" ht="48" customHeight="1" x14ac:dyDescent="0.25">
      <c r="A475" s="7" t="s">
        <v>59</v>
      </c>
      <c r="B475" s="2" t="s">
        <v>6102</v>
      </c>
      <c r="C475" s="2" t="s">
        <v>6103</v>
      </c>
      <c r="D475" s="2" t="s">
        <v>6104</v>
      </c>
      <c r="F475" s="3" t="s">
        <v>59</v>
      </c>
      <c r="G475" s="3" t="s">
        <v>60</v>
      </c>
      <c r="H475" s="3" t="s">
        <v>59</v>
      </c>
      <c r="I475" s="3" t="s">
        <v>59</v>
      </c>
      <c r="J475" s="3" t="s">
        <v>61</v>
      </c>
      <c r="K475" s="2" t="s">
        <v>6105</v>
      </c>
      <c r="L475" s="2" t="s">
        <v>6106</v>
      </c>
      <c r="M475" s="3" t="s">
        <v>113</v>
      </c>
      <c r="O475" s="3" t="s">
        <v>64</v>
      </c>
      <c r="P475" s="3" t="s">
        <v>912</v>
      </c>
      <c r="R475" s="3" t="s">
        <v>67</v>
      </c>
      <c r="S475" s="4">
        <v>2</v>
      </c>
      <c r="T475" s="4">
        <v>2</v>
      </c>
      <c r="U475" s="5" t="s">
        <v>885</v>
      </c>
      <c r="V475" s="5" t="s">
        <v>885</v>
      </c>
      <c r="W475" s="5" t="s">
        <v>4108</v>
      </c>
      <c r="X475" s="5" t="s">
        <v>4108</v>
      </c>
      <c r="Y475" s="4">
        <v>431</v>
      </c>
      <c r="Z475" s="4">
        <v>335</v>
      </c>
      <c r="AA475" s="4">
        <v>362</v>
      </c>
      <c r="AB475" s="4">
        <v>3</v>
      </c>
      <c r="AC475" s="4">
        <v>3</v>
      </c>
      <c r="AD475" s="4">
        <v>12</v>
      </c>
      <c r="AE475" s="4">
        <v>12</v>
      </c>
      <c r="AF475" s="4">
        <v>3</v>
      </c>
      <c r="AG475" s="4">
        <v>3</v>
      </c>
      <c r="AH475" s="4">
        <v>3</v>
      </c>
      <c r="AI475" s="4">
        <v>3</v>
      </c>
      <c r="AJ475" s="4">
        <v>7</v>
      </c>
      <c r="AK475" s="4">
        <v>7</v>
      </c>
      <c r="AL475" s="4">
        <v>2</v>
      </c>
      <c r="AM475" s="4">
        <v>2</v>
      </c>
      <c r="AN475" s="4">
        <v>0</v>
      </c>
      <c r="AO475" s="4">
        <v>0</v>
      </c>
      <c r="AP475" s="3" t="s">
        <v>59</v>
      </c>
      <c r="AQ475" s="3" t="s">
        <v>70</v>
      </c>
      <c r="AR475" s="6" t="str">
        <f>HYPERLINK("http://catalog.hathitrust.org/Record/000825884","HathiTrust Record")</f>
        <v>HathiTrust Record</v>
      </c>
      <c r="AS475" s="6" t="str">
        <f>HYPERLINK("https://creighton-primo.hosted.exlibrisgroup.com/primo-explore/search?tab=default_tab&amp;search_scope=EVERYTHING&amp;vid=01CRU&amp;lang=en_US&amp;offset=0&amp;query=any,contains,991001019729702656","Catalog Record")</f>
        <v>Catalog Record</v>
      </c>
      <c r="AT475" s="6" t="str">
        <f>HYPERLINK("http://www.worldcat.org/oclc/15366059","WorldCat Record")</f>
        <v>WorldCat Record</v>
      </c>
      <c r="AU475" s="3" t="s">
        <v>6107</v>
      </c>
      <c r="AV475" s="3" t="s">
        <v>6108</v>
      </c>
      <c r="AW475" s="3" t="s">
        <v>6109</v>
      </c>
      <c r="AX475" s="3" t="s">
        <v>6109</v>
      </c>
      <c r="AY475" s="3" t="s">
        <v>6110</v>
      </c>
      <c r="AZ475" s="3" t="s">
        <v>75</v>
      </c>
      <c r="BB475" s="3" t="s">
        <v>6111</v>
      </c>
      <c r="BC475" s="3" t="s">
        <v>6112</v>
      </c>
      <c r="BD475" s="3" t="s">
        <v>6113</v>
      </c>
    </row>
    <row r="476" spans="1:56" ht="48" customHeight="1" x14ac:dyDescent="0.25">
      <c r="A476" s="7" t="s">
        <v>59</v>
      </c>
      <c r="B476" s="2" t="s">
        <v>6114</v>
      </c>
      <c r="C476" s="2" t="s">
        <v>6115</v>
      </c>
      <c r="D476" s="2" t="s">
        <v>6116</v>
      </c>
      <c r="F476" s="3" t="s">
        <v>59</v>
      </c>
      <c r="G476" s="3" t="s">
        <v>60</v>
      </c>
      <c r="H476" s="3" t="s">
        <v>59</v>
      </c>
      <c r="I476" s="3" t="s">
        <v>59</v>
      </c>
      <c r="J476" s="3" t="s">
        <v>61</v>
      </c>
      <c r="K476" s="2" t="s">
        <v>6117</v>
      </c>
      <c r="L476" s="2" t="s">
        <v>6118</v>
      </c>
      <c r="M476" s="3" t="s">
        <v>897</v>
      </c>
      <c r="O476" s="3" t="s">
        <v>64</v>
      </c>
      <c r="P476" s="3" t="s">
        <v>130</v>
      </c>
      <c r="Q476" s="2" t="s">
        <v>6119</v>
      </c>
      <c r="R476" s="3" t="s">
        <v>67</v>
      </c>
      <c r="S476" s="4">
        <v>1</v>
      </c>
      <c r="T476" s="4">
        <v>1</v>
      </c>
      <c r="U476" s="5" t="s">
        <v>6120</v>
      </c>
      <c r="V476" s="5" t="s">
        <v>6120</v>
      </c>
      <c r="W476" s="5" t="s">
        <v>6121</v>
      </c>
      <c r="X476" s="5" t="s">
        <v>6121</v>
      </c>
      <c r="Y476" s="4">
        <v>229</v>
      </c>
      <c r="Z476" s="4">
        <v>158</v>
      </c>
      <c r="AA476" s="4">
        <v>182</v>
      </c>
      <c r="AB476" s="4">
        <v>1</v>
      </c>
      <c r="AC476" s="4">
        <v>1</v>
      </c>
      <c r="AD476" s="4">
        <v>7</v>
      </c>
      <c r="AE476" s="4">
        <v>9</v>
      </c>
      <c r="AF476" s="4">
        <v>3</v>
      </c>
      <c r="AG476" s="4">
        <v>5</v>
      </c>
      <c r="AH476" s="4">
        <v>2</v>
      </c>
      <c r="AI476" s="4">
        <v>2</v>
      </c>
      <c r="AJ476" s="4">
        <v>5</v>
      </c>
      <c r="AK476" s="4">
        <v>6</v>
      </c>
      <c r="AL476" s="4">
        <v>0</v>
      </c>
      <c r="AM476" s="4">
        <v>0</v>
      </c>
      <c r="AN476" s="4">
        <v>0</v>
      </c>
      <c r="AO476" s="4">
        <v>0</v>
      </c>
      <c r="AP476" s="3" t="s">
        <v>59</v>
      </c>
      <c r="AQ476" s="3" t="s">
        <v>70</v>
      </c>
      <c r="AR476" s="6" t="str">
        <f>HYPERLINK("http://catalog.hathitrust.org/Record/002455056","HathiTrust Record")</f>
        <v>HathiTrust Record</v>
      </c>
      <c r="AS476" s="6" t="str">
        <f>HYPERLINK("https://creighton-primo.hosted.exlibrisgroup.com/primo-explore/search?tab=default_tab&amp;search_scope=EVERYTHING&amp;vid=01CRU&amp;lang=en_US&amp;offset=0&amp;query=any,contains,991001756469702656","Catalog Record")</f>
        <v>Catalog Record</v>
      </c>
      <c r="AT476" s="6" t="str">
        <f>HYPERLINK("http://www.worldcat.org/oclc/22209792","WorldCat Record")</f>
        <v>WorldCat Record</v>
      </c>
      <c r="AU476" s="3" t="s">
        <v>6122</v>
      </c>
      <c r="AV476" s="3" t="s">
        <v>6123</v>
      </c>
      <c r="AW476" s="3" t="s">
        <v>6124</v>
      </c>
      <c r="AX476" s="3" t="s">
        <v>6124</v>
      </c>
      <c r="AY476" s="3" t="s">
        <v>6125</v>
      </c>
      <c r="AZ476" s="3" t="s">
        <v>75</v>
      </c>
      <c r="BB476" s="3" t="s">
        <v>6126</v>
      </c>
      <c r="BC476" s="3" t="s">
        <v>6127</v>
      </c>
      <c r="BD476" s="3" t="s">
        <v>6128</v>
      </c>
    </row>
    <row r="477" spans="1:56" ht="48" customHeight="1" x14ac:dyDescent="0.25">
      <c r="A477" s="7" t="s">
        <v>59</v>
      </c>
      <c r="B477" s="2" t="s">
        <v>6129</v>
      </c>
      <c r="C477" s="2" t="s">
        <v>6130</v>
      </c>
      <c r="D477" s="2" t="s">
        <v>6131</v>
      </c>
      <c r="F477" s="3" t="s">
        <v>59</v>
      </c>
      <c r="G477" s="3" t="s">
        <v>60</v>
      </c>
      <c r="H477" s="3" t="s">
        <v>59</v>
      </c>
      <c r="I477" s="3" t="s">
        <v>59</v>
      </c>
      <c r="J477" s="3" t="s">
        <v>61</v>
      </c>
      <c r="K477" s="2" t="s">
        <v>3816</v>
      </c>
      <c r="L477" s="2" t="s">
        <v>6132</v>
      </c>
      <c r="M477" s="3" t="s">
        <v>2680</v>
      </c>
      <c r="O477" s="3" t="s">
        <v>64</v>
      </c>
      <c r="P477" s="3" t="s">
        <v>264</v>
      </c>
      <c r="R477" s="3" t="s">
        <v>67</v>
      </c>
      <c r="S477" s="4">
        <v>1</v>
      </c>
      <c r="T477" s="4">
        <v>1</v>
      </c>
      <c r="U477" s="5" t="s">
        <v>6133</v>
      </c>
      <c r="V477" s="5" t="s">
        <v>6133</v>
      </c>
      <c r="W477" s="5" t="s">
        <v>6133</v>
      </c>
      <c r="X477" s="5" t="s">
        <v>6133</v>
      </c>
      <c r="Y477" s="4">
        <v>614</v>
      </c>
      <c r="Z477" s="4">
        <v>476</v>
      </c>
      <c r="AA477" s="4">
        <v>510</v>
      </c>
      <c r="AB477" s="4">
        <v>6</v>
      </c>
      <c r="AC477" s="4">
        <v>6</v>
      </c>
      <c r="AD477" s="4">
        <v>25</v>
      </c>
      <c r="AE477" s="4">
        <v>25</v>
      </c>
      <c r="AF477" s="4">
        <v>6</v>
      </c>
      <c r="AG477" s="4">
        <v>6</v>
      </c>
      <c r="AH477" s="4">
        <v>6</v>
      </c>
      <c r="AI477" s="4">
        <v>6</v>
      </c>
      <c r="AJ477" s="4">
        <v>13</v>
      </c>
      <c r="AK477" s="4">
        <v>13</v>
      </c>
      <c r="AL477" s="4">
        <v>4</v>
      </c>
      <c r="AM477" s="4">
        <v>4</v>
      </c>
      <c r="AN477" s="4">
        <v>0</v>
      </c>
      <c r="AO477" s="4">
        <v>0</v>
      </c>
      <c r="AP477" s="3" t="s">
        <v>59</v>
      </c>
      <c r="AQ477" s="3" t="s">
        <v>59</v>
      </c>
      <c r="AS477" s="6" t="str">
        <f>HYPERLINK("https://creighton-primo.hosted.exlibrisgroup.com/primo-explore/search?tab=default_tab&amp;search_scope=EVERYTHING&amp;vid=01CRU&amp;lang=en_US&amp;offset=0&amp;query=any,contains,991003232869702656","Catalog Record")</f>
        <v>Catalog Record</v>
      </c>
      <c r="AT477" s="6" t="str">
        <f>HYPERLINK("http://www.worldcat.org/oclc/41580447","WorldCat Record")</f>
        <v>WorldCat Record</v>
      </c>
      <c r="AU477" s="3" t="s">
        <v>6134</v>
      </c>
      <c r="AV477" s="3" t="s">
        <v>6135</v>
      </c>
      <c r="AW477" s="3" t="s">
        <v>6136</v>
      </c>
      <c r="AX477" s="3" t="s">
        <v>6136</v>
      </c>
      <c r="AY477" s="3" t="s">
        <v>6137</v>
      </c>
      <c r="AZ477" s="3" t="s">
        <v>75</v>
      </c>
      <c r="BB477" s="3" t="s">
        <v>6138</v>
      </c>
      <c r="BC477" s="3" t="s">
        <v>6139</v>
      </c>
      <c r="BD477" s="3" t="s">
        <v>6140</v>
      </c>
    </row>
    <row r="478" spans="1:56" ht="48" customHeight="1" x14ac:dyDescent="0.25">
      <c r="A478" s="7" t="s">
        <v>59</v>
      </c>
      <c r="B478" s="2" t="s">
        <v>6141</v>
      </c>
      <c r="C478" s="2" t="s">
        <v>6142</v>
      </c>
      <c r="D478" s="2" t="s">
        <v>6143</v>
      </c>
      <c r="F478" s="3" t="s">
        <v>59</v>
      </c>
      <c r="G478" s="3" t="s">
        <v>60</v>
      </c>
      <c r="H478" s="3" t="s">
        <v>59</v>
      </c>
      <c r="I478" s="3" t="s">
        <v>59</v>
      </c>
      <c r="J478" s="3" t="s">
        <v>61</v>
      </c>
      <c r="K478" s="2" t="s">
        <v>6144</v>
      </c>
      <c r="L478" s="2" t="s">
        <v>6145</v>
      </c>
      <c r="M478" s="3" t="s">
        <v>319</v>
      </c>
      <c r="O478" s="3" t="s">
        <v>64</v>
      </c>
      <c r="P478" s="3" t="s">
        <v>130</v>
      </c>
      <c r="Q478" s="2" t="s">
        <v>6146</v>
      </c>
      <c r="R478" s="3" t="s">
        <v>67</v>
      </c>
      <c r="S478" s="4">
        <v>1</v>
      </c>
      <c r="T478" s="4">
        <v>1</v>
      </c>
      <c r="U478" s="5" t="s">
        <v>116</v>
      </c>
      <c r="V478" s="5" t="s">
        <v>116</v>
      </c>
      <c r="W478" s="5" t="s">
        <v>4108</v>
      </c>
      <c r="X478" s="5" t="s">
        <v>4108</v>
      </c>
      <c r="Y478" s="4">
        <v>208</v>
      </c>
      <c r="Z478" s="4">
        <v>162</v>
      </c>
      <c r="AA478" s="4">
        <v>162</v>
      </c>
      <c r="AB478" s="4">
        <v>2</v>
      </c>
      <c r="AC478" s="4">
        <v>2</v>
      </c>
      <c r="AD478" s="4">
        <v>5</v>
      </c>
      <c r="AE478" s="4">
        <v>5</v>
      </c>
      <c r="AF478" s="4">
        <v>1</v>
      </c>
      <c r="AG478" s="4">
        <v>1</v>
      </c>
      <c r="AH478" s="4">
        <v>2</v>
      </c>
      <c r="AI478" s="4">
        <v>2</v>
      </c>
      <c r="AJ478" s="4">
        <v>3</v>
      </c>
      <c r="AK478" s="4">
        <v>3</v>
      </c>
      <c r="AL478" s="4">
        <v>1</v>
      </c>
      <c r="AM478" s="4">
        <v>1</v>
      </c>
      <c r="AN478" s="4">
        <v>0</v>
      </c>
      <c r="AO478" s="4">
        <v>0</v>
      </c>
      <c r="AP478" s="3" t="s">
        <v>59</v>
      </c>
      <c r="AQ478" s="3" t="s">
        <v>59</v>
      </c>
      <c r="AS478" s="6" t="str">
        <f>HYPERLINK("https://creighton-primo.hosted.exlibrisgroup.com/primo-explore/search?tab=default_tab&amp;search_scope=EVERYTHING&amp;vid=01CRU&amp;lang=en_US&amp;offset=0&amp;query=any,contains,991000444149702656","Catalog Record")</f>
        <v>Catalog Record</v>
      </c>
      <c r="AT478" s="6" t="str">
        <f>HYPERLINK("http://www.worldcat.org/oclc/10849551","WorldCat Record")</f>
        <v>WorldCat Record</v>
      </c>
      <c r="AU478" s="3" t="s">
        <v>6147</v>
      </c>
      <c r="AV478" s="3" t="s">
        <v>6148</v>
      </c>
      <c r="AW478" s="3" t="s">
        <v>6149</v>
      </c>
      <c r="AX478" s="3" t="s">
        <v>6149</v>
      </c>
      <c r="AY478" s="3" t="s">
        <v>6150</v>
      </c>
      <c r="AZ478" s="3" t="s">
        <v>75</v>
      </c>
      <c r="BB478" s="3" t="s">
        <v>6151</v>
      </c>
      <c r="BC478" s="3" t="s">
        <v>6152</v>
      </c>
      <c r="BD478" s="3" t="s">
        <v>6153</v>
      </c>
    </row>
    <row r="479" spans="1:56" ht="48" customHeight="1" x14ac:dyDescent="0.25">
      <c r="A479" s="7" t="s">
        <v>59</v>
      </c>
      <c r="B479" s="2" t="s">
        <v>6154</v>
      </c>
      <c r="C479" s="2" t="s">
        <v>6155</v>
      </c>
      <c r="D479" s="2" t="s">
        <v>6156</v>
      </c>
      <c r="F479" s="3" t="s">
        <v>59</v>
      </c>
      <c r="G479" s="3" t="s">
        <v>60</v>
      </c>
      <c r="H479" s="3" t="s">
        <v>59</v>
      </c>
      <c r="I479" s="3" t="s">
        <v>59</v>
      </c>
      <c r="J479" s="3" t="s">
        <v>61</v>
      </c>
      <c r="L479" s="2" t="s">
        <v>430</v>
      </c>
      <c r="M479" s="3" t="s">
        <v>417</v>
      </c>
      <c r="O479" s="3" t="s">
        <v>64</v>
      </c>
      <c r="P479" s="3" t="s">
        <v>130</v>
      </c>
      <c r="Q479" s="2" t="s">
        <v>5983</v>
      </c>
      <c r="R479" s="3" t="s">
        <v>67</v>
      </c>
      <c r="S479" s="4">
        <v>2</v>
      </c>
      <c r="T479" s="4">
        <v>2</v>
      </c>
      <c r="U479" s="5" t="s">
        <v>6157</v>
      </c>
      <c r="V479" s="5" t="s">
        <v>6157</v>
      </c>
      <c r="W479" s="5" t="s">
        <v>4108</v>
      </c>
      <c r="X479" s="5" t="s">
        <v>4108</v>
      </c>
      <c r="Y479" s="4">
        <v>544</v>
      </c>
      <c r="Z479" s="4">
        <v>403</v>
      </c>
      <c r="AA479" s="4">
        <v>456</v>
      </c>
      <c r="AB479" s="4">
        <v>3</v>
      </c>
      <c r="AC479" s="4">
        <v>3</v>
      </c>
      <c r="AD479" s="4">
        <v>19</v>
      </c>
      <c r="AE479" s="4">
        <v>22</v>
      </c>
      <c r="AF479" s="4">
        <v>6</v>
      </c>
      <c r="AG479" s="4">
        <v>8</v>
      </c>
      <c r="AH479" s="4">
        <v>4</v>
      </c>
      <c r="AI479" s="4">
        <v>6</v>
      </c>
      <c r="AJ479" s="4">
        <v>11</v>
      </c>
      <c r="AK479" s="4">
        <v>11</v>
      </c>
      <c r="AL479" s="4">
        <v>2</v>
      </c>
      <c r="AM479" s="4">
        <v>2</v>
      </c>
      <c r="AN479" s="4">
        <v>0</v>
      </c>
      <c r="AO479" s="4">
        <v>0</v>
      </c>
      <c r="AP479" s="3" t="s">
        <v>59</v>
      </c>
      <c r="AQ479" s="3" t="s">
        <v>70</v>
      </c>
      <c r="AR479" s="6" t="str">
        <f>HYPERLINK("http://catalog.hathitrust.org/Record/000592034","HathiTrust Record")</f>
        <v>HathiTrust Record</v>
      </c>
      <c r="AS479" s="6" t="str">
        <f>HYPERLINK("https://creighton-primo.hosted.exlibrisgroup.com/primo-explore/search?tab=default_tab&amp;search_scope=EVERYTHING&amp;vid=01CRU&amp;lang=en_US&amp;offset=0&amp;query=any,contains,991000033059702656","Catalog Record")</f>
        <v>Catalog Record</v>
      </c>
      <c r="AT479" s="6" t="str">
        <f>HYPERLINK("http://www.worldcat.org/oclc/8626409","WorldCat Record")</f>
        <v>WorldCat Record</v>
      </c>
      <c r="AU479" s="3" t="s">
        <v>6158</v>
      </c>
      <c r="AV479" s="3" t="s">
        <v>6159</v>
      </c>
      <c r="AW479" s="3" t="s">
        <v>6160</v>
      </c>
      <c r="AX479" s="3" t="s">
        <v>6160</v>
      </c>
      <c r="AY479" s="3" t="s">
        <v>6161</v>
      </c>
      <c r="AZ479" s="3" t="s">
        <v>75</v>
      </c>
      <c r="BB479" s="3" t="s">
        <v>6162</v>
      </c>
      <c r="BC479" s="3" t="s">
        <v>6163</v>
      </c>
      <c r="BD479" s="3" t="s">
        <v>6164</v>
      </c>
    </row>
    <row r="480" spans="1:56" ht="48" customHeight="1" x14ac:dyDescent="0.25">
      <c r="A480" s="7" t="s">
        <v>59</v>
      </c>
      <c r="B480" s="2" t="s">
        <v>6165</v>
      </c>
      <c r="C480" s="2" t="s">
        <v>6166</v>
      </c>
      <c r="D480" s="2" t="s">
        <v>6167</v>
      </c>
      <c r="F480" s="3" t="s">
        <v>59</v>
      </c>
      <c r="G480" s="3" t="s">
        <v>60</v>
      </c>
      <c r="H480" s="3" t="s">
        <v>59</v>
      </c>
      <c r="I480" s="3" t="s">
        <v>59</v>
      </c>
      <c r="J480" s="3" t="s">
        <v>61</v>
      </c>
      <c r="K480" s="2" t="s">
        <v>6168</v>
      </c>
      <c r="L480" s="2" t="s">
        <v>6169</v>
      </c>
      <c r="M480" s="3" t="s">
        <v>1611</v>
      </c>
      <c r="N480" s="2" t="s">
        <v>6170</v>
      </c>
      <c r="O480" s="3" t="s">
        <v>64</v>
      </c>
      <c r="P480" s="3" t="s">
        <v>5944</v>
      </c>
      <c r="Q480" s="2" t="s">
        <v>6171</v>
      </c>
      <c r="R480" s="3" t="s">
        <v>67</v>
      </c>
      <c r="S480" s="4">
        <v>7</v>
      </c>
      <c r="T480" s="4">
        <v>7</v>
      </c>
      <c r="U480" s="5" t="s">
        <v>6172</v>
      </c>
      <c r="V480" s="5" t="s">
        <v>6172</v>
      </c>
      <c r="W480" s="5" t="s">
        <v>2153</v>
      </c>
      <c r="X480" s="5" t="s">
        <v>2153</v>
      </c>
      <c r="Y480" s="4">
        <v>57</v>
      </c>
      <c r="Z480" s="4">
        <v>43</v>
      </c>
      <c r="AA480" s="4">
        <v>50</v>
      </c>
      <c r="AB480" s="4">
        <v>1</v>
      </c>
      <c r="AC480" s="4">
        <v>1</v>
      </c>
      <c r="AD480" s="4">
        <v>2</v>
      </c>
      <c r="AE480" s="4">
        <v>2</v>
      </c>
      <c r="AF480" s="4">
        <v>0</v>
      </c>
      <c r="AG480" s="4">
        <v>0</v>
      </c>
      <c r="AH480" s="4">
        <v>1</v>
      </c>
      <c r="AI480" s="4">
        <v>1</v>
      </c>
      <c r="AJ480" s="4">
        <v>1</v>
      </c>
      <c r="AK480" s="4">
        <v>1</v>
      </c>
      <c r="AL480" s="4">
        <v>0</v>
      </c>
      <c r="AM480" s="4">
        <v>0</v>
      </c>
      <c r="AN480" s="4">
        <v>0</v>
      </c>
      <c r="AO480" s="4">
        <v>0</v>
      </c>
      <c r="AP480" s="3" t="s">
        <v>59</v>
      </c>
      <c r="AQ480" s="3" t="s">
        <v>70</v>
      </c>
      <c r="AR480" s="6" t="str">
        <f>HYPERLINK("http://catalog.hathitrust.org/Record/010661951","HathiTrust Record")</f>
        <v>HathiTrust Record</v>
      </c>
      <c r="AS480" s="6" t="str">
        <f>HYPERLINK("https://creighton-primo.hosted.exlibrisgroup.com/primo-explore/search?tab=default_tab&amp;search_scope=EVERYTHING&amp;vid=01CRU&amp;lang=en_US&amp;offset=0&amp;query=any,contains,991002547039702656","Catalog Record")</f>
        <v>Catalog Record</v>
      </c>
      <c r="AT480" s="6" t="str">
        <f>HYPERLINK("http://www.worldcat.org/oclc/33098894","WorldCat Record")</f>
        <v>WorldCat Record</v>
      </c>
      <c r="AU480" s="3" t="s">
        <v>6173</v>
      </c>
      <c r="AV480" s="3" t="s">
        <v>6174</v>
      </c>
      <c r="AW480" s="3" t="s">
        <v>6175</v>
      </c>
      <c r="AX480" s="3" t="s">
        <v>6175</v>
      </c>
      <c r="AY480" s="3" t="s">
        <v>6176</v>
      </c>
      <c r="AZ480" s="3" t="s">
        <v>75</v>
      </c>
      <c r="BB480" s="3" t="s">
        <v>6177</v>
      </c>
      <c r="BC480" s="3" t="s">
        <v>6178</v>
      </c>
      <c r="BD480" s="3" t="s">
        <v>6179</v>
      </c>
    </row>
    <row r="481" spans="1:56" ht="48" customHeight="1" x14ac:dyDescent="0.25">
      <c r="A481" s="7" t="s">
        <v>59</v>
      </c>
      <c r="B481" s="2" t="s">
        <v>6180</v>
      </c>
      <c r="C481" s="2" t="s">
        <v>6181</v>
      </c>
      <c r="D481" s="2" t="s">
        <v>6182</v>
      </c>
      <c r="F481" s="3" t="s">
        <v>59</v>
      </c>
      <c r="G481" s="3" t="s">
        <v>60</v>
      </c>
      <c r="H481" s="3" t="s">
        <v>59</v>
      </c>
      <c r="I481" s="3" t="s">
        <v>70</v>
      </c>
      <c r="J481" s="3" t="s">
        <v>61</v>
      </c>
      <c r="K481" s="2" t="s">
        <v>6183</v>
      </c>
      <c r="L481" s="2" t="s">
        <v>6184</v>
      </c>
      <c r="M481" s="3" t="s">
        <v>6185</v>
      </c>
      <c r="O481" s="3" t="s">
        <v>64</v>
      </c>
      <c r="P481" s="3" t="s">
        <v>130</v>
      </c>
      <c r="R481" s="3" t="s">
        <v>67</v>
      </c>
      <c r="S481" s="4">
        <v>2</v>
      </c>
      <c r="T481" s="4">
        <v>2</v>
      </c>
      <c r="U481" s="5" t="s">
        <v>6186</v>
      </c>
      <c r="V481" s="5" t="s">
        <v>6186</v>
      </c>
      <c r="W481" s="5" t="s">
        <v>501</v>
      </c>
      <c r="X481" s="5" t="s">
        <v>501</v>
      </c>
      <c r="Y481" s="4">
        <v>120</v>
      </c>
      <c r="Z481" s="4">
        <v>105</v>
      </c>
      <c r="AA481" s="4">
        <v>729</v>
      </c>
      <c r="AB481" s="4">
        <v>2</v>
      </c>
      <c r="AC481" s="4">
        <v>6</v>
      </c>
      <c r="AD481" s="4">
        <v>5</v>
      </c>
      <c r="AE481" s="4">
        <v>38</v>
      </c>
      <c r="AF481" s="4">
        <v>2</v>
      </c>
      <c r="AG481" s="4">
        <v>16</v>
      </c>
      <c r="AH481" s="4">
        <v>2</v>
      </c>
      <c r="AI481" s="4">
        <v>7</v>
      </c>
      <c r="AJ481" s="4">
        <v>2</v>
      </c>
      <c r="AK481" s="4">
        <v>18</v>
      </c>
      <c r="AL481" s="4">
        <v>1</v>
      </c>
      <c r="AM481" s="4">
        <v>4</v>
      </c>
      <c r="AN481" s="4">
        <v>0</v>
      </c>
      <c r="AO481" s="4">
        <v>0</v>
      </c>
      <c r="AP481" s="3" t="s">
        <v>70</v>
      </c>
      <c r="AQ481" s="3" t="s">
        <v>59</v>
      </c>
      <c r="AR481" s="6" t="str">
        <f>HYPERLINK("http://catalog.hathitrust.org/Record/001580781","HathiTrust Record")</f>
        <v>HathiTrust Record</v>
      </c>
      <c r="AS481" s="6" t="str">
        <f>HYPERLINK("https://creighton-primo.hosted.exlibrisgroup.com/primo-explore/search?tab=default_tab&amp;search_scope=EVERYTHING&amp;vid=01CRU&amp;lang=en_US&amp;offset=0&amp;query=any,contains,991004004529702656","Catalog Record")</f>
        <v>Catalog Record</v>
      </c>
      <c r="AT481" s="6" t="str">
        <f>HYPERLINK("http://www.worldcat.org/oclc/2081371","WorldCat Record")</f>
        <v>WorldCat Record</v>
      </c>
      <c r="AU481" s="3" t="s">
        <v>6187</v>
      </c>
      <c r="AV481" s="3" t="s">
        <v>6188</v>
      </c>
      <c r="AW481" s="3" t="s">
        <v>6189</v>
      </c>
      <c r="AX481" s="3" t="s">
        <v>6189</v>
      </c>
      <c r="AY481" s="3" t="s">
        <v>6190</v>
      </c>
      <c r="AZ481" s="3" t="s">
        <v>75</v>
      </c>
      <c r="BC481" s="3" t="s">
        <v>6191</v>
      </c>
      <c r="BD481" s="3" t="s">
        <v>6192</v>
      </c>
    </row>
    <row r="482" spans="1:56" ht="48" customHeight="1" x14ac:dyDescent="0.25">
      <c r="A482" s="7" t="s">
        <v>59</v>
      </c>
      <c r="B482" s="2" t="s">
        <v>6193</v>
      </c>
      <c r="C482" s="2" t="s">
        <v>6194</v>
      </c>
      <c r="D482" s="2" t="s">
        <v>6195</v>
      </c>
      <c r="F482" s="3" t="s">
        <v>59</v>
      </c>
      <c r="G482" s="3" t="s">
        <v>60</v>
      </c>
      <c r="H482" s="3" t="s">
        <v>59</v>
      </c>
      <c r="I482" s="3" t="s">
        <v>59</v>
      </c>
      <c r="J482" s="3" t="s">
        <v>61</v>
      </c>
      <c r="K482" s="2" t="s">
        <v>6196</v>
      </c>
      <c r="L482" s="2" t="s">
        <v>6197</v>
      </c>
      <c r="M482" s="3" t="s">
        <v>363</v>
      </c>
      <c r="N482" s="2" t="s">
        <v>731</v>
      </c>
      <c r="O482" s="3" t="s">
        <v>64</v>
      </c>
      <c r="P482" s="3" t="s">
        <v>130</v>
      </c>
      <c r="R482" s="3" t="s">
        <v>67</v>
      </c>
      <c r="S482" s="4">
        <v>3</v>
      </c>
      <c r="T482" s="4">
        <v>3</v>
      </c>
      <c r="U482" s="5" t="s">
        <v>1573</v>
      </c>
      <c r="V482" s="5" t="s">
        <v>1573</v>
      </c>
      <c r="W482" s="5" t="s">
        <v>6198</v>
      </c>
      <c r="X482" s="5" t="s">
        <v>6198</v>
      </c>
      <c r="Y482" s="4">
        <v>932</v>
      </c>
      <c r="Z482" s="4">
        <v>855</v>
      </c>
      <c r="AA482" s="4">
        <v>1188</v>
      </c>
      <c r="AB482" s="4">
        <v>3</v>
      </c>
      <c r="AC482" s="4">
        <v>6</v>
      </c>
      <c r="AD482" s="4">
        <v>22</v>
      </c>
      <c r="AE482" s="4">
        <v>35</v>
      </c>
      <c r="AF482" s="4">
        <v>9</v>
      </c>
      <c r="AG482" s="4">
        <v>13</v>
      </c>
      <c r="AH482" s="4">
        <v>5</v>
      </c>
      <c r="AI482" s="4">
        <v>7</v>
      </c>
      <c r="AJ482" s="4">
        <v>12</v>
      </c>
      <c r="AK482" s="4">
        <v>17</v>
      </c>
      <c r="AL482" s="4">
        <v>1</v>
      </c>
      <c r="AM482" s="4">
        <v>4</v>
      </c>
      <c r="AN482" s="4">
        <v>1</v>
      </c>
      <c r="AO482" s="4">
        <v>2</v>
      </c>
      <c r="AP482" s="3" t="s">
        <v>59</v>
      </c>
      <c r="AQ482" s="3" t="s">
        <v>70</v>
      </c>
      <c r="AR482" s="6" t="str">
        <f>HYPERLINK("http://catalog.hathitrust.org/Record/000102045","HathiTrust Record")</f>
        <v>HathiTrust Record</v>
      </c>
      <c r="AS482" s="6" t="str">
        <f>HYPERLINK("https://creighton-primo.hosted.exlibrisgroup.com/primo-explore/search?tab=default_tab&amp;search_scope=EVERYTHING&amp;vid=01CRU&amp;lang=en_US&amp;offset=0&amp;query=any,contains,991003923619702656","Catalog Record")</f>
        <v>Catalog Record</v>
      </c>
      <c r="AT482" s="6" t="str">
        <f>HYPERLINK("http://www.worldcat.org/oclc/7554823","WorldCat Record")</f>
        <v>WorldCat Record</v>
      </c>
      <c r="AU482" s="3" t="s">
        <v>6199</v>
      </c>
      <c r="AV482" s="3" t="s">
        <v>6200</v>
      </c>
      <c r="AW482" s="3" t="s">
        <v>6201</v>
      </c>
      <c r="AX482" s="3" t="s">
        <v>6201</v>
      </c>
      <c r="AY482" s="3" t="s">
        <v>6202</v>
      </c>
      <c r="AZ482" s="3" t="s">
        <v>75</v>
      </c>
      <c r="BB482" s="3" t="s">
        <v>6203</v>
      </c>
      <c r="BC482" s="3" t="s">
        <v>6204</v>
      </c>
      <c r="BD482" s="3" t="s">
        <v>6205</v>
      </c>
    </row>
    <row r="483" spans="1:56" ht="48" customHeight="1" x14ac:dyDescent="0.25">
      <c r="A483" s="7" t="s">
        <v>59</v>
      </c>
      <c r="B483" s="2" t="s">
        <v>6206</v>
      </c>
      <c r="C483" s="2" t="s">
        <v>6207</v>
      </c>
      <c r="D483" s="2" t="s">
        <v>6208</v>
      </c>
      <c r="F483" s="3" t="s">
        <v>59</v>
      </c>
      <c r="G483" s="3" t="s">
        <v>60</v>
      </c>
      <c r="H483" s="3" t="s">
        <v>70</v>
      </c>
      <c r="I483" s="3" t="s">
        <v>59</v>
      </c>
      <c r="J483" s="3" t="s">
        <v>61</v>
      </c>
      <c r="K483" s="2" t="s">
        <v>6209</v>
      </c>
      <c r="L483" s="2" t="s">
        <v>6210</v>
      </c>
      <c r="M483" s="3" t="s">
        <v>443</v>
      </c>
      <c r="O483" s="3" t="s">
        <v>64</v>
      </c>
      <c r="P483" s="3" t="s">
        <v>130</v>
      </c>
      <c r="R483" s="3" t="s">
        <v>67</v>
      </c>
      <c r="S483" s="4">
        <v>5</v>
      </c>
      <c r="T483" s="4">
        <v>12</v>
      </c>
      <c r="U483" s="5" t="s">
        <v>6211</v>
      </c>
      <c r="V483" s="5" t="s">
        <v>6211</v>
      </c>
      <c r="W483" s="5" t="s">
        <v>6212</v>
      </c>
      <c r="X483" s="5" t="s">
        <v>6212</v>
      </c>
      <c r="Y483" s="4">
        <v>695</v>
      </c>
      <c r="Z483" s="4">
        <v>615</v>
      </c>
      <c r="AA483" s="4">
        <v>636</v>
      </c>
      <c r="AB483" s="4">
        <v>5</v>
      </c>
      <c r="AC483" s="4">
        <v>5</v>
      </c>
      <c r="AD483" s="4">
        <v>28</v>
      </c>
      <c r="AE483" s="4">
        <v>28</v>
      </c>
      <c r="AF483" s="4">
        <v>12</v>
      </c>
      <c r="AG483" s="4">
        <v>12</v>
      </c>
      <c r="AH483" s="4">
        <v>5</v>
      </c>
      <c r="AI483" s="4">
        <v>5</v>
      </c>
      <c r="AJ483" s="4">
        <v>14</v>
      </c>
      <c r="AK483" s="4">
        <v>14</v>
      </c>
      <c r="AL483" s="4">
        <v>3</v>
      </c>
      <c r="AM483" s="4">
        <v>3</v>
      </c>
      <c r="AN483" s="4">
        <v>0</v>
      </c>
      <c r="AO483" s="4">
        <v>0</v>
      </c>
      <c r="AP483" s="3" t="s">
        <v>59</v>
      </c>
      <c r="AQ483" s="3" t="s">
        <v>59</v>
      </c>
      <c r="AS483" s="6" t="str">
        <f>HYPERLINK("https://creighton-primo.hosted.exlibrisgroup.com/primo-explore/search?tab=default_tab&amp;search_scope=EVERYTHING&amp;vid=01CRU&amp;lang=en_US&amp;offset=0&amp;query=any,contains,991001791379702656","Catalog Record")</f>
        <v>Catalog Record</v>
      </c>
      <c r="AT483" s="6" t="str">
        <f>HYPERLINK("http://www.worldcat.org/oclc/782312","WorldCat Record")</f>
        <v>WorldCat Record</v>
      </c>
      <c r="AU483" s="3" t="s">
        <v>6213</v>
      </c>
      <c r="AV483" s="3" t="s">
        <v>6214</v>
      </c>
      <c r="AW483" s="3" t="s">
        <v>6215</v>
      </c>
      <c r="AX483" s="3" t="s">
        <v>6215</v>
      </c>
      <c r="AY483" s="3" t="s">
        <v>6216</v>
      </c>
      <c r="AZ483" s="3" t="s">
        <v>75</v>
      </c>
      <c r="BB483" s="3" t="s">
        <v>6217</v>
      </c>
      <c r="BC483" s="3" t="s">
        <v>6218</v>
      </c>
      <c r="BD483" s="3" t="s">
        <v>6219</v>
      </c>
    </row>
    <row r="484" spans="1:56" ht="48" customHeight="1" x14ac:dyDescent="0.25">
      <c r="A484" s="7" t="s">
        <v>59</v>
      </c>
      <c r="B484" s="2" t="s">
        <v>6220</v>
      </c>
      <c r="C484" s="2" t="s">
        <v>6221</v>
      </c>
      <c r="D484" s="2" t="s">
        <v>6222</v>
      </c>
      <c r="F484" s="3" t="s">
        <v>59</v>
      </c>
      <c r="G484" s="3" t="s">
        <v>60</v>
      </c>
      <c r="H484" s="3" t="s">
        <v>59</v>
      </c>
      <c r="I484" s="3" t="s">
        <v>59</v>
      </c>
      <c r="J484" s="3" t="s">
        <v>61</v>
      </c>
      <c r="L484" s="2" t="s">
        <v>6223</v>
      </c>
      <c r="M484" s="3" t="s">
        <v>1171</v>
      </c>
      <c r="O484" s="3" t="s">
        <v>64</v>
      </c>
      <c r="P484" s="3" t="s">
        <v>130</v>
      </c>
      <c r="R484" s="3" t="s">
        <v>67</v>
      </c>
      <c r="S484" s="4">
        <v>2</v>
      </c>
      <c r="T484" s="4">
        <v>2</v>
      </c>
      <c r="U484" s="5" t="s">
        <v>6224</v>
      </c>
      <c r="V484" s="5" t="s">
        <v>6224</v>
      </c>
      <c r="W484" s="5" t="s">
        <v>6224</v>
      </c>
      <c r="X484" s="5" t="s">
        <v>6224</v>
      </c>
      <c r="Y484" s="4">
        <v>361</v>
      </c>
      <c r="Z484" s="4">
        <v>281</v>
      </c>
      <c r="AA484" s="4">
        <v>664</v>
      </c>
      <c r="AB484" s="4">
        <v>3</v>
      </c>
      <c r="AC484" s="4">
        <v>6</v>
      </c>
      <c r="AD484" s="4">
        <v>14</v>
      </c>
      <c r="AE484" s="4">
        <v>31</v>
      </c>
      <c r="AF484" s="4">
        <v>6</v>
      </c>
      <c r="AG484" s="4">
        <v>12</v>
      </c>
      <c r="AH484" s="4">
        <v>4</v>
      </c>
      <c r="AI484" s="4">
        <v>8</v>
      </c>
      <c r="AJ484" s="4">
        <v>5</v>
      </c>
      <c r="AK484" s="4">
        <v>11</v>
      </c>
      <c r="AL484" s="4">
        <v>2</v>
      </c>
      <c r="AM484" s="4">
        <v>5</v>
      </c>
      <c r="AN484" s="4">
        <v>0</v>
      </c>
      <c r="AO484" s="4">
        <v>1</v>
      </c>
      <c r="AP484" s="3" t="s">
        <v>59</v>
      </c>
      <c r="AQ484" s="3" t="s">
        <v>59</v>
      </c>
      <c r="AS484" s="6" t="str">
        <f>HYPERLINK("https://creighton-primo.hosted.exlibrisgroup.com/primo-explore/search?tab=default_tab&amp;search_scope=EVERYTHING&amp;vid=01CRU&amp;lang=en_US&amp;offset=0&amp;query=any,contains,991005108549702656","Catalog Record")</f>
        <v>Catalog Record</v>
      </c>
      <c r="AT484" s="6" t="str">
        <f>HYPERLINK("http://www.worldcat.org/oclc/60590112","WorldCat Record")</f>
        <v>WorldCat Record</v>
      </c>
      <c r="AU484" s="3" t="s">
        <v>6225</v>
      </c>
      <c r="AV484" s="3" t="s">
        <v>6226</v>
      </c>
      <c r="AW484" s="3" t="s">
        <v>6227</v>
      </c>
      <c r="AX484" s="3" t="s">
        <v>6227</v>
      </c>
      <c r="AY484" s="3" t="s">
        <v>6228</v>
      </c>
      <c r="AZ484" s="3" t="s">
        <v>75</v>
      </c>
      <c r="BB484" s="3" t="s">
        <v>6229</v>
      </c>
      <c r="BC484" s="3" t="s">
        <v>6230</v>
      </c>
      <c r="BD484" s="3" t="s">
        <v>6231</v>
      </c>
    </row>
    <row r="485" spans="1:56" ht="48" customHeight="1" x14ac:dyDescent="0.25">
      <c r="A485" s="7" t="s">
        <v>59</v>
      </c>
      <c r="B485" s="2" t="s">
        <v>6232</v>
      </c>
      <c r="C485" s="2" t="s">
        <v>6233</v>
      </c>
      <c r="D485" s="2" t="s">
        <v>6234</v>
      </c>
      <c r="F485" s="3" t="s">
        <v>59</v>
      </c>
      <c r="G485" s="3" t="s">
        <v>60</v>
      </c>
      <c r="H485" s="3" t="s">
        <v>59</v>
      </c>
      <c r="I485" s="3" t="s">
        <v>59</v>
      </c>
      <c r="J485" s="3" t="s">
        <v>61</v>
      </c>
      <c r="K485" s="2" t="s">
        <v>6235</v>
      </c>
      <c r="L485" s="2" t="s">
        <v>6236</v>
      </c>
      <c r="M485" s="3" t="s">
        <v>129</v>
      </c>
      <c r="N485" s="2" t="s">
        <v>731</v>
      </c>
      <c r="O485" s="3" t="s">
        <v>64</v>
      </c>
      <c r="P485" s="3" t="s">
        <v>130</v>
      </c>
      <c r="R485" s="3" t="s">
        <v>67</v>
      </c>
      <c r="S485" s="4">
        <v>1</v>
      </c>
      <c r="T485" s="4">
        <v>1</v>
      </c>
      <c r="U485" s="5" t="s">
        <v>6237</v>
      </c>
      <c r="V485" s="5" t="s">
        <v>6237</v>
      </c>
      <c r="W485" s="5" t="s">
        <v>6057</v>
      </c>
      <c r="X485" s="5" t="s">
        <v>6057</v>
      </c>
      <c r="Y485" s="4">
        <v>458</v>
      </c>
      <c r="Z485" s="4">
        <v>408</v>
      </c>
      <c r="AA485" s="4">
        <v>450</v>
      </c>
      <c r="AB485" s="4">
        <v>3</v>
      </c>
      <c r="AC485" s="4">
        <v>3</v>
      </c>
      <c r="AD485" s="4">
        <v>15</v>
      </c>
      <c r="AE485" s="4">
        <v>15</v>
      </c>
      <c r="AF485" s="4">
        <v>5</v>
      </c>
      <c r="AG485" s="4">
        <v>5</v>
      </c>
      <c r="AH485" s="4">
        <v>6</v>
      </c>
      <c r="AI485" s="4">
        <v>6</v>
      </c>
      <c r="AJ485" s="4">
        <v>7</v>
      </c>
      <c r="AK485" s="4">
        <v>7</v>
      </c>
      <c r="AL485" s="4">
        <v>2</v>
      </c>
      <c r="AM485" s="4">
        <v>2</v>
      </c>
      <c r="AN485" s="4">
        <v>0</v>
      </c>
      <c r="AO485" s="4">
        <v>0</v>
      </c>
      <c r="AP485" s="3" t="s">
        <v>59</v>
      </c>
      <c r="AQ485" s="3" t="s">
        <v>70</v>
      </c>
      <c r="AR485" s="6" t="str">
        <f>HYPERLINK("http://catalog.hathitrust.org/Record/002588192","HathiTrust Record")</f>
        <v>HathiTrust Record</v>
      </c>
      <c r="AS485" s="6" t="str">
        <f>HYPERLINK("https://creighton-primo.hosted.exlibrisgroup.com/primo-explore/search?tab=default_tab&amp;search_scope=EVERYTHING&amp;vid=01CRU&amp;lang=en_US&amp;offset=0&amp;query=any,contains,991002034749702656","Catalog Record")</f>
        <v>Catalog Record</v>
      </c>
      <c r="AT485" s="6" t="str">
        <f>HYPERLINK("http://www.worldcat.org/oclc/25915185","WorldCat Record")</f>
        <v>WorldCat Record</v>
      </c>
      <c r="AU485" s="3" t="s">
        <v>6238</v>
      </c>
      <c r="AV485" s="3" t="s">
        <v>6239</v>
      </c>
      <c r="AW485" s="3" t="s">
        <v>6240</v>
      </c>
      <c r="AX485" s="3" t="s">
        <v>6240</v>
      </c>
      <c r="AY485" s="3" t="s">
        <v>6241</v>
      </c>
      <c r="AZ485" s="3" t="s">
        <v>75</v>
      </c>
      <c r="BB485" s="3" t="s">
        <v>6242</v>
      </c>
      <c r="BC485" s="3" t="s">
        <v>6243</v>
      </c>
      <c r="BD485" s="3" t="s">
        <v>6244</v>
      </c>
    </row>
    <row r="486" spans="1:56" ht="48" customHeight="1" x14ac:dyDescent="0.25">
      <c r="A486" s="7" t="s">
        <v>59</v>
      </c>
      <c r="B486" s="2" t="s">
        <v>6245</v>
      </c>
      <c r="C486" s="2" t="s">
        <v>6246</v>
      </c>
      <c r="D486" s="2" t="s">
        <v>6247</v>
      </c>
      <c r="F486" s="3" t="s">
        <v>59</v>
      </c>
      <c r="G486" s="3" t="s">
        <v>60</v>
      </c>
      <c r="H486" s="3" t="s">
        <v>59</v>
      </c>
      <c r="I486" s="3" t="s">
        <v>59</v>
      </c>
      <c r="J486" s="3" t="s">
        <v>61</v>
      </c>
      <c r="K486" s="2" t="s">
        <v>6248</v>
      </c>
      <c r="L486" s="2" t="s">
        <v>6249</v>
      </c>
      <c r="M486" s="3" t="s">
        <v>319</v>
      </c>
      <c r="O486" s="3" t="s">
        <v>64</v>
      </c>
      <c r="P486" s="3" t="s">
        <v>912</v>
      </c>
      <c r="R486" s="3" t="s">
        <v>67</v>
      </c>
      <c r="S486" s="4">
        <v>8</v>
      </c>
      <c r="T486" s="4">
        <v>8</v>
      </c>
      <c r="U486" s="5" t="s">
        <v>6250</v>
      </c>
      <c r="V486" s="5" t="s">
        <v>6250</v>
      </c>
      <c r="W486" s="5" t="s">
        <v>4108</v>
      </c>
      <c r="X486" s="5" t="s">
        <v>4108</v>
      </c>
      <c r="Y486" s="4">
        <v>492</v>
      </c>
      <c r="Z486" s="4">
        <v>399</v>
      </c>
      <c r="AA486" s="4">
        <v>427</v>
      </c>
      <c r="AB486" s="4">
        <v>3</v>
      </c>
      <c r="AC486" s="4">
        <v>3</v>
      </c>
      <c r="AD486" s="4">
        <v>21</v>
      </c>
      <c r="AE486" s="4">
        <v>21</v>
      </c>
      <c r="AF486" s="4">
        <v>5</v>
      </c>
      <c r="AG486" s="4">
        <v>5</v>
      </c>
      <c r="AH486" s="4">
        <v>7</v>
      </c>
      <c r="AI486" s="4">
        <v>7</v>
      </c>
      <c r="AJ486" s="4">
        <v>15</v>
      </c>
      <c r="AK486" s="4">
        <v>15</v>
      </c>
      <c r="AL486" s="4">
        <v>2</v>
      </c>
      <c r="AM486" s="4">
        <v>2</v>
      </c>
      <c r="AN486" s="4">
        <v>0</v>
      </c>
      <c r="AO486" s="4">
        <v>0</v>
      </c>
      <c r="AP486" s="3" t="s">
        <v>59</v>
      </c>
      <c r="AQ486" s="3" t="s">
        <v>70</v>
      </c>
      <c r="AR486" s="6" t="str">
        <f>HYPERLINK("http://catalog.hathitrust.org/Record/000122481","HathiTrust Record")</f>
        <v>HathiTrust Record</v>
      </c>
      <c r="AS486" s="6" t="str">
        <f>HYPERLINK("https://creighton-primo.hosted.exlibrisgroup.com/primo-explore/search?tab=default_tab&amp;search_scope=EVERYTHING&amp;vid=01CRU&amp;lang=en_US&amp;offset=0&amp;query=any,contains,991000342919702656","Catalog Record")</f>
        <v>Catalog Record</v>
      </c>
      <c r="AT486" s="6" t="str">
        <f>HYPERLINK("http://www.worldcat.org/oclc/10275461","WorldCat Record")</f>
        <v>WorldCat Record</v>
      </c>
      <c r="AU486" s="3" t="s">
        <v>6251</v>
      </c>
      <c r="AV486" s="3" t="s">
        <v>6252</v>
      </c>
      <c r="AW486" s="3" t="s">
        <v>6253</v>
      </c>
      <c r="AX486" s="3" t="s">
        <v>6253</v>
      </c>
      <c r="AY486" s="3" t="s">
        <v>6254</v>
      </c>
      <c r="AZ486" s="3" t="s">
        <v>75</v>
      </c>
      <c r="BB486" s="3" t="s">
        <v>6255</v>
      </c>
      <c r="BC486" s="3" t="s">
        <v>6256</v>
      </c>
      <c r="BD486" s="3" t="s">
        <v>6257</v>
      </c>
    </row>
    <row r="487" spans="1:56" ht="48" customHeight="1" x14ac:dyDescent="0.25">
      <c r="A487" s="7" t="s">
        <v>59</v>
      </c>
      <c r="B487" s="2" t="s">
        <v>6258</v>
      </c>
      <c r="C487" s="2" t="s">
        <v>6259</v>
      </c>
      <c r="D487" s="2" t="s">
        <v>6260</v>
      </c>
      <c r="F487" s="3" t="s">
        <v>59</v>
      </c>
      <c r="G487" s="3" t="s">
        <v>60</v>
      </c>
      <c r="H487" s="3" t="s">
        <v>59</v>
      </c>
      <c r="I487" s="3" t="s">
        <v>70</v>
      </c>
      <c r="J487" s="3" t="s">
        <v>61</v>
      </c>
      <c r="K487" s="2" t="s">
        <v>6261</v>
      </c>
      <c r="L487" s="2" t="s">
        <v>6262</v>
      </c>
      <c r="M487" s="3" t="s">
        <v>443</v>
      </c>
      <c r="O487" s="3" t="s">
        <v>64</v>
      </c>
      <c r="P487" s="3" t="s">
        <v>130</v>
      </c>
      <c r="R487" s="3" t="s">
        <v>67</v>
      </c>
      <c r="S487" s="4">
        <v>6</v>
      </c>
      <c r="T487" s="4">
        <v>6</v>
      </c>
      <c r="U487" s="5" t="s">
        <v>6263</v>
      </c>
      <c r="V487" s="5" t="s">
        <v>6263</v>
      </c>
      <c r="W487" s="5" t="s">
        <v>6264</v>
      </c>
      <c r="X487" s="5" t="s">
        <v>6264</v>
      </c>
      <c r="Y487" s="4">
        <v>538</v>
      </c>
      <c r="Z487" s="4">
        <v>400</v>
      </c>
      <c r="AA487" s="4">
        <v>590</v>
      </c>
      <c r="AB487" s="4">
        <v>2</v>
      </c>
      <c r="AC487" s="4">
        <v>3</v>
      </c>
      <c r="AD487" s="4">
        <v>20</v>
      </c>
      <c r="AE487" s="4">
        <v>28</v>
      </c>
      <c r="AF487" s="4">
        <v>7</v>
      </c>
      <c r="AG487" s="4">
        <v>9</v>
      </c>
      <c r="AH487" s="4">
        <v>6</v>
      </c>
      <c r="AI487" s="4">
        <v>9</v>
      </c>
      <c r="AJ487" s="4">
        <v>11</v>
      </c>
      <c r="AK487" s="4">
        <v>14</v>
      </c>
      <c r="AL487" s="4">
        <v>1</v>
      </c>
      <c r="AM487" s="4">
        <v>2</v>
      </c>
      <c r="AN487" s="4">
        <v>0</v>
      </c>
      <c r="AO487" s="4">
        <v>0</v>
      </c>
      <c r="AP487" s="3" t="s">
        <v>59</v>
      </c>
      <c r="AQ487" s="3" t="s">
        <v>70</v>
      </c>
      <c r="AR487" s="6" t="str">
        <f>HYPERLINK("http://catalog.hathitrust.org/Record/001576880","HathiTrust Record")</f>
        <v>HathiTrust Record</v>
      </c>
      <c r="AS487" s="6" t="str">
        <f>HYPERLINK("https://creighton-primo.hosted.exlibrisgroup.com/primo-explore/search?tab=default_tab&amp;search_scope=EVERYTHING&amp;vid=01CRU&amp;lang=en_US&amp;offset=0&amp;query=any,contains,991003043969702656","Catalog Record")</f>
        <v>Catalog Record</v>
      </c>
      <c r="AT487" s="6" t="str">
        <f>HYPERLINK("http://www.worldcat.org/oclc/604977","WorldCat Record")</f>
        <v>WorldCat Record</v>
      </c>
      <c r="AU487" s="3" t="s">
        <v>6265</v>
      </c>
      <c r="AV487" s="3" t="s">
        <v>6266</v>
      </c>
      <c r="AW487" s="3" t="s">
        <v>6267</v>
      </c>
      <c r="AX487" s="3" t="s">
        <v>6267</v>
      </c>
      <c r="AY487" s="3" t="s">
        <v>6268</v>
      </c>
      <c r="AZ487" s="3" t="s">
        <v>75</v>
      </c>
      <c r="BB487" s="3" t="s">
        <v>6269</v>
      </c>
      <c r="BC487" s="3" t="s">
        <v>6270</v>
      </c>
      <c r="BD487" s="3" t="s">
        <v>6271</v>
      </c>
    </row>
    <row r="488" spans="1:56" ht="48" customHeight="1" x14ac:dyDescent="0.25">
      <c r="A488" s="7" t="s">
        <v>59</v>
      </c>
      <c r="B488" s="2" t="s">
        <v>6272</v>
      </c>
      <c r="C488" s="2" t="s">
        <v>6273</v>
      </c>
      <c r="D488" s="2" t="s">
        <v>6274</v>
      </c>
      <c r="F488" s="3" t="s">
        <v>59</v>
      </c>
      <c r="G488" s="3" t="s">
        <v>60</v>
      </c>
      <c r="H488" s="3" t="s">
        <v>59</v>
      </c>
      <c r="I488" s="3" t="s">
        <v>70</v>
      </c>
      <c r="J488" s="3" t="s">
        <v>61</v>
      </c>
      <c r="L488" s="2" t="s">
        <v>6275</v>
      </c>
      <c r="M488" s="3" t="s">
        <v>897</v>
      </c>
      <c r="N488" s="2" t="s">
        <v>114</v>
      </c>
      <c r="O488" s="3" t="s">
        <v>64</v>
      </c>
      <c r="P488" s="3" t="s">
        <v>176</v>
      </c>
      <c r="R488" s="3" t="s">
        <v>67</v>
      </c>
      <c r="S488" s="4">
        <v>6</v>
      </c>
      <c r="T488" s="4">
        <v>6</v>
      </c>
      <c r="U488" s="5" t="s">
        <v>4238</v>
      </c>
      <c r="V488" s="5" t="s">
        <v>4238</v>
      </c>
      <c r="W488" s="5" t="s">
        <v>6276</v>
      </c>
      <c r="X488" s="5" t="s">
        <v>6276</v>
      </c>
      <c r="Y488" s="4">
        <v>373</v>
      </c>
      <c r="Z488" s="4">
        <v>276</v>
      </c>
      <c r="AA488" s="4">
        <v>513</v>
      </c>
      <c r="AB488" s="4">
        <v>4</v>
      </c>
      <c r="AC488" s="4">
        <v>5</v>
      </c>
      <c r="AD488" s="4">
        <v>15</v>
      </c>
      <c r="AE488" s="4">
        <v>27</v>
      </c>
      <c r="AF488" s="4">
        <v>6</v>
      </c>
      <c r="AG488" s="4">
        <v>9</v>
      </c>
      <c r="AH488" s="4">
        <v>4</v>
      </c>
      <c r="AI488" s="4">
        <v>8</v>
      </c>
      <c r="AJ488" s="4">
        <v>8</v>
      </c>
      <c r="AK488" s="4">
        <v>13</v>
      </c>
      <c r="AL488" s="4">
        <v>3</v>
      </c>
      <c r="AM488" s="4">
        <v>4</v>
      </c>
      <c r="AN488" s="4">
        <v>0</v>
      </c>
      <c r="AO488" s="4">
        <v>0</v>
      </c>
      <c r="AP488" s="3" t="s">
        <v>59</v>
      </c>
      <c r="AQ488" s="3" t="s">
        <v>70</v>
      </c>
      <c r="AR488" s="6" t="str">
        <f>HYPERLINK("http://catalog.hathitrust.org/Record/002463524","HathiTrust Record")</f>
        <v>HathiTrust Record</v>
      </c>
      <c r="AS488" s="6" t="str">
        <f>HYPERLINK("https://creighton-primo.hosted.exlibrisgroup.com/primo-explore/search?tab=default_tab&amp;search_scope=EVERYTHING&amp;vid=01CRU&amp;lang=en_US&amp;offset=0&amp;query=any,contains,991001817859702656","Catalog Record")</f>
        <v>Catalog Record</v>
      </c>
      <c r="AT488" s="6" t="str">
        <f>HYPERLINK("http://www.worldcat.org/oclc/22859160","WorldCat Record")</f>
        <v>WorldCat Record</v>
      </c>
      <c r="AU488" s="3" t="s">
        <v>6277</v>
      </c>
      <c r="AV488" s="3" t="s">
        <v>6278</v>
      </c>
      <c r="AW488" s="3" t="s">
        <v>6279</v>
      </c>
      <c r="AX488" s="3" t="s">
        <v>6279</v>
      </c>
      <c r="AY488" s="3" t="s">
        <v>6280</v>
      </c>
      <c r="AZ488" s="3" t="s">
        <v>75</v>
      </c>
      <c r="BB488" s="3" t="s">
        <v>6281</v>
      </c>
      <c r="BC488" s="3" t="s">
        <v>6282</v>
      </c>
      <c r="BD488" s="3" t="s">
        <v>6283</v>
      </c>
    </row>
    <row r="489" spans="1:56" ht="48" customHeight="1" x14ac:dyDescent="0.25">
      <c r="A489" s="7" t="s">
        <v>59</v>
      </c>
      <c r="B489" s="2" t="s">
        <v>6284</v>
      </c>
      <c r="C489" s="2" t="s">
        <v>6285</v>
      </c>
      <c r="D489" s="2" t="s">
        <v>6286</v>
      </c>
      <c r="F489" s="3" t="s">
        <v>59</v>
      </c>
      <c r="G489" s="3" t="s">
        <v>60</v>
      </c>
      <c r="H489" s="3" t="s">
        <v>59</v>
      </c>
      <c r="I489" s="3" t="s">
        <v>59</v>
      </c>
      <c r="J489" s="3" t="s">
        <v>61</v>
      </c>
      <c r="L489" s="2" t="s">
        <v>6287</v>
      </c>
      <c r="M489" s="3" t="s">
        <v>1351</v>
      </c>
      <c r="O489" s="3" t="s">
        <v>64</v>
      </c>
      <c r="P489" s="3" t="s">
        <v>84</v>
      </c>
      <c r="R489" s="3" t="s">
        <v>67</v>
      </c>
      <c r="S489" s="4">
        <v>3</v>
      </c>
      <c r="T489" s="4">
        <v>3</v>
      </c>
      <c r="U489" s="5" t="s">
        <v>6288</v>
      </c>
      <c r="V489" s="5" t="s">
        <v>6288</v>
      </c>
      <c r="W489" s="5" t="s">
        <v>6289</v>
      </c>
      <c r="X489" s="5" t="s">
        <v>6289</v>
      </c>
      <c r="Y489" s="4">
        <v>167</v>
      </c>
      <c r="Z489" s="4">
        <v>104</v>
      </c>
      <c r="AA489" s="4">
        <v>201</v>
      </c>
      <c r="AB489" s="4">
        <v>2</v>
      </c>
      <c r="AC489" s="4">
        <v>2</v>
      </c>
      <c r="AD489" s="4">
        <v>5</v>
      </c>
      <c r="AE489" s="4">
        <v>8</v>
      </c>
      <c r="AF489" s="4">
        <v>1</v>
      </c>
      <c r="AG489" s="4">
        <v>4</v>
      </c>
      <c r="AH489" s="4">
        <v>2</v>
      </c>
      <c r="AI489" s="4">
        <v>2</v>
      </c>
      <c r="AJ489" s="4">
        <v>3</v>
      </c>
      <c r="AK489" s="4">
        <v>4</v>
      </c>
      <c r="AL489" s="4">
        <v>1</v>
      </c>
      <c r="AM489" s="4">
        <v>1</v>
      </c>
      <c r="AN489" s="4">
        <v>0</v>
      </c>
      <c r="AO489" s="4">
        <v>0</v>
      </c>
      <c r="AP489" s="3" t="s">
        <v>59</v>
      </c>
      <c r="AQ489" s="3" t="s">
        <v>59</v>
      </c>
      <c r="AS489" s="6" t="str">
        <f>HYPERLINK("https://creighton-primo.hosted.exlibrisgroup.com/primo-explore/search?tab=default_tab&amp;search_scope=EVERYTHING&amp;vid=01CRU&amp;lang=en_US&amp;offset=0&amp;query=any,contains,991004431019702656","Catalog Record")</f>
        <v>Catalog Record</v>
      </c>
      <c r="AT489" s="6" t="str">
        <f>HYPERLINK("http://www.worldcat.org/oclc/52166041","WorldCat Record")</f>
        <v>WorldCat Record</v>
      </c>
      <c r="AU489" s="3" t="s">
        <v>6290</v>
      </c>
      <c r="AV489" s="3" t="s">
        <v>6291</v>
      </c>
      <c r="AW489" s="3" t="s">
        <v>6292</v>
      </c>
      <c r="AX489" s="3" t="s">
        <v>6292</v>
      </c>
      <c r="AY489" s="3" t="s">
        <v>6293</v>
      </c>
      <c r="AZ489" s="3" t="s">
        <v>75</v>
      </c>
      <c r="BB489" s="3" t="s">
        <v>6294</v>
      </c>
      <c r="BC489" s="3" t="s">
        <v>6295</v>
      </c>
      <c r="BD489" s="3" t="s">
        <v>6296</v>
      </c>
    </row>
    <row r="490" spans="1:56" ht="48" customHeight="1" x14ac:dyDescent="0.25">
      <c r="A490" s="7" t="s">
        <v>59</v>
      </c>
      <c r="B490" s="2" t="s">
        <v>6297</v>
      </c>
      <c r="C490" s="2" t="s">
        <v>6298</v>
      </c>
      <c r="D490" s="2" t="s">
        <v>6299</v>
      </c>
      <c r="F490" s="3" t="s">
        <v>59</v>
      </c>
      <c r="G490" s="3" t="s">
        <v>60</v>
      </c>
      <c r="H490" s="3" t="s">
        <v>59</v>
      </c>
      <c r="I490" s="3" t="s">
        <v>59</v>
      </c>
      <c r="J490" s="3" t="s">
        <v>61</v>
      </c>
      <c r="L490" s="2" t="s">
        <v>6300</v>
      </c>
      <c r="M490" s="3" t="s">
        <v>333</v>
      </c>
      <c r="O490" s="3" t="s">
        <v>64</v>
      </c>
      <c r="P490" s="3" t="s">
        <v>130</v>
      </c>
      <c r="R490" s="3" t="s">
        <v>67</v>
      </c>
      <c r="S490" s="4">
        <v>10</v>
      </c>
      <c r="T490" s="4">
        <v>10</v>
      </c>
      <c r="U490" s="5" t="s">
        <v>6301</v>
      </c>
      <c r="V490" s="5" t="s">
        <v>6301</v>
      </c>
      <c r="W490" s="5" t="s">
        <v>6302</v>
      </c>
      <c r="X490" s="5" t="s">
        <v>6302</v>
      </c>
      <c r="Y490" s="4">
        <v>296</v>
      </c>
      <c r="Z490" s="4">
        <v>224</v>
      </c>
      <c r="AA490" s="4">
        <v>225</v>
      </c>
      <c r="AB490" s="4">
        <v>3</v>
      </c>
      <c r="AC490" s="4">
        <v>3</v>
      </c>
      <c r="AD490" s="4">
        <v>10</v>
      </c>
      <c r="AE490" s="4">
        <v>10</v>
      </c>
      <c r="AF490" s="4">
        <v>2</v>
      </c>
      <c r="AG490" s="4">
        <v>2</v>
      </c>
      <c r="AH490" s="4">
        <v>3</v>
      </c>
      <c r="AI490" s="4">
        <v>3</v>
      </c>
      <c r="AJ490" s="4">
        <v>5</v>
      </c>
      <c r="AK490" s="4">
        <v>5</v>
      </c>
      <c r="AL490" s="4">
        <v>2</v>
      </c>
      <c r="AM490" s="4">
        <v>2</v>
      </c>
      <c r="AN490" s="4">
        <v>0</v>
      </c>
      <c r="AO490" s="4">
        <v>0</v>
      </c>
      <c r="AP490" s="3" t="s">
        <v>59</v>
      </c>
      <c r="AQ490" s="3" t="s">
        <v>59</v>
      </c>
      <c r="AS490" s="6" t="str">
        <f>HYPERLINK("https://creighton-primo.hosted.exlibrisgroup.com/primo-explore/search?tab=default_tab&amp;search_scope=EVERYTHING&amp;vid=01CRU&amp;lang=en_US&amp;offset=0&amp;query=any,contains,991000720269702656","Catalog Record")</f>
        <v>Catalog Record</v>
      </c>
      <c r="AT490" s="6" t="str">
        <f>HYPERLINK("http://www.worldcat.org/oclc/12665270","WorldCat Record")</f>
        <v>WorldCat Record</v>
      </c>
      <c r="AU490" s="3" t="s">
        <v>6303</v>
      </c>
      <c r="AV490" s="3" t="s">
        <v>6304</v>
      </c>
      <c r="AW490" s="3" t="s">
        <v>6305</v>
      </c>
      <c r="AX490" s="3" t="s">
        <v>6305</v>
      </c>
      <c r="AY490" s="3" t="s">
        <v>6306</v>
      </c>
      <c r="AZ490" s="3" t="s">
        <v>75</v>
      </c>
      <c r="BB490" s="3" t="s">
        <v>6307</v>
      </c>
      <c r="BC490" s="3" t="s">
        <v>6308</v>
      </c>
      <c r="BD490" s="3" t="s">
        <v>6309</v>
      </c>
    </row>
    <row r="491" spans="1:56" ht="48" customHeight="1" x14ac:dyDescent="0.25">
      <c r="A491" s="7" t="s">
        <v>59</v>
      </c>
      <c r="B491" s="2" t="s">
        <v>6310</v>
      </c>
      <c r="C491" s="2" t="s">
        <v>6311</v>
      </c>
      <c r="D491" s="2" t="s">
        <v>6312</v>
      </c>
      <c r="F491" s="3" t="s">
        <v>59</v>
      </c>
      <c r="G491" s="3" t="s">
        <v>60</v>
      </c>
      <c r="H491" s="3" t="s">
        <v>59</v>
      </c>
      <c r="I491" s="3" t="s">
        <v>59</v>
      </c>
      <c r="J491" s="3" t="s">
        <v>61</v>
      </c>
      <c r="L491" s="2" t="s">
        <v>6313</v>
      </c>
      <c r="M491" s="3" t="s">
        <v>234</v>
      </c>
      <c r="N491" s="2" t="s">
        <v>6314</v>
      </c>
      <c r="O491" s="3" t="s">
        <v>64</v>
      </c>
      <c r="P491" s="3" t="s">
        <v>912</v>
      </c>
      <c r="Q491" s="2" t="s">
        <v>6315</v>
      </c>
      <c r="R491" s="3" t="s">
        <v>67</v>
      </c>
      <c r="S491" s="4">
        <v>5</v>
      </c>
      <c r="T491" s="4">
        <v>5</v>
      </c>
      <c r="U491" s="5" t="s">
        <v>6316</v>
      </c>
      <c r="V491" s="5" t="s">
        <v>6316</v>
      </c>
      <c r="W491" s="5" t="s">
        <v>6317</v>
      </c>
      <c r="X491" s="5" t="s">
        <v>6317</v>
      </c>
      <c r="Y491" s="4">
        <v>329</v>
      </c>
      <c r="Z491" s="4">
        <v>226</v>
      </c>
      <c r="AA491" s="4">
        <v>460</v>
      </c>
      <c r="AB491" s="4">
        <v>3</v>
      </c>
      <c r="AC491" s="4">
        <v>4</v>
      </c>
      <c r="AD491" s="4">
        <v>13</v>
      </c>
      <c r="AE491" s="4">
        <v>18</v>
      </c>
      <c r="AF491" s="4">
        <v>3</v>
      </c>
      <c r="AG491" s="4">
        <v>5</v>
      </c>
      <c r="AH491" s="4">
        <v>4</v>
      </c>
      <c r="AI491" s="4">
        <v>6</v>
      </c>
      <c r="AJ491" s="4">
        <v>8</v>
      </c>
      <c r="AK491" s="4">
        <v>9</v>
      </c>
      <c r="AL491" s="4">
        <v>2</v>
      </c>
      <c r="AM491" s="4">
        <v>3</v>
      </c>
      <c r="AN491" s="4">
        <v>0</v>
      </c>
      <c r="AO491" s="4">
        <v>0</v>
      </c>
      <c r="AP491" s="3" t="s">
        <v>59</v>
      </c>
      <c r="AQ491" s="3" t="s">
        <v>59</v>
      </c>
      <c r="AS491" s="6" t="str">
        <f>HYPERLINK("https://creighton-primo.hosted.exlibrisgroup.com/primo-explore/search?tab=default_tab&amp;search_scope=EVERYTHING&amp;vid=01CRU&amp;lang=en_US&amp;offset=0&amp;query=any,contains,991001368959702656","Catalog Record")</f>
        <v>Catalog Record</v>
      </c>
      <c r="AT491" s="6" t="str">
        <f>HYPERLINK("http://www.worldcat.org/oclc/18560447","WorldCat Record")</f>
        <v>WorldCat Record</v>
      </c>
      <c r="AU491" s="3" t="s">
        <v>6318</v>
      </c>
      <c r="AV491" s="3" t="s">
        <v>6319</v>
      </c>
      <c r="AW491" s="3" t="s">
        <v>6320</v>
      </c>
      <c r="AX491" s="3" t="s">
        <v>6320</v>
      </c>
      <c r="AY491" s="3" t="s">
        <v>6321</v>
      </c>
      <c r="AZ491" s="3" t="s">
        <v>75</v>
      </c>
      <c r="BB491" s="3" t="s">
        <v>6322</v>
      </c>
      <c r="BC491" s="3" t="s">
        <v>6323</v>
      </c>
      <c r="BD491" s="3" t="s">
        <v>6324</v>
      </c>
    </row>
    <row r="492" spans="1:56" ht="48" customHeight="1" x14ac:dyDescent="0.25">
      <c r="A492" s="7" t="s">
        <v>59</v>
      </c>
      <c r="B492" s="2" t="s">
        <v>6325</v>
      </c>
      <c r="C492" s="2" t="s">
        <v>6326</v>
      </c>
      <c r="D492" s="2" t="s">
        <v>6327</v>
      </c>
      <c r="F492" s="3" t="s">
        <v>59</v>
      </c>
      <c r="G492" s="3" t="s">
        <v>60</v>
      </c>
      <c r="H492" s="3" t="s">
        <v>59</v>
      </c>
      <c r="I492" s="3" t="s">
        <v>70</v>
      </c>
      <c r="J492" s="3" t="s">
        <v>61</v>
      </c>
      <c r="L492" s="2" t="s">
        <v>430</v>
      </c>
      <c r="M492" s="3" t="s">
        <v>417</v>
      </c>
      <c r="N492" s="2" t="s">
        <v>114</v>
      </c>
      <c r="O492" s="3" t="s">
        <v>64</v>
      </c>
      <c r="P492" s="3" t="s">
        <v>130</v>
      </c>
      <c r="R492" s="3" t="s">
        <v>67</v>
      </c>
      <c r="S492" s="4">
        <v>3</v>
      </c>
      <c r="T492" s="4">
        <v>3</v>
      </c>
      <c r="U492" s="5" t="s">
        <v>4833</v>
      </c>
      <c r="V492" s="5" t="s">
        <v>4833</v>
      </c>
      <c r="W492" s="5" t="s">
        <v>4108</v>
      </c>
      <c r="X492" s="5" t="s">
        <v>4108</v>
      </c>
      <c r="Y492" s="4">
        <v>453</v>
      </c>
      <c r="Z492" s="4">
        <v>330</v>
      </c>
      <c r="AA492" s="4">
        <v>590</v>
      </c>
      <c r="AB492" s="4">
        <v>2</v>
      </c>
      <c r="AC492" s="4">
        <v>3</v>
      </c>
      <c r="AD492" s="4">
        <v>13</v>
      </c>
      <c r="AE492" s="4">
        <v>28</v>
      </c>
      <c r="AF492" s="4">
        <v>2</v>
      </c>
      <c r="AG492" s="4">
        <v>9</v>
      </c>
      <c r="AH492" s="4">
        <v>5</v>
      </c>
      <c r="AI492" s="4">
        <v>9</v>
      </c>
      <c r="AJ492" s="4">
        <v>9</v>
      </c>
      <c r="AK492" s="4">
        <v>14</v>
      </c>
      <c r="AL492" s="4">
        <v>1</v>
      </c>
      <c r="AM492" s="4">
        <v>2</v>
      </c>
      <c r="AN492" s="4">
        <v>0</v>
      </c>
      <c r="AO492" s="4">
        <v>0</v>
      </c>
      <c r="AP492" s="3" t="s">
        <v>59</v>
      </c>
      <c r="AQ492" s="3" t="s">
        <v>70</v>
      </c>
      <c r="AR492" s="6" t="str">
        <f>HYPERLINK("http://catalog.hathitrust.org/Record/000200789","HathiTrust Record")</f>
        <v>HathiTrust Record</v>
      </c>
      <c r="AS492" s="6" t="str">
        <f>HYPERLINK("https://creighton-primo.hosted.exlibrisgroup.com/primo-explore/search?tab=default_tab&amp;search_scope=EVERYTHING&amp;vid=01CRU&amp;lang=en_US&amp;offset=0&amp;query=any,contains,991000239539702656","Catalog Record")</f>
        <v>Catalog Record</v>
      </c>
      <c r="AT492" s="6" t="str">
        <f>HYPERLINK("http://www.worldcat.org/oclc/9682843","WorldCat Record")</f>
        <v>WorldCat Record</v>
      </c>
      <c r="AU492" s="3" t="s">
        <v>6265</v>
      </c>
      <c r="AV492" s="3" t="s">
        <v>6328</v>
      </c>
      <c r="AW492" s="3" t="s">
        <v>6329</v>
      </c>
      <c r="AX492" s="3" t="s">
        <v>6329</v>
      </c>
      <c r="AY492" s="3" t="s">
        <v>6330</v>
      </c>
      <c r="AZ492" s="3" t="s">
        <v>75</v>
      </c>
      <c r="BB492" s="3" t="s">
        <v>6331</v>
      </c>
      <c r="BC492" s="3" t="s">
        <v>6332</v>
      </c>
      <c r="BD492" s="3" t="s">
        <v>6333</v>
      </c>
    </row>
    <row r="493" spans="1:56" ht="48" customHeight="1" x14ac:dyDescent="0.25">
      <c r="A493" s="7" t="s">
        <v>59</v>
      </c>
      <c r="B493" s="2" t="s">
        <v>6334</v>
      </c>
      <c r="C493" s="2" t="s">
        <v>6335</v>
      </c>
      <c r="D493" s="2" t="s">
        <v>6336</v>
      </c>
      <c r="F493" s="3" t="s">
        <v>59</v>
      </c>
      <c r="G493" s="3" t="s">
        <v>60</v>
      </c>
      <c r="H493" s="3" t="s">
        <v>59</v>
      </c>
      <c r="I493" s="3" t="s">
        <v>59</v>
      </c>
      <c r="J493" s="3" t="s">
        <v>61</v>
      </c>
      <c r="K493" s="2" t="s">
        <v>6337</v>
      </c>
      <c r="L493" s="2" t="s">
        <v>6338</v>
      </c>
      <c r="M493" s="3" t="s">
        <v>348</v>
      </c>
      <c r="N493" s="2" t="s">
        <v>6339</v>
      </c>
      <c r="O493" s="3" t="s">
        <v>64</v>
      </c>
      <c r="P493" s="3" t="s">
        <v>130</v>
      </c>
      <c r="R493" s="3" t="s">
        <v>67</v>
      </c>
      <c r="S493" s="4">
        <v>7</v>
      </c>
      <c r="T493" s="4">
        <v>7</v>
      </c>
      <c r="U493" s="5" t="s">
        <v>6340</v>
      </c>
      <c r="V493" s="5" t="s">
        <v>6340</v>
      </c>
      <c r="W493" s="5" t="s">
        <v>6341</v>
      </c>
      <c r="X493" s="5" t="s">
        <v>6341</v>
      </c>
      <c r="Y493" s="4">
        <v>497</v>
      </c>
      <c r="Z493" s="4">
        <v>454</v>
      </c>
      <c r="AA493" s="4">
        <v>498</v>
      </c>
      <c r="AB493" s="4">
        <v>4</v>
      </c>
      <c r="AC493" s="4">
        <v>4</v>
      </c>
      <c r="AD493" s="4">
        <v>26</v>
      </c>
      <c r="AE493" s="4">
        <v>26</v>
      </c>
      <c r="AF493" s="4">
        <v>7</v>
      </c>
      <c r="AG493" s="4">
        <v>7</v>
      </c>
      <c r="AH493" s="4">
        <v>8</v>
      </c>
      <c r="AI493" s="4">
        <v>8</v>
      </c>
      <c r="AJ493" s="4">
        <v>16</v>
      </c>
      <c r="AK493" s="4">
        <v>16</v>
      </c>
      <c r="AL493" s="4">
        <v>3</v>
      </c>
      <c r="AM493" s="4">
        <v>3</v>
      </c>
      <c r="AN493" s="4">
        <v>0</v>
      </c>
      <c r="AO493" s="4">
        <v>0</v>
      </c>
      <c r="AP493" s="3" t="s">
        <v>59</v>
      </c>
      <c r="AQ493" s="3" t="s">
        <v>70</v>
      </c>
      <c r="AR493" s="6" t="str">
        <f>HYPERLINK("http://catalog.hathitrust.org/Record/002718207","HathiTrust Record")</f>
        <v>HathiTrust Record</v>
      </c>
      <c r="AS493" s="6" t="str">
        <f>HYPERLINK("https://creighton-primo.hosted.exlibrisgroup.com/primo-explore/search?tab=default_tab&amp;search_scope=EVERYTHING&amp;vid=01CRU&amp;lang=en_US&amp;offset=0&amp;query=any,contains,991002177689702656","Catalog Record")</f>
        <v>Catalog Record</v>
      </c>
      <c r="AT493" s="6" t="str">
        <f>HYPERLINK("http://www.worldcat.org/oclc/28026752","WorldCat Record")</f>
        <v>WorldCat Record</v>
      </c>
      <c r="AU493" s="3" t="s">
        <v>6342</v>
      </c>
      <c r="AV493" s="3" t="s">
        <v>6343</v>
      </c>
      <c r="AW493" s="3" t="s">
        <v>6344</v>
      </c>
      <c r="AX493" s="3" t="s">
        <v>6344</v>
      </c>
      <c r="AY493" s="3" t="s">
        <v>6345</v>
      </c>
      <c r="AZ493" s="3" t="s">
        <v>75</v>
      </c>
      <c r="BB493" s="3" t="s">
        <v>6346</v>
      </c>
      <c r="BC493" s="3" t="s">
        <v>6347</v>
      </c>
      <c r="BD493" s="3" t="s">
        <v>6348</v>
      </c>
    </row>
    <row r="494" spans="1:56" ht="48" customHeight="1" x14ac:dyDescent="0.25">
      <c r="A494" s="7" t="s">
        <v>59</v>
      </c>
      <c r="B494" s="2" t="s">
        <v>6349</v>
      </c>
      <c r="C494" s="2" t="s">
        <v>6350</v>
      </c>
      <c r="D494" s="2" t="s">
        <v>6351</v>
      </c>
      <c r="F494" s="3" t="s">
        <v>59</v>
      </c>
      <c r="G494" s="3" t="s">
        <v>60</v>
      </c>
      <c r="H494" s="3" t="s">
        <v>59</v>
      </c>
      <c r="I494" s="3" t="s">
        <v>59</v>
      </c>
      <c r="J494" s="3" t="s">
        <v>61</v>
      </c>
      <c r="K494" s="2" t="s">
        <v>6352</v>
      </c>
      <c r="L494" s="2" t="s">
        <v>6353</v>
      </c>
      <c r="M494" s="3" t="s">
        <v>590</v>
      </c>
      <c r="O494" s="3" t="s">
        <v>64</v>
      </c>
      <c r="P494" s="3" t="s">
        <v>130</v>
      </c>
      <c r="R494" s="3" t="s">
        <v>67</v>
      </c>
      <c r="S494" s="4">
        <v>3</v>
      </c>
      <c r="T494" s="4">
        <v>3</v>
      </c>
      <c r="U494" s="5" t="s">
        <v>6354</v>
      </c>
      <c r="V494" s="5" t="s">
        <v>6354</v>
      </c>
      <c r="W494" s="5" t="s">
        <v>6355</v>
      </c>
      <c r="X494" s="5" t="s">
        <v>6355</v>
      </c>
      <c r="Y494" s="4">
        <v>833</v>
      </c>
      <c r="Z494" s="4">
        <v>730</v>
      </c>
      <c r="AA494" s="4">
        <v>757</v>
      </c>
      <c r="AB494" s="4">
        <v>4</v>
      </c>
      <c r="AC494" s="4">
        <v>4</v>
      </c>
      <c r="AD494" s="4">
        <v>25</v>
      </c>
      <c r="AE494" s="4">
        <v>25</v>
      </c>
      <c r="AF494" s="4">
        <v>9</v>
      </c>
      <c r="AG494" s="4">
        <v>9</v>
      </c>
      <c r="AH494" s="4">
        <v>7</v>
      </c>
      <c r="AI494" s="4">
        <v>7</v>
      </c>
      <c r="AJ494" s="4">
        <v>13</v>
      </c>
      <c r="AK494" s="4">
        <v>13</v>
      </c>
      <c r="AL494" s="4">
        <v>3</v>
      </c>
      <c r="AM494" s="4">
        <v>3</v>
      </c>
      <c r="AN494" s="4">
        <v>0</v>
      </c>
      <c r="AO494" s="4">
        <v>0</v>
      </c>
      <c r="AP494" s="3" t="s">
        <v>59</v>
      </c>
      <c r="AQ494" s="3" t="s">
        <v>70</v>
      </c>
      <c r="AR494" s="6" t="str">
        <f>HYPERLINK("http://catalog.hathitrust.org/Record/000903450","HathiTrust Record")</f>
        <v>HathiTrust Record</v>
      </c>
      <c r="AS494" s="6" t="str">
        <f>HYPERLINK("https://creighton-primo.hosted.exlibrisgroup.com/primo-explore/search?tab=default_tab&amp;search_scope=EVERYTHING&amp;vid=01CRU&amp;lang=en_US&amp;offset=0&amp;query=any,contains,991001189589702656","Catalog Record")</f>
        <v>Catalog Record</v>
      </c>
      <c r="AT494" s="6" t="str">
        <f>HYPERLINK("http://www.worldcat.org/oclc/17234329","WorldCat Record")</f>
        <v>WorldCat Record</v>
      </c>
      <c r="AU494" s="3" t="s">
        <v>6356</v>
      </c>
      <c r="AV494" s="3" t="s">
        <v>6357</v>
      </c>
      <c r="AW494" s="3" t="s">
        <v>6358</v>
      </c>
      <c r="AX494" s="3" t="s">
        <v>6358</v>
      </c>
      <c r="AY494" s="3" t="s">
        <v>6359</v>
      </c>
      <c r="AZ494" s="3" t="s">
        <v>75</v>
      </c>
      <c r="BB494" s="3" t="s">
        <v>6360</v>
      </c>
      <c r="BC494" s="3" t="s">
        <v>6361</v>
      </c>
      <c r="BD494" s="3" t="s">
        <v>6362</v>
      </c>
    </row>
    <row r="495" spans="1:56" ht="48" customHeight="1" x14ac:dyDescent="0.25">
      <c r="A495" s="7" t="s">
        <v>59</v>
      </c>
      <c r="B495" s="2" t="s">
        <v>6363</v>
      </c>
      <c r="C495" s="2" t="s">
        <v>6364</v>
      </c>
      <c r="D495" s="2" t="s">
        <v>6365</v>
      </c>
      <c r="F495" s="3" t="s">
        <v>59</v>
      </c>
      <c r="G495" s="3" t="s">
        <v>60</v>
      </c>
      <c r="H495" s="3" t="s">
        <v>59</v>
      </c>
      <c r="I495" s="3" t="s">
        <v>59</v>
      </c>
      <c r="J495" s="3" t="s">
        <v>61</v>
      </c>
      <c r="K495" s="2" t="s">
        <v>6366</v>
      </c>
      <c r="L495" s="2" t="s">
        <v>6367</v>
      </c>
      <c r="M495" s="3" t="s">
        <v>175</v>
      </c>
      <c r="O495" s="3" t="s">
        <v>64</v>
      </c>
      <c r="P495" s="3" t="s">
        <v>130</v>
      </c>
      <c r="Q495" s="2" t="s">
        <v>6368</v>
      </c>
      <c r="R495" s="3" t="s">
        <v>67</v>
      </c>
      <c r="S495" s="4">
        <v>9</v>
      </c>
      <c r="T495" s="4">
        <v>9</v>
      </c>
      <c r="U495" s="5" t="s">
        <v>1245</v>
      </c>
      <c r="V495" s="5" t="s">
        <v>1245</v>
      </c>
      <c r="W495" s="5" t="s">
        <v>6369</v>
      </c>
      <c r="X495" s="5" t="s">
        <v>6369</v>
      </c>
      <c r="Y495" s="4">
        <v>827</v>
      </c>
      <c r="Z495" s="4">
        <v>692</v>
      </c>
      <c r="AA495" s="4">
        <v>807</v>
      </c>
      <c r="AB495" s="4">
        <v>6</v>
      </c>
      <c r="AC495" s="4">
        <v>6</v>
      </c>
      <c r="AD495" s="4">
        <v>36</v>
      </c>
      <c r="AE495" s="4">
        <v>36</v>
      </c>
      <c r="AF495" s="4">
        <v>17</v>
      </c>
      <c r="AG495" s="4">
        <v>17</v>
      </c>
      <c r="AH495" s="4">
        <v>5</v>
      </c>
      <c r="AI495" s="4">
        <v>5</v>
      </c>
      <c r="AJ495" s="4">
        <v>19</v>
      </c>
      <c r="AK495" s="4">
        <v>19</v>
      </c>
      <c r="AL495" s="4">
        <v>5</v>
      </c>
      <c r="AM495" s="4">
        <v>5</v>
      </c>
      <c r="AN495" s="4">
        <v>0</v>
      </c>
      <c r="AO495" s="4">
        <v>0</v>
      </c>
      <c r="AP495" s="3" t="s">
        <v>59</v>
      </c>
      <c r="AQ495" s="3" t="s">
        <v>59</v>
      </c>
      <c r="AS495" s="6" t="str">
        <f>HYPERLINK("https://creighton-primo.hosted.exlibrisgroup.com/primo-explore/search?tab=default_tab&amp;search_scope=EVERYTHING&amp;vid=01CRU&amp;lang=en_US&amp;offset=0&amp;query=any,contains,991003205939702656","Catalog Record")</f>
        <v>Catalog Record</v>
      </c>
      <c r="AT495" s="6" t="str">
        <f>HYPERLINK("http://www.worldcat.org/oclc/39839709","WorldCat Record")</f>
        <v>WorldCat Record</v>
      </c>
      <c r="AU495" s="3" t="s">
        <v>6370</v>
      </c>
      <c r="AV495" s="3" t="s">
        <v>6371</v>
      </c>
      <c r="AW495" s="3" t="s">
        <v>6372</v>
      </c>
      <c r="AX495" s="3" t="s">
        <v>6372</v>
      </c>
      <c r="AY495" s="3" t="s">
        <v>6373</v>
      </c>
      <c r="AZ495" s="3" t="s">
        <v>75</v>
      </c>
      <c r="BB495" s="3" t="s">
        <v>6374</v>
      </c>
      <c r="BC495" s="3" t="s">
        <v>6375</v>
      </c>
      <c r="BD495" s="3" t="s">
        <v>6376</v>
      </c>
    </row>
    <row r="496" spans="1:56" ht="48" customHeight="1" x14ac:dyDescent="0.25">
      <c r="A496" s="7" t="s">
        <v>59</v>
      </c>
      <c r="B496" s="2" t="s">
        <v>6377</v>
      </c>
      <c r="C496" s="2" t="s">
        <v>6378</v>
      </c>
      <c r="D496" s="2" t="s">
        <v>6379</v>
      </c>
      <c r="F496" s="3" t="s">
        <v>59</v>
      </c>
      <c r="G496" s="3" t="s">
        <v>60</v>
      </c>
      <c r="H496" s="3" t="s">
        <v>59</v>
      </c>
      <c r="I496" s="3" t="s">
        <v>59</v>
      </c>
      <c r="J496" s="3" t="s">
        <v>61</v>
      </c>
      <c r="L496" s="2" t="s">
        <v>6380</v>
      </c>
      <c r="M496" s="3" t="s">
        <v>145</v>
      </c>
      <c r="O496" s="3" t="s">
        <v>64</v>
      </c>
      <c r="P496" s="3" t="s">
        <v>5944</v>
      </c>
      <c r="R496" s="3" t="s">
        <v>67</v>
      </c>
      <c r="S496" s="4">
        <v>4</v>
      </c>
      <c r="T496" s="4">
        <v>4</v>
      </c>
      <c r="U496" s="5" t="s">
        <v>2225</v>
      </c>
      <c r="V496" s="5" t="s">
        <v>2225</v>
      </c>
      <c r="W496" s="5" t="s">
        <v>4108</v>
      </c>
      <c r="X496" s="5" t="s">
        <v>4108</v>
      </c>
      <c r="Y496" s="4">
        <v>255</v>
      </c>
      <c r="Z496" s="4">
        <v>211</v>
      </c>
      <c r="AA496" s="4">
        <v>222</v>
      </c>
      <c r="AB496" s="4">
        <v>3</v>
      </c>
      <c r="AC496" s="4">
        <v>3</v>
      </c>
      <c r="AD496" s="4">
        <v>9</v>
      </c>
      <c r="AE496" s="4">
        <v>9</v>
      </c>
      <c r="AF496" s="4">
        <v>1</v>
      </c>
      <c r="AG496" s="4">
        <v>1</v>
      </c>
      <c r="AH496" s="4">
        <v>2</v>
      </c>
      <c r="AI496" s="4">
        <v>2</v>
      </c>
      <c r="AJ496" s="4">
        <v>6</v>
      </c>
      <c r="AK496" s="4">
        <v>6</v>
      </c>
      <c r="AL496" s="4">
        <v>2</v>
      </c>
      <c r="AM496" s="4">
        <v>2</v>
      </c>
      <c r="AN496" s="4">
        <v>0</v>
      </c>
      <c r="AO496" s="4">
        <v>0</v>
      </c>
      <c r="AP496" s="3" t="s">
        <v>59</v>
      </c>
      <c r="AQ496" s="3" t="s">
        <v>70</v>
      </c>
      <c r="AR496" s="6" t="str">
        <f>HYPERLINK("http://catalog.hathitrust.org/Record/000177139","HathiTrust Record")</f>
        <v>HathiTrust Record</v>
      </c>
      <c r="AS496" s="6" t="str">
        <f>HYPERLINK("https://creighton-primo.hosted.exlibrisgroup.com/primo-explore/search?tab=default_tab&amp;search_scope=EVERYTHING&amp;vid=01CRU&amp;lang=en_US&amp;offset=0&amp;query=any,contains,991004569599702656","Catalog Record")</f>
        <v>Catalog Record</v>
      </c>
      <c r="AT496" s="6" t="str">
        <f>HYPERLINK("http://www.worldcat.org/oclc/4014883","WorldCat Record")</f>
        <v>WorldCat Record</v>
      </c>
      <c r="AU496" s="3" t="s">
        <v>6381</v>
      </c>
      <c r="AV496" s="3" t="s">
        <v>6382</v>
      </c>
      <c r="AW496" s="3" t="s">
        <v>6383</v>
      </c>
      <c r="AX496" s="3" t="s">
        <v>6383</v>
      </c>
      <c r="AY496" s="3" t="s">
        <v>6384</v>
      </c>
      <c r="AZ496" s="3" t="s">
        <v>75</v>
      </c>
      <c r="BB496" s="3" t="s">
        <v>6385</v>
      </c>
      <c r="BC496" s="3" t="s">
        <v>6386</v>
      </c>
      <c r="BD496" s="3" t="s">
        <v>6387</v>
      </c>
    </row>
    <row r="497" spans="1:56" ht="48" customHeight="1" x14ac:dyDescent="0.25">
      <c r="A497" s="7" t="s">
        <v>59</v>
      </c>
      <c r="B497" s="2" t="s">
        <v>6388</v>
      </c>
      <c r="C497" s="2" t="s">
        <v>6389</v>
      </c>
      <c r="D497" s="2" t="s">
        <v>6390</v>
      </c>
      <c r="F497" s="3" t="s">
        <v>59</v>
      </c>
      <c r="G497" s="3" t="s">
        <v>60</v>
      </c>
      <c r="H497" s="3" t="s">
        <v>59</v>
      </c>
      <c r="I497" s="3" t="s">
        <v>59</v>
      </c>
      <c r="J497" s="3" t="s">
        <v>61</v>
      </c>
      <c r="K497" s="2" t="s">
        <v>5300</v>
      </c>
      <c r="L497" s="2" t="s">
        <v>6391</v>
      </c>
      <c r="M497" s="3" t="s">
        <v>417</v>
      </c>
      <c r="O497" s="3" t="s">
        <v>64</v>
      </c>
      <c r="P497" s="3" t="s">
        <v>130</v>
      </c>
      <c r="R497" s="3" t="s">
        <v>67</v>
      </c>
      <c r="S497" s="4">
        <v>10</v>
      </c>
      <c r="T497" s="4">
        <v>10</v>
      </c>
      <c r="U497" s="5" t="s">
        <v>5492</v>
      </c>
      <c r="V497" s="5" t="s">
        <v>5492</v>
      </c>
      <c r="W497" s="5" t="s">
        <v>6392</v>
      </c>
      <c r="X497" s="5" t="s">
        <v>6392</v>
      </c>
      <c r="Y497" s="4">
        <v>578</v>
      </c>
      <c r="Z497" s="4">
        <v>496</v>
      </c>
      <c r="AA497" s="4">
        <v>621</v>
      </c>
      <c r="AB497" s="4">
        <v>5</v>
      </c>
      <c r="AC497" s="4">
        <v>5</v>
      </c>
      <c r="AD497" s="4">
        <v>23</v>
      </c>
      <c r="AE497" s="4">
        <v>25</v>
      </c>
      <c r="AF497" s="4">
        <v>10</v>
      </c>
      <c r="AG497" s="4">
        <v>11</v>
      </c>
      <c r="AH497" s="4">
        <v>2</v>
      </c>
      <c r="AI497" s="4">
        <v>2</v>
      </c>
      <c r="AJ497" s="4">
        <v>9</v>
      </c>
      <c r="AK497" s="4">
        <v>10</v>
      </c>
      <c r="AL497" s="4">
        <v>4</v>
      </c>
      <c r="AM497" s="4">
        <v>4</v>
      </c>
      <c r="AN497" s="4">
        <v>0</v>
      </c>
      <c r="AO497" s="4">
        <v>0</v>
      </c>
      <c r="AP497" s="3" t="s">
        <v>59</v>
      </c>
      <c r="AQ497" s="3" t="s">
        <v>70</v>
      </c>
      <c r="AR497" s="6" t="str">
        <f>HYPERLINK("http://catalog.hathitrust.org/Record/000197786","HathiTrust Record")</f>
        <v>HathiTrust Record</v>
      </c>
      <c r="AS497" s="6" t="str">
        <f>HYPERLINK("https://creighton-primo.hosted.exlibrisgroup.com/primo-explore/search?tab=default_tab&amp;search_scope=EVERYTHING&amp;vid=01CRU&amp;lang=en_US&amp;offset=0&amp;query=any,contains,991000026649702656","Catalog Record")</f>
        <v>Catalog Record</v>
      </c>
      <c r="AT497" s="6" t="str">
        <f>HYPERLINK("http://www.worldcat.org/oclc/8589391","WorldCat Record")</f>
        <v>WorldCat Record</v>
      </c>
      <c r="AU497" s="3" t="s">
        <v>6393</v>
      </c>
      <c r="AV497" s="3" t="s">
        <v>6394</v>
      </c>
      <c r="AW497" s="3" t="s">
        <v>6395</v>
      </c>
      <c r="AX497" s="3" t="s">
        <v>6395</v>
      </c>
      <c r="AY497" s="3" t="s">
        <v>6396</v>
      </c>
      <c r="AZ497" s="3" t="s">
        <v>75</v>
      </c>
      <c r="BB497" s="3" t="s">
        <v>6397</v>
      </c>
      <c r="BC497" s="3" t="s">
        <v>6398</v>
      </c>
      <c r="BD497" s="3" t="s">
        <v>6399</v>
      </c>
    </row>
    <row r="498" spans="1:56" ht="48" customHeight="1" x14ac:dyDescent="0.25">
      <c r="A498" s="7" t="s">
        <v>59</v>
      </c>
      <c r="B498" s="2" t="s">
        <v>6400</v>
      </c>
      <c r="C498" s="2" t="s">
        <v>6401</v>
      </c>
      <c r="D498" s="2" t="s">
        <v>6402</v>
      </c>
      <c r="F498" s="3" t="s">
        <v>59</v>
      </c>
      <c r="G498" s="3" t="s">
        <v>60</v>
      </c>
      <c r="H498" s="3" t="s">
        <v>59</v>
      </c>
      <c r="I498" s="3" t="s">
        <v>59</v>
      </c>
      <c r="J498" s="3" t="s">
        <v>61</v>
      </c>
      <c r="L498" s="2" t="s">
        <v>6403</v>
      </c>
      <c r="M498" s="3" t="s">
        <v>219</v>
      </c>
      <c r="O498" s="3" t="s">
        <v>64</v>
      </c>
      <c r="P498" s="3" t="s">
        <v>264</v>
      </c>
      <c r="R498" s="3" t="s">
        <v>67</v>
      </c>
      <c r="S498" s="4">
        <v>3</v>
      </c>
      <c r="T498" s="4">
        <v>3</v>
      </c>
      <c r="U498" s="5" t="s">
        <v>4929</v>
      </c>
      <c r="V498" s="5" t="s">
        <v>4929</v>
      </c>
      <c r="W498" s="5" t="s">
        <v>6404</v>
      </c>
      <c r="X498" s="5" t="s">
        <v>6404</v>
      </c>
      <c r="Y498" s="4">
        <v>293</v>
      </c>
      <c r="Z498" s="4">
        <v>205</v>
      </c>
      <c r="AA498" s="4">
        <v>210</v>
      </c>
      <c r="AB498" s="4">
        <v>3</v>
      </c>
      <c r="AC498" s="4">
        <v>3</v>
      </c>
      <c r="AD498" s="4">
        <v>12</v>
      </c>
      <c r="AE498" s="4">
        <v>12</v>
      </c>
      <c r="AF498" s="4">
        <v>2</v>
      </c>
      <c r="AG498" s="4">
        <v>2</v>
      </c>
      <c r="AH498" s="4">
        <v>4</v>
      </c>
      <c r="AI498" s="4">
        <v>4</v>
      </c>
      <c r="AJ498" s="4">
        <v>8</v>
      </c>
      <c r="AK498" s="4">
        <v>8</v>
      </c>
      <c r="AL498" s="4">
        <v>2</v>
      </c>
      <c r="AM498" s="4">
        <v>2</v>
      </c>
      <c r="AN498" s="4">
        <v>0</v>
      </c>
      <c r="AO498" s="4">
        <v>0</v>
      </c>
      <c r="AP498" s="3" t="s">
        <v>59</v>
      </c>
      <c r="AQ498" s="3" t="s">
        <v>59</v>
      </c>
      <c r="AS498" s="6" t="str">
        <f>HYPERLINK("https://creighton-primo.hosted.exlibrisgroup.com/primo-explore/search?tab=default_tab&amp;search_scope=EVERYTHING&amp;vid=01CRU&amp;lang=en_US&amp;offset=0&amp;query=any,contains,991001699129702656","Catalog Record")</f>
        <v>Catalog Record</v>
      </c>
      <c r="AT498" s="6" t="str">
        <f>HYPERLINK("http://www.worldcat.org/oclc/21520873","WorldCat Record")</f>
        <v>WorldCat Record</v>
      </c>
      <c r="AU498" s="3" t="s">
        <v>6405</v>
      </c>
      <c r="AV498" s="3" t="s">
        <v>6406</v>
      </c>
      <c r="AW498" s="3" t="s">
        <v>6407</v>
      </c>
      <c r="AX498" s="3" t="s">
        <v>6407</v>
      </c>
      <c r="AY498" s="3" t="s">
        <v>6408</v>
      </c>
      <c r="AZ498" s="3" t="s">
        <v>75</v>
      </c>
      <c r="BB498" s="3" t="s">
        <v>6409</v>
      </c>
      <c r="BC498" s="3" t="s">
        <v>6410</v>
      </c>
      <c r="BD498" s="3" t="s">
        <v>6411</v>
      </c>
    </row>
    <row r="499" spans="1:56" ht="48" customHeight="1" x14ac:dyDescent="0.25">
      <c r="A499" s="7" t="s">
        <v>59</v>
      </c>
      <c r="B499" s="2" t="s">
        <v>6412</v>
      </c>
      <c r="C499" s="2" t="s">
        <v>6413</v>
      </c>
      <c r="D499" s="2" t="s">
        <v>6414</v>
      </c>
      <c r="F499" s="3" t="s">
        <v>59</v>
      </c>
      <c r="G499" s="3" t="s">
        <v>60</v>
      </c>
      <c r="H499" s="3" t="s">
        <v>59</v>
      </c>
      <c r="I499" s="3" t="s">
        <v>59</v>
      </c>
      <c r="J499" s="3" t="s">
        <v>61</v>
      </c>
      <c r="L499" s="2" t="s">
        <v>6415</v>
      </c>
      <c r="M499" s="3" t="s">
        <v>129</v>
      </c>
      <c r="O499" s="3" t="s">
        <v>64</v>
      </c>
      <c r="P499" s="3" t="s">
        <v>912</v>
      </c>
      <c r="R499" s="3" t="s">
        <v>67</v>
      </c>
      <c r="S499" s="4">
        <v>4</v>
      </c>
      <c r="T499" s="4">
        <v>4</v>
      </c>
      <c r="U499" s="5" t="s">
        <v>6416</v>
      </c>
      <c r="V499" s="5" t="s">
        <v>6416</v>
      </c>
      <c r="W499" s="5" t="s">
        <v>2617</v>
      </c>
      <c r="X499" s="5" t="s">
        <v>2617</v>
      </c>
      <c r="Y499" s="4">
        <v>264</v>
      </c>
      <c r="Z499" s="4">
        <v>217</v>
      </c>
      <c r="AA499" s="4">
        <v>250</v>
      </c>
      <c r="AB499" s="4">
        <v>2</v>
      </c>
      <c r="AC499" s="4">
        <v>2</v>
      </c>
      <c r="AD499" s="4">
        <v>12</v>
      </c>
      <c r="AE499" s="4">
        <v>12</v>
      </c>
      <c r="AF499" s="4">
        <v>4</v>
      </c>
      <c r="AG499" s="4">
        <v>4</v>
      </c>
      <c r="AH499" s="4">
        <v>4</v>
      </c>
      <c r="AI499" s="4">
        <v>4</v>
      </c>
      <c r="AJ499" s="4">
        <v>10</v>
      </c>
      <c r="AK499" s="4">
        <v>10</v>
      </c>
      <c r="AL499" s="4">
        <v>1</v>
      </c>
      <c r="AM499" s="4">
        <v>1</v>
      </c>
      <c r="AN499" s="4">
        <v>0</v>
      </c>
      <c r="AO499" s="4">
        <v>0</v>
      </c>
      <c r="AP499" s="3" t="s">
        <v>59</v>
      </c>
      <c r="AQ499" s="3" t="s">
        <v>59</v>
      </c>
      <c r="AS499" s="6" t="str">
        <f>HYPERLINK("https://creighton-primo.hosted.exlibrisgroup.com/primo-explore/search?tab=default_tab&amp;search_scope=EVERYTHING&amp;vid=01CRU&amp;lang=en_US&amp;offset=0&amp;query=any,contains,991001975619702656","Catalog Record")</f>
        <v>Catalog Record</v>
      </c>
      <c r="AT499" s="6" t="str">
        <f>HYPERLINK("http://www.worldcat.org/oclc/25049422","WorldCat Record")</f>
        <v>WorldCat Record</v>
      </c>
      <c r="AU499" s="3" t="s">
        <v>6417</v>
      </c>
      <c r="AV499" s="3" t="s">
        <v>6418</v>
      </c>
      <c r="AW499" s="3" t="s">
        <v>6419</v>
      </c>
      <c r="AX499" s="3" t="s">
        <v>6419</v>
      </c>
      <c r="AY499" s="3" t="s">
        <v>6420</v>
      </c>
      <c r="AZ499" s="3" t="s">
        <v>75</v>
      </c>
      <c r="BB499" s="3" t="s">
        <v>6421</v>
      </c>
      <c r="BC499" s="3" t="s">
        <v>6422</v>
      </c>
      <c r="BD499" s="3" t="s">
        <v>6423</v>
      </c>
    </row>
    <row r="500" spans="1:56" ht="48" customHeight="1" x14ac:dyDescent="0.25">
      <c r="A500" s="7" t="s">
        <v>59</v>
      </c>
      <c r="B500" s="2" t="s">
        <v>6424</v>
      </c>
      <c r="C500" s="2" t="s">
        <v>6425</v>
      </c>
      <c r="D500" s="2" t="s">
        <v>6426</v>
      </c>
      <c r="F500" s="3" t="s">
        <v>59</v>
      </c>
      <c r="G500" s="3" t="s">
        <v>60</v>
      </c>
      <c r="H500" s="3" t="s">
        <v>59</v>
      </c>
      <c r="I500" s="3" t="s">
        <v>59</v>
      </c>
      <c r="J500" s="3" t="s">
        <v>61</v>
      </c>
      <c r="L500" s="2" t="s">
        <v>6427</v>
      </c>
      <c r="M500" s="3" t="s">
        <v>319</v>
      </c>
      <c r="O500" s="3" t="s">
        <v>64</v>
      </c>
      <c r="P500" s="3" t="s">
        <v>130</v>
      </c>
      <c r="R500" s="3" t="s">
        <v>67</v>
      </c>
      <c r="S500" s="4">
        <v>1</v>
      </c>
      <c r="T500" s="4">
        <v>1</v>
      </c>
      <c r="U500" s="5" t="s">
        <v>6428</v>
      </c>
      <c r="V500" s="5" t="s">
        <v>6428</v>
      </c>
      <c r="W500" s="5" t="s">
        <v>4108</v>
      </c>
      <c r="X500" s="5" t="s">
        <v>4108</v>
      </c>
      <c r="Y500" s="4">
        <v>395</v>
      </c>
      <c r="Z500" s="4">
        <v>317</v>
      </c>
      <c r="AA500" s="4">
        <v>335</v>
      </c>
      <c r="AB500" s="4">
        <v>1</v>
      </c>
      <c r="AC500" s="4">
        <v>1</v>
      </c>
      <c r="AD500" s="4">
        <v>8</v>
      </c>
      <c r="AE500" s="4">
        <v>8</v>
      </c>
      <c r="AF500" s="4">
        <v>0</v>
      </c>
      <c r="AG500" s="4">
        <v>0</v>
      </c>
      <c r="AH500" s="4">
        <v>2</v>
      </c>
      <c r="AI500" s="4">
        <v>2</v>
      </c>
      <c r="AJ500" s="4">
        <v>8</v>
      </c>
      <c r="AK500" s="4">
        <v>8</v>
      </c>
      <c r="AL500" s="4">
        <v>0</v>
      </c>
      <c r="AM500" s="4">
        <v>0</v>
      </c>
      <c r="AN500" s="4">
        <v>0</v>
      </c>
      <c r="AO500" s="4">
        <v>0</v>
      </c>
      <c r="AP500" s="3" t="s">
        <v>59</v>
      </c>
      <c r="AQ500" s="3" t="s">
        <v>70</v>
      </c>
      <c r="AR500" s="6" t="str">
        <f>HYPERLINK("http://catalog.hathitrust.org/Record/000328797","HathiTrust Record")</f>
        <v>HathiTrust Record</v>
      </c>
      <c r="AS500" s="6" t="str">
        <f>HYPERLINK("https://creighton-primo.hosted.exlibrisgroup.com/primo-explore/search?tab=default_tab&amp;search_scope=EVERYTHING&amp;vid=01CRU&amp;lang=en_US&amp;offset=0&amp;query=any,contains,991000497899702656","Catalog Record")</f>
        <v>Catalog Record</v>
      </c>
      <c r="AT500" s="6" t="str">
        <f>HYPERLINK("http://www.worldcat.org/oclc/11158704","WorldCat Record")</f>
        <v>WorldCat Record</v>
      </c>
      <c r="AU500" s="3" t="s">
        <v>6429</v>
      </c>
      <c r="AV500" s="3" t="s">
        <v>6430</v>
      </c>
      <c r="AW500" s="3" t="s">
        <v>6431</v>
      </c>
      <c r="AX500" s="3" t="s">
        <v>6431</v>
      </c>
      <c r="AY500" s="3" t="s">
        <v>6432</v>
      </c>
      <c r="AZ500" s="3" t="s">
        <v>75</v>
      </c>
      <c r="BB500" s="3" t="s">
        <v>6433</v>
      </c>
      <c r="BC500" s="3" t="s">
        <v>6434</v>
      </c>
      <c r="BD500" s="3" t="s">
        <v>6435</v>
      </c>
    </row>
    <row r="501" spans="1:56" ht="48" customHeight="1" x14ac:dyDescent="0.25">
      <c r="A501" s="7" t="s">
        <v>59</v>
      </c>
      <c r="B501" s="2" t="s">
        <v>6436</v>
      </c>
      <c r="C501" s="2" t="s">
        <v>6437</v>
      </c>
      <c r="D501" s="2" t="s">
        <v>6438</v>
      </c>
      <c r="F501" s="3" t="s">
        <v>59</v>
      </c>
      <c r="G501" s="3" t="s">
        <v>60</v>
      </c>
      <c r="H501" s="3" t="s">
        <v>59</v>
      </c>
      <c r="I501" s="3" t="s">
        <v>59</v>
      </c>
      <c r="J501" s="3" t="s">
        <v>61</v>
      </c>
      <c r="L501" s="2" t="s">
        <v>6439</v>
      </c>
      <c r="M501" s="3" t="s">
        <v>604</v>
      </c>
      <c r="O501" s="3" t="s">
        <v>64</v>
      </c>
      <c r="P501" s="3" t="s">
        <v>912</v>
      </c>
      <c r="R501" s="3" t="s">
        <v>67</v>
      </c>
      <c r="S501" s="4">
        <v>11</v>
      </c>
      <c r="T501" s="4">
        <v>11</v>
      </c>
      <c r="U501" s="5" t="s">
        <v>6428</v>
      </c>
      <c r="V501" s="5" t="s">
        <v>6428</v>
      </c>
      <c r="W501" s="5" t="s">
        <v>3971</v>
      </c>
      <c r="X501" s="5" t="s">
        <v>3971</v>
      </c>
      <c r="Y501" s="4">
        <v>242</v>
      </c>
      <c r="Z501" s="4">
        <v>186</v>
      </c>
      <c r="AA501" s="4">
        <v>212</v>
      </c>
      <c r="AB501" s="4">
        <v>2</v>
      </c>
      <c r="AC501" s="4">
        <v>2</v>
      </c>
      <c r="AD501" s="4">
        <v>11</v>
      </c>
      <c r="AE501" s="4">
        <v>11</v>
      </c>
      <c r="AF501" s="4">
        <v>3</v>
      </c>
      <c r="AG501" s="4">
        <v>3</v>
      </c>
      <c r="AH501" s="4">
        <v>5</v>
      </c>
      <c r="AI501" s="4">
        <v>5</v>
      </c>
      <c r="AJ501" s="4">
        <v>6</v>
      </c>
      <c r="AK501" s="4">
        <v>6</v>
      </c>
      <c r="AL501" s="4">
        <v>1</v>
      </c>
      <c r="AM501" s="4">
        <v>1</v>
      </c>
      <c r="AN501" s="4">
        <v>0</v>
      </c>
      <c r="AO501" s="4">
        <v>0</v>
      </c>
      <c r="AP501" s="3" t="s">
        <v>59</v>
      </c>
      <c r="AQ501" s="3" t="s">
        <v>59</v>
      </c>
      <c r="AS501" s="6" t="str">
        <f>HYPERLINK("https://creighton-primo.hosted.exlibrisgroup.com/primo-explore/search?tab=default_tab&amp;search_scope=EVERYTHING&amp;vid=01CRU&amp;lang=en_US&amp;offset=0&amp;query=any,contains,991002536559702656","Catalog Record")</f>
        <v>Catalog Record</v>
      </c>
      <c r="AT501" s="6" t="str">
        <f>HYPERLINK("http://www.worldcat.org/oclc/32969385","WorldCat Record")</f>
        <v>WorldCat Record</v>
      </c>
      <c r="AU501" s="3" t="s">
        <v>6440</v>
      </c>
      <c r="AV501" s="3" t="s">
        <v>6441</v>
      </c>
      <c r="AW501" s="3" t="s">
        <v>6442</v>
      </c>
      <c r="AX501" s="3" t="s">
        <v>6442</v>
      </c>
      <c r="AY501" s="3" t="s">
        <v>6443</v>
      </c>
      <c r="AZ501" s="3" t="s">
        <v>75</v>
      </c>
      <c r="BB501" s="3" t="s">
        <v>6444</v>
      </c>
      <c r="BC501" s="3" t="s">
        <v>6445</v>
      </c>
      <c r="BD501" s="3" t="s">
        <v>6446</v>
      </c>
    </row>
    <row r="502" spans="1:56" ht="48" customHeight="1" x14ac:dyDescent="0.25">
      <c r="A502" s="7" t="s">
        <v>59</v>
      </c>
      <c r="B502" s="2" t="s">
        <v>6447</v>
      </c>
      <c r="C502" s="2" t="s">
        <v>6448</v>
      </c>
      <c r="D502" s="2" t="s">
        <v>6449</v>
      </c>
      <c r="F502" s="3" t="s">
        <v>59</v>
      </c>
      <c r="G502" s="3" t="s">
        <v>60</v>
      </c>
      <c r="H502" s="3" t="s">
        <v>59</v>
      </c>
      <c r="I502" s="3" t="s">
        <v>59</v>
      </c>
      <c r="J502" s="3" t="s">
        <v>61</v>
      </c>
      <c r="K502" s="2" t="s">
        <v>6450</v>
      </c>
      <c r="L502" s="2" t="s">
        <v>6451</v>
      </c>
      <c r="M502" s="3" t="s">
        <v>2825</v>
      </c>
      <c r="N502" s="2" t="s">
        <v>731</v>
      </c>
      <c r="O502" s="3" t="s">
        <v>64</v>
      </c>
      <c r="P502" s="3" t="s">
        <v>130</v>
      </c>
      <c r="R502" s="3" t="s">
        <v>67</v>
      </c>
      <c r="S502" s="4">
        <v>3</v>
      </c>
      <c r="T502" s="4">
        <v>3</v>
      </c>
      <c r="U502" s="5" t="s">
        <v>6452</v>
      </c>
      <c r="V502" s="5" t="s">
        <v>6452</v>
      </c>
      <c r="W502" s="5" t="s">
        <v>1173</v>
      </c>
      <c r="X502" s="5" t="s">
        <v>1173</v>
      </c>
      <c r="Y502" s="4">
        <v>1332</v>
      </c>
      <c r="Z502" s="4">
        <v>1214</v>
      </c>
      <c r="AA502" s="4">
        <v>1518</v>
      </c>
      <c r="AB502" s="4">
        <v>6</v>
      </c>
      <c r="AC502" s="4">
        <v>12</v>
      </c>
      <c r="AD502" s="4">
        <v>34</v>
      </c>
      <c r="AE502" s="4">
        <v>43</v>
      </c>
      <c r="AF502" s="4">
        <v>11</v>
      </c>
      <c r="AG502" s="4">
        <v>14</v>
      </c>
      <c r="AH502" s="4">
        <v>7</v>
      </c>
      <c r="AI502" s="4">
        <v>7</v>
      </c>
      <c r="AJ502" s="4">
        <v>16</v>
      </c>
      <c r="AK502" s="4">
        <v>18</v>
      </c>
      <c r="AL502" s="4">
        <v>3</v>
      </c>
      <c r="AM502" s="4">
        <v>7</v>
      </c>
      <c r="AN502" s="4">
        <v>2</v>
      </c>
      <c r="AO502" s="4">
        <v>2</v>
      </c>
      <c r="AP502" s="3" t="s">
        <v>59</v>
      </c>
      <c r="AQ502" s="3" t="s">
        <v>59</v>
      </c>
      <c r="AS502" s="6" t="str">
        <f>HYPERLINK("https://creighton-primo.hosted.exlibrisgroup.com/primo-explore/search?tab=default_tab&amp;search_scope=EVERYTHING&amp;vid=01CRU&amp;lang=en_US&amp;offset=0&amp;query=any,contains,991005143489702656","Catalog Record")</f>
        <v>Catalog Record</v>
      </c>
      <c r="AT502" s="6" t="str">
        <f>HYPERLINK("http://www.worldcat.org/oclc/148887403","WorldCat Record")</f>
        <v>WorldCat Record</v>
      </c>
      <c r="AU502" s="3" t="s">
        <v>6453</v>
      </c>
      <c r="AV502" s="3" t="s">
        <v>6454</v>
      </c>
      <c r="AW502" s="3" t="s">
        <v>6455</v>
      </c>
      <c r="AX502" s="3" t="s">
        <v>6455</v>
      </c>
      <c r="AY502" s="3" t="s">
        <v>6456</v>
      </c>
      <c r="AZ502" s="3" t="s">
        <v>75</v>
      </c>
      <c r="BB502" s="3" t="s">
        <v>6457</v>
      </c>
      <c r="BC502" s="3" t="s">
        <v>6458</v>
      </c>
      <c r="BD502" s="3" t="s">
        <v>6459</v>
      </c>
    </row>
    <row r="503" spans="1:56" ht="48" customHeight="1" x14ac:dyDescent="0.25">
      <c r="A503" s="7" t="s">
        <v>59</v>
      </c>
      <c r="B503" s="2" t="s">
        <v>6460</v>
      </c>
      <c r="C503" s="2" t="s">
        <v>6461</v>
      </c>
      <c r="D503" s="2" t="s">
        <v>6462</v>
      </c>
      <c r="F503" s="3" t="s">
        <v>59</v>
      </c>
      <c r="G503" s="3" t="s">
        <v>60</v>
      </c>
      <c r="H503" s="3" t="s">
        <v>59</v>
      </c>
      <c r="I503" s="3" t="s">
        <v>59</v>
      </c>
      <c r="J503" s="3" t="s">
        <v>61</v>
      </c>
      <c r="K503" s="2" t="s">
        <v>5210</v>
      </c>
      <c r="L503" s="2" t="s">
        <v>6463</v>
      </c>
      <c r="M503" s="3" t="s">
        <v>234</v>
      </c>
      <c r="O503" s="3" t="s">
        <v>64</v>
      </c>
      <c r="P503" s="3" t="s">
        <v>130</v>
      </c>
      <c r="R503" s="3" t="s">
        <v>67</v>
      </c>
      <c r="S503" s="4">
        <v>14</v>
      </c>
      <c r="T503" s="4">
        <v>14</v>
      </c>
      <c r="U503" s="5" t="s">
        <v>5212</v>
      </c>
      <c r="V503" s="5" t="s">
        <v>5212</v>
      </c>
      <c r="W503" s="5" t="s">
        <v>6464</v>
      </c>
      <c r="X503" s="5" t="s">
        <v>6464</v>
      </c>
      <c r="Y503" s="4">
        <v>554</v>
      </c>
      <c r="Z503" s="4">
        <v>444</v>
      </c>
      <c r="AA503" s="4">
        <v>451</v>
      </c>
      <c r="AB503" s="4">
        <v>3</v>
      </c>
      <c r="AC503" s="4">
        <v>3</v>
      </c>
      <c r="AD503" s="4">
        <v>23</v>
      </c>
      <c r="AE503" s="4">
        <v>23</v>
      </c>
      <c r="AF503" s="4">
        <v>7</v>
      </c>
      <c r="AG503" s="4">
        <v>7</v>
      </c>
      <c r="AH503" s="4">
        <v>6</v>
      </c>
      <c r="AI503" s="4">
        <v>6</v>
      </c>
      <c r="AJ503" s="4">
        <v>15</v>
      </c>
      <c r="AK503" s="4">
        <v>15</v>
      </c>
      <c r="AL503" s="4">
        <v>2</v>
      </c>
      <c r="AM503" s="4">
        <v>2</v>
      </c>
      <c r="AN503" s="4">
        <v>0</v>
      </c>
      <c r="AO503" s="4">
        <v>0</v>
      </c>
      <c r="AP503" s="3" t="s">
        <v>59</v>
      </c>
      <c r="AQ503" s="3" t="s">
        <v>70</v>
      </c>
      <c r="AR503" s="6" t="str">
        <f>HYPERLINK("http://catalog.hathitrust.org/Record/001841855","HathiTrust Record")</f>
        <v>HathiTrust Record</v>
      </c>
      <c r="AS503" s="6" t="str">
        <f>HYPERLINK("https://creighton-primo.hosted.exlibrisgroup.com/primo-explore/search?tab=default_tab&amp;search_scope=EVERYTHING&amp;vid=01CRU&amp;lang=en_US&amp;offset=0&amp;query=any,contains,991001540649702656","Catalog Record")</f>
        <v>Catalog Record</v>
      </c>
      <c r="AT503" s="6" t="str">
        <f>HYPERLINK("http://www.worldcat.org/oclc/20130117","WorldCat Record")</f>
        <v>WorldCat Record</v>
      </c>
      <c r="AU503" s="3" t="s">
        <v>6465</v>
      </c>
      <c r="AV503" s="3" t="s">
        <v>6466</v>
      </c>
      <c r="AW503" s="3" t="s">
        <v>6467</v>
      </c>
      <c r="AX503" s="3" t="s">
        <v>6467</v>
      </c>
      <c r="AY503" s="3" t="s">
        <v>6468</v>
      </c>
      <c r="AZ503" s="3" t="s">
        <v>75</v>
      </c>
      <c r="BB503" s="3" t="s">
        <v>6469</v>
      </c>
      <c r="BC503" s="3" t="s">
        <v>6470</v>
      </c>
      <c r="BD503" s="3" t="s">
        <v>6471</v>
      </c>
    </row>
    <row r="504" spans="1:56" ht="48" customHeight="1" x14ac:dyDescent="0.25">
      <c r="A504" s="7" t="s">
        <v>59</v>
      </c>
      <c r="B504" s="2" t="s">
        <v>6472</v>
      </c>
      <c r="C504" s="2" t="s">
        <v>6473</v>
      </c>
      <c r="D504" s="2" t="s">
        <v>6474</v>
      </c>
      <c r="F504" s="3" t="s">
        <v>59</v>
      </c>
      <c r="G504" s="3" t="s">
        <v>60</v>
      </c>
      <c r="H504" s="3" t="s">
        <v>59</v>
      </c>
      <c r="I504" s="3" t="s">
        <v>59</v>
      </c>
      <c r="J504" s="3" t="s">
        <v>61</v>
      </c>
      <c r="L504" s="2" t="s">
        <v>6475</v>
      </c>
      <c r="M504" s="3" t="s">
        <v>925</v>
      </c>
      <c r="O504" s="3" t="s">
        <v>64</v>
      </c>
      <c r="P504" s="3" t="s">
        <v>912</v>
      </c>
      <c r="R504" s="3" t="s">
        <v>67</v>
      </c>
      <c r="S504" s="4">
        <v>2</v>
      </c>
      <c r="T504" s="4">
        <v>2</v>
      </c>
      <c r="U504" s="5" t="s">
        <v>1173</v>
      </c>
      <c r="V504" s="5" t="s">
        <v>1173</v>
      </c>
      <c r="W504" s="5" t="s">
        <v>6476</v>
      </c>
      <c r="X504" s="5" t="s">
        <v>6476</v>
      </c>
      <c r="Y504" s="4">
        <v>479</v>
      </c>
      <c r="Z504" s="4">
        <v>429</v>
      </c>
      <c r="AA504" s="4">
        <v>441</v>
      </c>
      <c r="AB504" s="4">
        <v>3</v>
      </c>
      <c r="AC504" s="4">
        <v>3</v>
      </c>
      <c r="AD504" s="4">
        <v>17</v>
      </c>
      <c r="AE504" s="4">
        <v>17</v>
      </c>
      <c r="AF504" s="4">
        <v>7</v>
      </c>
      <c r="AG504" s="4">
        <v>7</v>
      </c>
      <c r="AH504" s="4">
        <v>3</v>
      </c>
      <c r="AI504" s="4">
        <v>3</v>
      </c>
      <c r="AJ504" s="4">
        <v>9</v>
      </c>
      <c r="AK504" s="4">
        <v>9</v>
      </c>
      <c r="AL504" s="4">
        <v>2</v>
      </c>
      <c r="AM504" s="4">
        <v>2</v>
      </c>
      <c r="AN504" s="4">
        <v>0</v>
      </c>
      <c r="AO504" s="4">
        <v>0</v>
      </c>
      <c r="AP504" s="3" t="s">
        <v>59</v>
      </c>
      <c r="AQ504" s="3" t="s">
        <v>59</v>
      </c>
      <c r="AS504" s="6" t="str">
        <f>HYPERLINK("https://creighton-primo.hosted.exlibrisgroup.com/primo-explore/search?tab=default_tab&amp;search_scope=EVERYTHING&amp;vid=01CRU&amp;lang=en_US&amp;offset=0&amp;query=any,contains,991002940669702656","Catalog Record")</f>
        <v>Catalog Record</v>
      </c>
      <c r="AT504" s="6" t="str">
        <f>HYPERLINK("http://www.worldcat.org/oclc/39130442","WorldCat Record")</f>
        <v>WorldCat Record</v>
      </c>
      <c r="AU504" s="3" t="s">
        <v>6477</v>
      </c>
      <c r="AV504" s="3" t="s">
        <v>6478</v>
      </c>
      <c r="AW504" s="3" t="s">
        <v>6479</v>
      </c>
      <c r="AX504" s="3" t="s">
        <v>6479</v>
      </c>
      <c r="AY504" s="3" t="s">
        <v>6480</v>
      </c>
      <c r="AZ504" s="3" t="s">
        <v>75</v>
      </c>
      <c r="BB504" s="3" t="s">
        <v>6481</v>
      </c>
      <c r="BC504" s="3" t="s">
        <v>6482</v>
      </c>
      <c r="BD504" s="3" t="s">
        <v>6483</v>
      </c>
    </row>
    <row r="505" spans="1:56" ht="48" customHeight="1" x14ac:dyDescent="0.25">
      <c r="A505" s="7" t="s">
        <v>59</v>
      </c>
      <c r="B505" s="2" t="s">
        <v>6484</v>
      </c>
      <c r="C505" s="2" t="s">
        <v>6485</v>
      </c>
      <c r="D505" s="2" t="s">
        <v>6486</v>
      </c>
      <c r="F505" s="3" t="s">
        <v>59</v>
      </c>
      <c r="G505" s="3" t="s">
        <v>60</v>
      </c>
      <c r="H505" s="3" t="s">
        <v>59</v>
      </c>
      <c r="I505" s="3" t="s">
        <v>59</v>
      </c>
      <c r="J505" s="3" t="s">
        <v>61</v>
      </c>
      <c r="K505" s="2" t="s">
        <v>6487</v>
      </c>
      <c r="L505" s="2" t="s">
        <v>6488</v>
      </c>
      <c r="M505" s="3" t="s">
        <v>1351</v>
      </c>
      <c r="O505" s="3" t="s">
        <v>64</v>
      </c>
      <c r="P505" s="3" t="s">
        <v>130</v>
      </c>
      <c r="R505" s="3" t="s">
        <v>67</v>
      </c>
      <c r="S505" s="4">
        <v>3</v>
      </c>
      <c r="T505" s="4">
        <v>3</v>
      </c>
      <c r="U505" s="5" t="s">
        <v>1173</v>
      </c>
      <c r="V505" s="5" t="s">
        <v>1173</v>
      </c>
      <c r="W505" s="5" t="s">
        <v>6489</v>
      </c>
      <c r="X505" s="5" t="s">
        <v>6489</v>
      </c>
      <c r="Y505" s="4">
        <v>252</v>
      </c>
      <c r="Z505" s="4">
        <v>187</v>
      </c>
      <c r="AA505" s="4">
        <v>867</v>
      </c>
      <c r="AB505" s="4">
        <v>2</v>
      </c>
      <c r="AC505" s="4">
        <v>9</v>
      </c>
      <c r="AD505" s="4">
        <v>5</v>
      </c>
      <c r="AE505" s="4">
        <v>36</v>
      </c>
      <c r="AF505" s="4">
        <v>2</v>
      </c>
      <c r="AG505" s="4">
        <v>15</v>
      </c>
      <c r="AH505" s="4">
        <v>1</v>
      </c>
      <c r="AI505" s="4">
        <v>8</v>
      </c>
      <c r="AJ505" s="4">
        <v>1</v>
      </c>
      <c r="AK505" s="4">
        <v>15</v>
      </c>
      <c r="AL505" s="4">
        <v>1</v>
      </c>
      <c r="AM505" s="4">
        <v>6</v>
      </c>
      <c r="AN505" s="4">
        <v>0</v>
      </c>
      <c r="AO505" s="4">
        <v>0</v>
      </c>
      <c r="AP505" s="3" t="s">
        <v>59</v>
      </c>
      <c r="AQ505" s="3" t="s">
        <v>59</v>
      </c>
      <c r="AS505" s="6" t="str">
        <f>HYPERLINK("https://creighton-primo.hosted.exlibrisgroup.com/primo-explore/search?tab=default_tab&amp;search_scope=EVERYTHING&amp;vid=01CRU&amp;lang=en_US&amp;offset=0&amp;query=any,contains,991004845309702656","Catalog Record")</f>
        <v>Catalog Record</v>
      </c>
      <c r="AT505" s="6" t="str">
        <f>HYPERLINK("http://www.worldcat.org/oclc/60500318","WorldCat Record")</f>
        <v>WorldCat Record</v>
      </c>
      <c r="AU505" s="3" t="s">
        <v>6490</v>
      </c>
      <c r="AV505" s="3" t="s">
        <v>6491</v>
      </c>
      <c r="AW505" s="3" t="s">
        <v>6492</v>
      </c>
      <c r="AX505" s="3" t="s">
        <v>6492</v>
      </c>
      <c r="AY505" s="3" t="s">
        <v>6493</v>
      </c>
      <c r="AZ505" s="3" t="s">
        <v>75</v>
      </c>
      <c r="BB505" s="3" t="s">
        <v>6494</v>
      </c>
      <c r="BC505" s="3" t="s">
        <v>6495</v>
      </c>
      <c r="BD505" s="3" t="s">
        <v>6496</v>
      </c>
    </row>
    <row r="506" spans="1:56" ht="48" customHeight="1" x14ac:dyDescent="0.25">
      <c r="A506" s="7" t="s">
        <v>59</v>
      </c>
      <c r="B506" s="2" t="s">
        <v>6497</v>
      </c>
      <c r="C506" s="2" t="s">
        <v>6498</v>
      </c>
      <c r="D506" s="2" t="s">
        <v>6499</v>
      </c>
      <c r="F506" s="3" t="s">
        <v>59</v>
      </c>
      <c r="G506" s="3" t="s">
        <v>60</v>
      </c>
      <c r="H506" s="3" t="s">
        <v>70</v>
      </c>
      <c r="I506" s="3" t="s">
        <v>59</v>
      </c>
      <c r="J506" s="3" t="s">
        <v>61</v>
      </c>
      <c r="K506" s="2" t="s">
        <v>6500</v>
      </c>
      <c r="L506" s="2" t="s">
        <v>6501</v>
      </c>
      <c r="M506" s="3" t="s">
        <v>604</v>
      </c>
      <c r="O506" s="3" t="s">
        <v>64</v>
      </c>
      <c r="P506" s="3" t="s">
        <v>130</v>
      </c>
      <c r="R506" s="3" t="s">
        <v>67</v>
      </c>
      <c r="S506" s="4">
        <v>0</v>
      </c>
      <c r="T506" s="4">
        <v>4</v>
      </c>
      <c r="V506" s="5" t="s">
        <v>6502</v>
      </c>
      <c r="W506" s="5" t="s">
        <v>6503</v>
      </c>
      <c r="X506" s="5" t="s">
        <v>6504</v>
      </c>
      <c r="Y506" s="4">
        <v>677</v>
      </c>
      <c r="Z506" s="4">
        <v>570</v>
      </c>
      <c r="AA506" s="4">
        <v>586</v>
      </c>
      <c r="AB506" s="4">
        <v>7</v>
      </c>
      <c r="AC506" s="4">
        <v>7</v>
      </c>
      <c r="AD506" s="4">
        <v>29</v>
      </c>
      <c r="AE506" s="4">
        <v>29</v>
      </c>
      <c r="AF506" s="4">
        <v>12</v>
      </c>
      <c r="AG506" s="4">
        <v>12</v>
      </c>
      <c r="AH506" s="4">
        <v>7</v>
      </c>
      <c r="AI506" s="4">
        <v>7</v>
      </c>
      <c r="AJ506" s="4">
        <v>15</v>
      </c>
      <c r="AK506" s="4">
        <v>15</v>
      </c>
      <c r="AL506" s="4">
        <v>4</v>
      </c>
      <c r="AM506" s="4">
        <v>4</v>
      </c>
      <c r="AN506" s="4">
        <v>0</v>
      </c>
      <c r="AO506" s="4">
        <v>0</v>
      </c>
      <c r="AP506" s="3" t="s">
        <v>59</v>
      </c>
      <c r="AQ506" s="3" t="s">
        <v>59</v>
      </c>
      <c r="AS506" s="6" t="str">
        <f>HYPERLINK("https://creighton-primo.hosted.exlibrisgroup.com/primo-explore/search?tab=default_tab&amp;search_scope=EVERYTHING&amp;vid=01CRU&amp;lang=en_US&amp;offset=0&amp;query=any,contains,991001790859702656","Catalog Record")</f>
        <v>Catalog Record</v>
      </c>
      <c r="AT506" s="6" t="str">
        <f>HYPERLINK("http://www.worldcat.org/oclc/32087411","WorldCat Record")</f>
        <v>WorldCat Record</v>
      </c>
      <c r="AU506" s="3" t="s">
        <v>6505</v>
      </c>
      <c r="AV506" s="3" t="s">
        <v>6506</v>
      </c>
      <c r="AW506" s="3" t="s">
        <v>6507</v>
      </c>
      <c r="AX506" s="3" t="s">
        <v>6507</v>
      </c>
      <c r="AY506" s="3" t="s">
        <v>6508</v>
      </c>
      <c r="AZ506" s="3" t="s">
        <v>75</v>
      </c>
      <c r="BB506" s="3" t="s">
        <v>6509</v>
      </c>
      <c r="BC506" s="3" t="s">
        <v>6510</v>
      </c>
      <c r="BD506" s="3" t="s">
        <v>6511</v>
      </c>
    </row>
    <row r="507" spans="1:56" ht="48" customHeight="1" x14ac:dyDescent="0.25">
      <c r="A507" s="7" t="s">
        <v>59</v>
      </c>
      <c r="B507" s="2" t="s">
        <v>6512</v>
      </c>
      <c r="C507" s="2" t="s">
        <v>6513</v>
      </c>
      <c r="D507" s="2" t="s">
        <v>6514</v>
      </c>
      <c r="F507" s="3" t="s">
        <v>59</v>
      </c>
      <c r="G507" s="3" t="s">
        <v>60</v>
      </c>
      <c r="H507" s="3" t="s">
        <v>59</v>
      </c>
      <c r="I507" s="3" t="s">
        <v>59</v>
      </c>
      <c r="J507" s="3" t="s">
        <v>61</v>
      </c>
      <c r="K507" s="2" t="s">
        <v>6515</v>
      </c>
      <c r="L507" s="2" t="s">
        <v>6516</v>
      </c>
      <c r="M507" s="3" t="s">
        <v>83</v>
      </c>
      <c r="O507" s="3" t="s">
        <v>64</v>
      </c>
      <c r="P507" s="3" t="s">
        <v>84</v>
      </c>
      <c r="R507" s="3" t="s">
        <v>67</v>
      </c>
      <c r="S507" s="4">
        <v>10</v>
      </c>
      <c r="T507" s="4">
        <v>10</v>
      </c>
      <c r="U507" s="5" t="s">
        <v>1173</v>
      </c>
      <c r="V507" s="5" t="s">
        <v>1173</v>
      </c>
      <c r="W507" s="5" t="s">
        <v>6517</v>
      </c>
      <c r="X507" s="5" t="s">
        <v>6517</v>
      </c>
      <c r="Y507" s="4">
        <v>490</v>
      </c>
      <c r="Z507" s="4">
        <v>341</v>
      </c>
      <c r="AA507" s="4">
        <v>1120</v>
      </c>
      <c r="AB507" s="4">
        <v>4</v>
      </c>
      <c r="AC507" s="4">
        <v>6</v>
      </c>
      <c r="AD507" s="4">
        <v>20</v>
      </c>
      <c r="AE507" s="4">
        <v>29</v>
      </c>
      <c r="AF507" s="4">
        <v>5</v>
      </c>
      <c r="AG507" s="4">
        <v>12</v>
      </c>
      <c r="AH507" s="4">
        <v>3</v>
      </c>
      <c r="AI507" s="4">
        <v>4</v>
      </c>
      <c r="AJ507" s="4">
        <v>12</v>
      </c>
      <c r="AK507" s="4">
        <v>13</v>
      </c>
      <c r="AL507" s="4">
        <v>3</v>
      </c>
      <c r="AM507" s="4">
        <v>4</v>
      </c>
      <c r="AN507" s="4">
        <v>0</v>
      </c>
      <c r="AO507" s="4">
        <v>0</v>
      </c>
      <c r="AP507" s="3" t="s">
        <v>59</v>
      </c>
      <c r="AQ507" s="3" t="s">
        <v>70</v>
      </c>
      <c r="AR507" s="6" t="str">
        <f>HYPERLINK("http://catalog.hathitrust.org/Record/003163726","HathiTrust Record")</f>
        <v>HathiTrust Record</v>
      </c>
      <c r="AS507" s="6" t="str">
        <f>HYPERLINK("https://creighton-primo.hosted.exlibrisgroup.com/primo-explore/search?tab=default_tab&amp;search_scope=EVERYTHING&amp;vid=01CRU&amp;lang=en_US&amp;offset=0&amp;query=any,contains,991002746009702656","Catalog Record")</f>
        <v>Catalog Record</v>
      </c>
      <c r="AT507" s="6" t="str">
        <f>HYPERLINK("http://www.worldcat.org/oclc/36038012","WorldCat Record")</f>
        <v>WorldCat Record</v>
      </c>
      <c r="AU507" s="3" t="s">
        <v>6518</v>
      </c>
      <c r="AV507" s="3" t="s">
        <v>6519</v>
      </c>
      <c r="AW507" s="3" t="s">
        <v>6520</v>
      </c>
      <c r="AX507" s="3" t="s">
        <v>6520</v>
      </c>
      <c r="AY507" s="3" t="s">
        <v>6521</v>
      </c>
      <c r="AZ507" s="3" t="s">
        <v>75</v>
      </c>
      <c r="BB507" s="3" t="s">
        <v>6522</v>
      </c>
      <c r="BC507" s="3" t="s">
        <v>6523</v>
      </c>
      <c r="BD507" s="3" t="s">
        <v>6524</v>
      </c>
    </row>
    <row r="508" spans="1:56" ht="48" customHeight="1" x14ac:dyDescent="0.25">
      <c r="A508" s="7" t="s">
        <v>59</v>
      </c>
      <c r="B508" s="2" t="s">
        <v>6525</v>
      </c>
      <c r="C508" s="2" t="s">
        <v>6526</v>
      </c>
      <c r="D508" s="2" t="s">
        <v>6527</v>
      </c>
      <c r="E508" s="3" t="s">
        <v>713</v>
      </c>
      <c r="F508" s="3" t="s">
        <v>70</v>
      </c>
      <c r="G508" s="3" t="s">
        <v>60</v>
      </c>
      <c r="H508" s="3" t="s">
        <v>59</v>
      </c>
      <c r="I508" s="3" t="s">
        <v>59</v>
      </c>
      <c r="J508" s="3" t="s">
        <v>61</v>
      </c>
      <c r="L508" s="2" t="s">
        <v>6528</v>
      </c>
      <c r="M508" s="3" t="s">
        <v>471</v>
      </c>
      <c r="O508" s="3" t="s">
        <v>64</v>
      </c>
      <c r="P508" s="3" t="s">
        <v>130</v>
      </c>
      <c r="R508" s="3" t="s">
        <v>67</v>
      </c>
      <c r="S508" s="4">
        <v>19</v>
      </c>
      <c r="T508" s="4">
        <v>50</v>
      </c>
      <c r="U508" s="5" t="s">
        <v>6529</v>
      </c>
      <c r="V508" s="5" t="s">
        <v>6530</v>
      </c>
      <c r="W508" s="5" t="s">
        <v>335</v>
      </c>
      <c r="X508" s="5" t="s">
        <v>335</v>
      </c>
      <c r="Y508" s="4">
        <v>266</v>
      </c>
      <c r="Z508" s="4">
        <v>226</v>
      </c>
      <c r="AA508" s="4">
        <v>228</v>
      </c>
      <c r="AB508" s="4">
        <v>4</v>
      </c>
      <c r="AC508" s="4">
        <v>4</v>
      </c>
      <c r="AD508" s="4">
        <v>8</v>
      </c>
      <c r="AE508" s="4">
        <v>8</v>
      </c>
      <c r="AF508" s="4">
        <v>3</v>
      </c>
      <c r="AG508" s="4">
        <v>3</v>
      </c>
      <c r="AH508" s="4">
        <v>0</v>
      </c>
      <c r="AI508" s="4">
        <v>0</v>
      </c>
      <c r="AJ508" s="4">
        <v>3</v>
      </c>
      <c r="AK508" s="4">
        <v>3</v>
      </c>
      <c r="AL508" s="4">
        <v>3</v>
      </c>
      <c r="AM508" s="4">
        <v>3</v>
      </c>
      <c r="AN508" s="4">
        <v>0</v>
      </c>
      <c r="AO508" s="4">
        <v>0</v>
      </c>
      <c r="AP508" s="3" t="s">
        <v>59</v>
      </c>
      <c r="AQ508" s="3" t="s">
        <v>70</v>
      </c>
      <c r="AR508" s="6" t="str">
        <f>HYPERLINK("http://catalog.hathitrust.org/Record/010657211","HathiTrust Record")</f>
        <v>HathiTrust Record</v>
      </c>
      <c r="AS508" s="6" t="str">
        <f>HYPERLINK("https://creighton-primo.hosted.exlibrisgroup.com/primo-explore/search?tab=default_tab&amp;search_scope=EVERYTHING&amp;vid=01CRU&amp;lang=en_US&amp;offset=0&amp;query=any,contains,991004215839702656","Catalog Record")</f>
        <v>Catalog Record</v>
      </c>
      <c r="AT508" s="6" t="str">
        <f>HYPERLINK("http://www.worldcat.org/oclc/2695985","WorldCat Record")</f>
        <v>WorldCat Record</v>
      </c>
      <c r="AU508" s="3" t="s">
        <v>6531</v>
      </c>
      <c r="AV508" s="3" t="s">
        <v>6532</v>
      </c>
      <c r="AW508" s="3" t="s">
        <v>6533</v>
      </c>
      <c r="AX508" s="3" t="s">
        <v>6533</v>
      </c>
      <c r="AY508" s="3" t="s">
        <v>6534</v>
      </c>
      <c r="AZ508" s="3" t="s">
        <v>75</v>
      </c>
      <c r="BB508" s="3" t="s">
        <v>6535</v>
      </c>
      <c r="BC508" s="3" t="s">
        <v>6536</v>
      </c>
      <c r="BD508" s="3" t="s">
        <v>6537</v>
      </c>
    </row>
    <row r="509" spans="1:56" ht="48" customHeight="1" x14ac:dyDescent="0.25">
      <c r="A509" s="7" t="s">
        <v>59</v>
      </c>
      <c r="B509" s="2" t="s">
        <v>6525</v>
      </c>
      <c r="C509" s="2" t="s">
        <v>6526</v>
      </c>
      <c r="D509" s="2" t="s">
        <v>6527</v>
      </c>
      <c r="E509" s="3" t="s">
        <v>1470</v>
      </c>
      <c r="F509" s="3" t="s">
        <v>70</v>
      </c>
      <c r="G509" s="3" t="s">
        <v>60</v>
      </c>
      <c r="H509" s="3" t="s">
        <v>59</v>
      </c>
      <c r="I509" s="3" t="s">
        <v>59</v>
      </c>
      <c r="J509" s="3" t="s">
        <v>61</v>
      </c>
      <c r="L509" s="2" t="s">
        <v>6528</v>
      </c>
      <c r="M509" s="3" t="s">
        <v>471</v>
      </c>
      <c r="O509" s="3" t="s">
        <v>64</v>
      </c>
      <c r="P509" s="3" t="s">
        <v>130</v>
      </c>
      <c r="R509" s="3" t="s">
        <v>67</v>
      </c>
      <c r="S509" s="4">
        <v>15</v>
      </c>
      <c r="T509" s="4">
        <v>50</v>
      </c>
      <c r="U509" s="5" t="s">
        <v>6530</v>
      </c>
      <c r="V509" s="5" t="s">
        <v>6530</v>
      </c>
      <c r="W509" s="5" t="s">
        <v>4108</v>
      </c>
      <c r="X509" s="5" t="s">
        <v>335</v>
      </c>
      <c r="Y509" s="4">
        <v>266</v>
      </c>
      <c r="Z509" s="4">
        <v>226</v>
      </c>
      <c r="AA509" s="4">
        <v>228</v>
      </c>
      <c r="AB509" s="4">
        <v>4</v>
      </c>
      <c r="AC509" s="4">
        <v>4</v>
      </c>
      <c r="AD509" s="4">
        <v>8</v>
      </c>
      <c r="AE509" s="4">
        <v>8</v>
      </c>
      <c r="AF509" s="4">
        <v>3</v>
      </c>
      <c r="AG509" s="4">
        <v>3</v>
      </c>
      <c r="AH509" s="4">
        <v>0</v>
      </c>
      <c r="AI509" s="4">
        <v>0</v>
      </c>
      <c r="AJ509" s="4">
        <v>3</v>
      </c>
      <c r="AK509" s="4">
        <v>3</v>
      </c>
      <c r="AL509" s="4">
        <v>3</v>
      </c>
      <c r="AM509" s="4">
        <v>3</v>
      </c>
      <c r="AN509" s="4">
        <v>0</v>
      </c>
      <c r="AO509" s="4">
        <v>0</v>
      </c>
      <c r="AP509" s="3" t="s">
        <v>59</v>
      </c>
      <c r="AQ509" s="3" t="s">
        <v>70</v>
      </c>
      <c r="AR509" s="6" t="str">
        <f>HYPERLINK("http://catalog.hathitrust.org/Record/010657211","HathiTrust Record")</f>
        <v>HathiTrust Record</v>
      </c>
      <c r="AS509" s="6" t="str">
        <f>HYPERLINK("https://creighton-primo.hosted.exlibrisgroup.com/primo-explore/search?tab=default_tab&amp;search_scope=EVERYTHING&amp;vid=01CRU&amp;lang=en_US&amp;offset=0&amp;query=any,contains,991004215839702656","Catalog Record")</f>
        <v>Catalog Record</v>
      </c>
      <c r="AT509" s="6" t="str">
        <f>HYPERLINK("http://www.worldcat.org/oclc/2695985","WorldCat Record")</f>
        <v>WorldCat Record</v>
      </c>
      <c r="AU509" s="3" t="s">
        <v>6531</v>
      </c>
      <c r="AV509" s="3" t="s">
        <v>6532</v>
      </c>
      <c r="AW509" s="3" t="s">
        <v>6533</v>
      </c>
      <c r="AX509" s="3" t="s">
        <v>6533</v>
      </c>
      <c r="AY509" s="3" t="s">
        <v>6534</v>
      </c>
      <c r="AZ509" s="3" t="s">
        <v>75</v>
      </c>
      <c r="BB509" s="3" t="s">
        <v>6535</v>
      </c>
      <c r="BC509" s="3" t="s">
        <v>6538</v>
      </c>
      <c r="BD509" s="3" t="s">
        <v>6539</v>
      </c>
    </row>
    <row r="510" spans="1:56" ht="48" customHeight="1" x14ac:dyDescent="0.25">
      <c r="A510" s="7" t="s">
        <v>59</v>
      </c>
      <c r="B510" s="2" t="s">
        <v>6525</v>
      </c>
      <c r="C510" s="2" t="s">
        <v>6526</v>
      </c>
      <c r="D510" s="2" t="s">
        <v>6527</v>
      </c>
      <c r="E510" s="3" t="s">
        <v>723</v>
      </c>
      <c r="F510" s="3" t="s">
        <v>70</v>
      </c>
      <c r="G510" s="3" t="s">
        <v>60</v>
      </c>
      <c r="H510" s="3" t="s">
        <v>59</v>
      </c>
      <c r="I510" s="3" t="s">
        <v>59</v>
      </c>
      <c r="J510" s="3" t="s">
        <v>61</v>
      </c>
      <c r="L510" s="2" t="s">
        <v>6528</v>
      </c>
      <c r="M510" s="3" t="s">
        <v>471</v>
      </c>
      <c r="O510" s="3" t="s">
        <v>64</v>
      </c>
      <c r="P510" s="3" t="s">
        <v>130</v>
      </c>
      <c r="R510" s="3" t="s">
        <v>67</v>
      </c>
      <c r="S510" s="4">
        <v>16</v>
      </c>
      <c r="T510" s="4">
        <v>50</v>
      </c>
      <c r="U510" s="5" t="s">
        <v>6529</v>
      </c>
      <c r="V510" s="5" t="s">
        <v>6530</v>
      </c>
      <c r="W510" s="5" t="s">
        <v>6540</v>
      </c>
      <c r="X510" s="5" t="s">
        <v>335</v>
      </c>
      <c r="Y510" s="4">
        <v>266</v>
      </c>
      <c r="Z510" s="4">
        <v>226</v>
      </c>
      <c r="AA510" s="4">
        <v>228</v>
      </c>
      <c r="AB510" s="4">
        <v>4</v>
      </c>
      <c r="AC510" s="4">
        <v>4</v>
      </c>
      <c r="AD510" s="4">
        <v>8</v>
      </c>
      <c r="AE510" s="4">
        <v>8</v>
      </c>
      <c r="AF510" s="4">
        <v>3</v>
      </c>
      <c r="AG510" s="4">
        <v>3</v>
      </c>
      <c r="AH510" s="4">
        <v>0</v>
      </c>
      <c r="AI510" s="4">
        <v>0</v>
      </c>
      <c r="AJ510" s="4">
        <v>3</v>
      </c>
      <c r="AK510" s="4">
        <v>3</v>
      </c>
      <c r="AL510" s="4">
        <v>3</v>
      </c>
      <c r="AM510" s="4">
        <v>3</v>
      </c>
      <c r="AN510" s="4">
        <v>0</v>
      </c>
      <c r="AO510" s="4">
        <v>0</v>
      </c>
      <c r="AP510" s="3" t="s">
        <v>59</v>
      </c>
      <c r="AQ510" s="3" t="s">
        <v>70</v>
      </c>
      <c r="AR510" s="6" t="str">
        <f>HYPERLINK("http://catalog.hathitrust.org/Record/010657211","HathiTrust Record")</f>
        <v>HathiTrust Record</v>
      </c>
      <c r="AS510" s="6" t="str">
        <f>HYPERLINK("https://creighton-primo.hosted.exlibrisgroup.com/primo-explore/search?tab=default_tab&amp;search_scope=EVERYTHING&amp;vid=01CRU&amp;lang=en_US&amp;offset=0&amp;query=any,contains,991004215839702656","Catalog Record")</f>
        <v>Catalog Record</v>
      </c>
      <c r="AT510" s="6" t="str">
        <f>HYPERLINK("http://www.worldcat.org/oclc/2695985","WorldCat Record")</f>
        <v>WorldCat Record</v>
      </c>
      <c r="AU510" s="3" t="s">
        <v>6531</v>
      </c>
      <c r="AV510" s="3" t="s">
        <v>6532</v>
      </c>
      <c r="AW510" s="3" t="s">
        <v>6533</v>
      </c>
      <c r="AX510" s="3" t="s">
        <v>6533</v>
      </c>
      <c r="AY510" s="3" t="s">
        <v>6534</v>
      </c>
      <c r="AZ510" s="3" t="s">
        <v>75</v>
      </c>
      <c r="BB510" s="3" t="s">
        <v>6535</v>
      </c>
      <c r="BC510" s="3" t="s">
        <v>6541</v>
      </c>
      <c r="BD510" s="3" t="s">
        <v>6542</v>
      </c>
    </row>
    <row r="511" spans="1:56" ht="48" customHeight="1" x14ac:dyDescent="0.25">
      <c r="A511" s="7" t="s">
        <v>59</v>
      </c>
      <c r="B511" s="2" t="s">
        <v>6543</v>
      </c>
      <c r="C511" s="2" t="s">
        <v>6544</v>
      </c>
      <c r="D511" s="2" t="s">
        <v>6545</v>
      </c>
      <c r="E511" s="3" t="s">
        <v>6546</v>
      </c>
      <c r="F511" s="3" t="s">
        <v>59</v>
      </c>
      <c r="G511" s="3" t="s">
        <v>60</v>
      </c>
      <c r="H511" s="3" t="s">
        <v>59</v>
      </c>
      <c r="I511" s="3" t="s">
        <v>59</v>
      </c>
      <c r="J511" s="3" t="s">
        <v>61</v>
      </c>
      <c r="L511" s="2" t="s">
        <v>6547</v>
      </c>
      <c r="M511" s="3" t="s">
        <v>161</v>
      </c>
      <c r="O511" s="3" t="s">
        <v>64</v>
      </c>
      <c r="P511" s="3" t="s">
        <v>130</v>
      </c>
      <c r="Q511" s="2" t="s">
        <v>6548</v>
      </c>
      <c r="R511" s="3" t="s">
        <v>67</v>
      </c>
      <c r="S511" s="4">
        <v>10</v>
      </c>
      <c r="T511" s="4">
        <v>10</v>
      </c>
      <c r="U511" s="5" t="s">
        <v>6549</v>
      </c>
      <c r="V511" s="5" t="s">
        <v>6549</v>
      </c>
      <c r="W511" s="5" t="s">
        <v>6550</v>
      </c>
      <c r="X511" s="5" t="s">
        <v>6550</v>
      </c>
      <c r="Y511" s="4">
        <v>206</v>
      </c>
      <c r="Z511" s="4">
        <v>181</v>
      </c>
      <c r="AA511" s="4">
        <v>193</v>
      </c>
      <c r="AB511" s="4">
        <v>2</v>
      </c>
      <c r="AC511" s="4">
        <v>2</v>
      </c>
      <c r="AD511" s="4">
        <v>4</v>
      </c>
      <c r="AE511" s="4">
        <v>4</v>
      </c>
      <c r="AF511" s="4">
        <v>1</v>
      </c>
      <c r="AG511" s="4">
        <v>1</v>
      </c>
      <c r="AH511" s="4">
        <v>1</v>
      </c>
      <c r="AI511" s="4">
        <v>1</v>
      </c>
      <c r="AJ511" s="4">
        <v>1</v>
      </c>
      <c r="AK511" s="4">
        <v>1</v>
      </c>
      <c r="AL511" s="4">
        <v>1</v>
      </c>
      <c r="AM511" s="4">
        <v>1</v>
      </c>
      <c r="AN511" s="4">
        <v>0</v>
      </c>
      <c r="AO511" s="4">
        <v>0</v>
      </c>
      <c r="AP511" s="3" t="s">
        <v>59</v>
      </c>
      <c r="AQ511" s="3" t="s">
        <v>59</v>
      </c>
      <c r="AS511" s="6" t="str">
        <f>HYPERLINK("https://creighton-primo.hosted.exlibrisgroup.com/primo-explore/search?tab=default_tab&amp;search_scope=EVERYTHING&amp;vid=01CRU&amp;lang=en_US&amp;offset=0&amp;query=any,contains,991004857119702656","Catalog Record")</f>
        <v>Catalog Record</v>
      </c>
      <c r="AT511" s="6" t="str">
        <f>HYPERLINK("http://www.worldcat.org/oclc/5675822","WorldCat Record")</f>
        <v>WorldCat Record</v>
      </c>
      <c r="AU511" s="3" t="s">
        <v>6551</v>
      </c>
      <c r="AV511" s="3" t="s">
        <v>6552</v>
      </c>
      <c r="AW511" s="3" t="s">
        <v>6553</v>
      </c>
      <c r="AX511" s="3" t="s">
        <v>6553</v>
      </c>
      <c r="AY511" s="3" t="s">
        <v>6554</v>
      </c>
      <c r="AZ511" s="3" t="s">
        <v>75</v>
      </c>
      <c r="BB511" s="3" t="s">
        <v>6555</v>
      </c>
      <c r="BC511" s="3" t="s">
        <v>6556</v>
      </c>
      <c r="BD511" s="3" t="s">
        <v>6557</v>
      </c>
    </row>
    <row r="512" spans="1:56" ht="48" customHeight="1" x14ac:dyDescent="0.25">
      <c r="A512" s="7" t="s">
        <v>59</v>
      </c>
      <c r="B512" s="2" t="s">
        <v>6558</v>
      </c>
      <c r="C512" s="2" t="s">
        <v>6559</v>
      </c>
      <c r="D512" s="2" t="s">
        <v>6560</v>
      </c>
      <c r="F512" s="3" t="s">
        <v>59</v>
      </c>
      <c r="G512" s="3" t="s">
        <v>60</v>
      </c>
      <c r="H512" s="3" t="s">
        <v>59</v>
      </c>
      <c r="I512" s="3" t="s">
        <v>59</v>
      </c>
      <c r="J512" s="3" t="s">
        <v>61</v>
      </c>
      <c r="K512" s="2" t="s">
        <v>6561</v>
      </c>
      <c r="L512" s="2" t="s">
        <v>6118</v>
      </c>
      <c r="M512" s="3" t="s">
        <v>897</v>
      </c>
      <c r="O512" s="3" t="s">
        <v>64</v>
      </c>
      <c r="P512" s="3" t="s">
        <v>130</v>
      </c>
      <c r="R512" s="3" t="s">
        <v>67</v>
      </c>
      <c r="S512" s="4">
        <v>43</v>
      </c>
      <c r="T512" s="4">
        <v>43</v>
      </c>
      <c r="U512" s="5" t="s">
        <v>6562</v>
      </c>
      <c r="V512" s="5" t="s">
        <v>6562</v>
      </c>
      <c r="W512" s="5" t="s">
        <v>6563</v>
      </c>
      <c r="X512" s="5" t="s">
        <v>6563</v>
      </c>
      <c r="Y512" s="4">
        <v>292</v>
      </c>
      <c r="Z512" s="4">
        <v>241</v>
      </c>
      <c r="AA512" s="4">
        <v>261</v>
      </c>
      <c r="AB512" s="4">
        <v>2</v>
      </c>
      <c r="AC512" s="4">
        <v>2</v>
      </c>
      <c r="AD512" s="4">
        <v>6</v>
      </c>
      <c r="AE512" s="4">
        <v>6</v>
      </c>
      <c r="AF512" s="4">
        <v>1</v>
      </c>
      <c r="AG512" s="4">
        <v>1</v>
      </c>
      <c r="AH512" s="4">
        <v>3</v>
      </c>
      <c r="AI512" s="4">
        <v>3</v>
      </c>
      <c r="AJ512" s="4">
        <v>3</v>
      </c>
      <c r="AK512" s="4">
        <v>3</v>
      </c>
      <c r="AL512" s="4">
        <v>1</v>
      </c>
      <c r="AM512" s="4">
        <v>1</v>
      </c>
      <c r="AN512" s="4">
        <v>0</v>
      </c>
      <c r="AO512" s="4">
        <v>0</v>
      </c>
      <c r="AP512" s="3" t="s">
        <v>59</v>
      </c>
      <c r="AQ512" s="3" t="s">
        <v>70</v>
      </c>
      <c r="AR512" s="6" t="str">
        <f>HYPERLINK("http://catalog.hathitrust.org/Record/002487874","HathiTrust Record")</f>
        <v>HathiTrust Record</v>
      </c>
      <c r="AS512" s="6" t="str">
        <f>HYPERLINK("https://creighton-primo.hosted.exlibrisgroup.com/primo-explore/search?tab=default_tab&amp;search_scope=EVERYTHING&amp;vid=01CRU&amp;lang=en_US&amp;offset=0&amp;query=any,contains,991001906709702656","Catalog Record")</f>
        <v>Catalog Record</v>
      </c>
      <c r="AT512" s="6" t="str">
        <f>HYPERLINK("http://www.worldcat.org/oclc/24068833","WorldCat Record")</f>
        <v>WorldCat Record</v>
      </c>
      <c r="AU512" s="3" t="s">
        <v>6564</v>
      </c>
      <c r="AV512" s="3" t="s">
        <v>6565</v>
      </c>
      <c r="AW512" s="3" t="s">
        <v>6566</v>
      </c>
      <c r="AX512" s="3" t="s">
        <v>6566</v>
      </c>
      <c r="AY512" s="3" t="s">
        <v>6567</v>
      </c>
      <c r="AZ512" s="3" t="s">
        <v>75</v>
      </c>
      <c r="BB512" s="3" t="s">
        <v>6568</v>
      </c>
      <c r="BC512" s="3" t="s">
        <v>6569</v>
      </c>
      <c r="BD512" s="3" t="s">
        <v>6570</v>
      </c>
    </row>
    <row r="513" spans="1:56" ht="48" customHeight="1" x14ac:dyDescent="0.25">
      <c r="A513" s="7" t="s">
        <v>59</v>
      </c>
      <c r="B513" s="2" t="s">
        <v>6571</v>
      </c>
      <c r="C513" s="2" t="s">
        <v>6572</v>
      </c>
      <c r="D513" s="2" t="s">
        <v>6573</v>
      </c>
      <c r="F513" s="3" t="s">
        <v>59</v>
      </c>
      <c r="G513" s="3" t="s">
        <v>60</v>
      </c>
      <c r="H513" s="3" t="s">
        <v>59</v>
      </c>
      <c r="I513" s="3" t="s">
        <v>59</v>
      </c>
      <c r="J513" s="3" t="s">
        <v>61</v>
      </c>
      <c r="K513" s="2" t="s">
        <v>6574</v>
      </c>
      <c r="L513" s="2" t="s">
        <v>6575</v>
      </c>
      <c r="M513" s="3" t="s">
        <v>1338</v>
      </c>
      <c r="O513" s="3" t="s">
        <v>64</v>
      </c>
      <c r="P513" s="3" t="s">
        <v>65</v>
      </c>
      <c r="Q513" s="2" t="s">
        <v>6576</v>
      </c>
      <c r="R513" s="3" t="s">
        <v>67</v>
      </c>
      <c r="S513" s="4">
        <v>16</v>
      </c>
      <c r="T513" s="4">
        <v>16</v>
      </c>
      <c r="U513" s="5" t="s">
        <v>6529</v>
      </c>
      <c r="V513" s="5" t="s">
        <v>6529</v>
      </c>
      <c r="W513" s="5" t="s">
        <v>335</v>
      </c>
      <c r="X513" s="5" t="s">
        <v>335</v>
      </c>
      <c r="Y513" s="4">
        <v>193</v>
      </c>
      <c r="Z513" s="4">
        <v>169</v>
      </c>
      <c r="AA513" s="4">
        <v>180</v>
      </c>
      <c r="AB513" s="4">
        <v>1</v>
      </c>
      <c r="AC513" s="4">
        <v>1</v>
      </c>
      <c r="AD513" s="4">
        <v>5</v>
      </c>
      <c r="AE513" s="4">
        <v>6</v>
      </c>
      <c r="AF513" s="4">
        <v>1</v>
      </c>
      <c r="AG513" s="4">
        <v>1</v>
      </c>
      <c r="AH513" s="4">
        <v>1</v>
      </c>
      <c r="AI513" s="4">
        <v>2</v>
      </c>
      <c r="AJ513" s="4">
        <v>3</v>
      </c>
      <c r="AK513" s="4">
        <v>4</v>
      </c>
      <c r="AL513" s="4">
        <v>0</v>
      </c>
      <c r="AM513" s="4">
        <v>0</v>
      </c>
      <c r="AN513" s="4">
        <v>0</v>
      </c>
      <c r="AO513" s="4">
        <v>0</v>
      </c>
      <c r="AP513" s="3" t="s">
        <v>59</v>
      </c>
      <c r="AQ513" s="3" t="s">
        <v>70</v>
      </c>
      <c r="AR513" s="6" t="str">
        <f>HYPERLINK("http://catalog.hathitrust.org/Record/001633709","HathiTrust Record")</f>
        <v>HathiTrust Record</v>
      </c>
      <c r="AS513" s="6" t="str">
        <f>HYPERLINK("https://creighton-primo.hosted.exlibrisgroup.com/primo-explore/search?tab=default_tab&amp;search_scope=EVERYTHING&amp;vid=01CRU&amp;lang=en_US&amp;offset=0&amp;query=any,contains,991003664139702656","Catalog Record")</f>
        <v>Catalog Record</v>
      </c>
      <c r="AT513" s="6" t="str">
        <f>HYPERLINK("http://www.worldcat.org/oclc/1276651","WorldCat Record")</f>
        <v>WorldCat Record</v>
      </c>
      <c r="AU513" s="3" t="s">
        <v>6577</v>
      </c>
      <c r="AV513" s="3" t="s">
        <v>6578</v>
      </c>
      <c r="AW513" s="3" t="s">
        <v>6579</v>
      </c>
      <c r="AX513" s="3" t="s">
        <v>6579</v>
      </c>
      <c r="AY513" s="3" t="s">
        <v>6580</v>
      </c>
      <c r="AZ513" s="3" t="s">
        <v>75</v>
      </c>
      <c r="BC513" s="3" t="s">
        <v>6581</v>
      </c>
      <c r="BD513" s="3" t="s">
        <v>6582</v>
      </c>
    </row>
    <row r="514" spans="1:56" ht="48" customHeight="1" x14ac:dyDescent="0.25">
      <c r="A514" s="7" t="s">
        <v>59</v>
      </c>
      <c r="B514" s="2" t="s">
        <v>6583</v>
      </c>
      <c r="C514" s="2" t="s">
        <v>6584</v>
      </c>
      <c r="D514" s="2" t="s">
        <v>6585</v>
      </c>
      <c r="F514" s="3" t="s">
        <v>59</v>
      </c>
      <c r="G514" s="3" t="s">
        <v>60</v>
      </c>
      <c r="H514" s="3" t="s">
        <v>59</v>
      </c>
      <c r="I514" s="3" t="s">
        <v>59</v>
      </c>
      <c r="J514" s="3" t="s">
        <v>61</v>
      </c>
      <c r="K514" s="2" t="s">
        <v>6586</v>
      </c>
      <c r="L514" s="2" t="s">
        <v>6587</v>
      </c>
      <c r="M514" s="3" t="s">
        <v>145</v>
      </c>
      <c r="O514" s="3" t="s">
        <v>64</v>
      </c>
      <c r="P514" s="3" t="s">
        <v>264</v>
      </c>
      <c r="Q514" s="2" t="s">
        <v>6588</v>
      </c>
      <c r="R514" s="3" t="s">
        <v>67</v>
      </c>
      <c r="S514" s="4">
        <v>30</v>
      </c>
      <c r="T514" s="4">
        <v>30</v>
      </c>
      <c r="U514" s="5" t="s">
        <v>305</v>
      </c>
      <c r="V514" s="5" t="s">
        <v>305</v>
      </c>
      <c r="W514" s="5" t="s">
        <v>3739</v>
      </c>
      <c r="X514" s="5" t="s">
        <v>3739</v>
      </c>
      <c r="Y514" s="4">
        <v>231</v>
      </c>
      <c r="Z514" s="4">
        <v>177</v>
      </c>
      <c r="AA514" s="4">
        <v>177</v>
      </c>
      <c r="AB514" s="4">
        <v>2</v>
      </c>
      <c r="AC514" s="4">
        <v>2</v>
      </c>
      <c r="AD514" s="4">
        <v>5</v>
      </c>
      <c r="AE514" s="4">
        <v>5</v>
      </c>
      <c r="AF514" s="4">
        <v>1</v>
      </c>
      <c r="AG514" s="4">
        <v>1</v>
      </c>
      <c r="AH514" s="4">
        <v>0</v>
      </c>
      <c r="AI514" s="4">
        <v>0</v>
      </c>
      <c r="AJ514" s="4">
        <v>3</v>
      </c>
      <c r="AK514" s="4">
        <v>3</v>
      </c>
      <c r="AL514" s="4">
        <v>1</v>
      </c>
      <c r="AM514" s="4">
        <v>1</v>
      </c>
      <c r="AN514" s="4">
        <v>0</v>
      </c>
      <c r="AO514" s="4">
        <v>0</v>
      </c>
      <c r="AP514" s="3" t="s">
        <v>59</v>
      </c>
      <c r="AQ514" s="3" t="s">
        <v>59</v>
      </c>
      <c r="AS514" s="6" t="str">
        <f>HYPERLINK("https://creighton-primo.hosted.exlibrisgroup.com/primo-explore/search?tab=default_tab&amp;search_scope=EVERYTHING&amp;vid=01CRU&amp;lang=en_US&amp;offset=0&amp;query=any,contains,991004551049702656","Catalog Record")</f>
        <v>Catalog Record</v>
      </c>
      <c r="AT514" s="6" t="str">
        <f>HYPERLINK("http://www.worldcat.org/oclc/3934713","WorldCat Record")</f>
        <v>WorldCat Record</v>
      </c>
      <c r="AU514" s="3" t="s">
        <v>6589</v>
      </c>
      <c r="AV514" s="3" t="s">
        <v>6590</v>
      </c>
      <c r="AW514" s="3" t="s">
        <v>6591</v>
      </c>
      <c r="AX514" s="3" t="s">
        <v>6591</v>
      </c>
      <c r="AY514" s="3" t="s">
        <v>6592</v>
      </c>
      <c r="AZ514" s="3" t="s">
        <v>75</v>
      </c>
      <c r="BB514" s="3" t="s">
        <v>6593</v>
      </c>
      <c r="BC514" s="3" t="s">
        <v>6594</v>
      </c>
      <c r="BD514" s="3" t="s">
        <v>6595</v>
      </c>
    </row>
    <row r="515" spans="1:56" ht="48" customHeight="1" x14ac:dyDescent="0.25">
      <c r="A515" s="7" t="s">
        <v>59</v>
      </c>
      <c r="B515" s="2" t="s">
        <v>6596</v>
      </c>
      <c r="C515" s="2" t="s">
        <v>6597</v>
      </c>
      <c r="D515" s="2" t="s">
        <v>6598</v>
      </c>
      <c r="F515" s="3" t="s">
        <v>59</v>
      </c>
      <c r="G515" s="3" t="s">
        <v>60</v>
      </c>
      <c r="H515" s="3" t="s">
        <v>59</v>
      </c>
      <c r="I515" s="3" t="s">
        <v>59</v>
      </c>
      <c r="J515" s="3" t="s">
        <v>61</v>
      </c>
      <c r="K515" s="2" t="s">
        <v>6599</v>
      </c>
      <c r="L515" s="2" t="s">
        <v>6600</v>
      </c>
      <c r="M515" s="3" t="s">
        <v>485</v>
      </c>
      <c r="N515" s="2" t="s">
        <v>6601</v>
      </c>
      <c r="O515" s="3" t="s">
        <v>64</v>
      </c>
      <c r="P515" s="3" t="s">
        <v>84</v>
      </c>
      <c r="Q515" s="2" t="s">
        <v>6602</v>
      </c>
      <c r="R515" s="3" t="s">
        <v>67</v>
      </c>
      <c r="S515" s="4">
        <v>44</v>
      </c>
      <c r="T515" s="4">
        <v>44</v>
      </c>
      <c r="U515" s="5" t="s">
        <v>6603</v>
      </c>
      <c r="V515" s="5" t="s">
        <v>6603</v>
      </c>
      <c r="W515" s="5" t="s">
        <v>6604</v>
      </c>
      <c r="X515" s="5" t="s">
        <v>6604</v>
      </c>
      <c r="Y515" s="4">
        <v>502</v>
      </c>
      <c r="Z515" s="4">
        <v>355</v>
      </c>
      <c r="AA515" s="4">
        <v>405</v>
      </c>
      <c r="AB515" s="4">
        <v>3</v>
      </c>
      <c r="AC515" s="4">
        <v>4</v>
      </c>
      <c r="AD515" s="4">
        <v>15</v>
      </c>
      <c r="AE515" s="4">
        <v>19</v>
      </c>
      <c r="AF515" s="4">
        <v>3</v>
      </c>
      <c r="AG515" s="4">
        <v>5</v>
      </c>
      <c r="AH515" s="4">
        <v>2</v>
      </c>
      <c r="AI515" s="4">
        <v>4</v>
      </c>
      <c r="AJ515" s="4">
        <v>11</v>
      </c>
      <c r="AK515" s="4">
        <v>11</v>
      </c>
      <c r="AL515" s="4">
        <v>2</v>
      </c>
      <c r="AM515" s="4">
        <v>3</v>
      </c>
      <c r="AN515" s="4">
        <v>0</v>
      </c>
      <c r="AO515" s="4">
        <v>0</v>
      </c>
      <c r="AP515" s="3" t="s">
        <v>59</v>
      </c>
      <c r="AQ515" s="3" t="s">
        <v>70</v>
      </c>
      <c r="AR515" s="6" t="str">
        <f>HYPERLINK("http://catalog.hathitrust.org/Record/000105318","HathiTrust Record")</f>
        <v>HathiTrust Record</v>
      </c>
      <c r="AS515" s="6" t="str">
        <f>HYPERLINK("https://creighton-primo.hosted.exlibrisgroup.com/primo-explore/search?tab=default_tab&amp;search_scope=EVERYTHING&amp;vid=01CRU&amp;lang=en_US&amp;offset=0&amp;query=any,contains,991004834589702656","Catalog Record")</f>
        <v>Catalog Record</v>
      </c>
      <c r="AT515" s="6" t="str">
        <f>HYPERLINK("http://www.worldcat.org/oclc/5436581","WorldCat Record")</f>
        <v>WorldCat Record</v>
      </c>
      <c r="AU515" s="3" t="s">
        <v>6605</v>
      </c>
      <c r="AV515" s="3" t="s">
        <v>6606</v>
      </c>
      <c r="AW515" s="3" t="s">
        <v>6607</v>
      </c>
      <c r="AX515" s="3" t="s">
        <v>6607</v>
      </c>
      <c r="AY515" s="3" t="s">
        <v>6608</v>
      </c>
      <c r="AZ515" s="3" t="s">
        <v>75</v>
      </c>
      <c r="BB515" s="3" t="s">
        <v>6609</v>
      </c>
      <c r="BC515" s="3" t="s">
        <v>6610</v>
      </c>
      <c r="BD515" s="3" t="s">
        <v>6611</v>
      </c>
    </row>
    <row r="516" spans="1:56" ht="48" customHeight="1" x14ac:dyDescent="0.25">
      <c r="A516" s="7" t="s">
        <v>59</v>
      </c>
      <c r="B516" s="2" t="s">
        <v>6612</v>
      </c>
      <c r="C516" s="2" t="s">
        <v>6613</v>
      </c>
      <c r="D516" s="2" t="s">
        <v>6614</v>
      </c>
      <c r="F516" s="3" t="s">
        <v>59</v>
      </c>
      <c r="G516" s="3" t="s">
        <v>60</v>
      </c>
      <c r="H516" s="3" t="s">
        <v>59</v>
      </c>
      <c r="I516" s="3" t="s">
        <v>59</v>
      </c>
      <c r="J516" s="3" t="s">
        <v>61</v>
      </c>
      <c r="K516" s="2" t="s">
        <v>6615</v>
      </c>
      <c r="L516" s="2" t="s">
        <v>6616</v>
      </c>
      <c r="M516" s="3" t="s">
        <v>471</v>
      </c>
      <c r="O516" s="3" t="s">
        <v>64</v>
      </c>
      <c r="P516" s="3" t="s">
        <v>176</v>
      </c>
      <c r="R516" s="3" t="s">
        <v>67</v>
      </c>
      <c r="S516" s="4">
        <v>20</v>
      </c>
      <c r="T516" s="4">
        <v>20</v>
      </c>
      <c r="U516" s="5" t="s">
        <v>6617</v>
      </c>
      <c r="V516" s="5" t="s">
        <v>6617</v>
      </c>
      <c r="W516" s="5" t="s">
        <v>2240</v>
      </c>
      <c r="X516" s="5" t="s">
        <v>2240</v>
      </c>
      <c r="Y516" s="4">
        <v>691</v>
      </c>
      <c r="Z516" s="4">
        <v>612</v>
      </c>
      <c r="AA516" s="4">
        <v>950</v>
      </c>
      <c r="AB516" s="4">
        <v>5</v>
      </c>
      <c r="AC516" s="4">
        <v>7</v>
      </c>
      <c r="AD516" s="4">
        <v>22</v>
      </c>
      <c r="AE516" s="4">
        <v>36</v>
      </c>
      <c r="AF516" s="4">
        <v>8</v>
      </c>
      <c r="AG516" s="4">
        <v>16</v>
      </c>
      <c r="AH516" s="4">
        <v>5</v>
      </c>
      <c r="AI516" s="4">
        <v>7</v>
      </c>
      <c r="AJ516" s="4">
        <v>10</v>
      </c>
      <c r="AK516" s="4">
        <v>18</v>
      </c>
      <c r="AL516" s="4">
        <v>3</v>
      </c>
      <c r="AM516" s="4">
        <v>5</v>
      </c>
      <c r="AN516" s="4">
        <v>0</v>
      </c>
      <c r="AO516" s="4">
        <v>0</v>
      </c>
      <c r="AP516" s="3" t="s">
        <v>59</v>
      </c>
      <c r="AQ516" s="3" t="s">
        <v>59</v>
      </c>
      <c r="AS516" s="6" t="str">
        <f>HYPERLINK("https://creighton-primo.hosted.exlibrisgroup.com/primo-explore/search?tab=default_tab&amp;search_scope=EVERYTHING&amp;vid=01CRU&amp;lang=en_US&amp;offset=0&amp;query=any,contains,991003353809702656","Catalog Record")</f>
        <v>Catalog Record</v>
      </c>
      <c r="AT516" s="6" t="str">
        <f>HYPERLINK("http://www.worldcat.org/oclc/886439","WorldCat Record")</f>
        <v>WorldCat Record</v>
      </c>
      <c r="AU516" s="3" t="s">
        <v>6618</v>
      </c>
      <c r="AV516" s="3" t="s">
        <v>6619</v>
      </c>
      <c r="AW516" s="3" t="s">
        <v>6620</v>
      </c>
      <c r="AX516" s="3" t="s">
        <v>6620</v>
      </c>
      <c r="AY516" s="3" t="s">
        <v>6621</v>
      </c>
      <c r="AZ516" s="3" t="s">
        <v>75</v>
      </c>
      <c r="BB516" s="3" t="s">
        <v>6622</v>
      </c>
      <c r="BC516" s="3" t="s">
        <v>6623</v>
      </c>
      <c r="BD516" s="3" t="s">
        <v>6624</v>
      </c>
    </row>
    <row r="517" spans="1:56" ht="48" customHeight="1" x14ac:dyDescent="0.25">
      <c r="A517" s="7" t="s">
        <v>59</v>
      </c>
      <c r="B517" s="2" t="s">
        <v>6625</v>
      </c>
      <c r="C517" s="2" t="s">
        <v>6626</v>
      </c>
      <c r="D517" s="2" t="s">
        <v>6627</v>
      </c>
      <c r="F517" s="3" t="s">
        <v>59</v>
      </c>
      <c r="G517" s="3" t="s">
        <v>60</v>
      </c>
      <c r="H517" s="3" t="s">
        <v>59</v>
      </c>
      <c r="I517" s="3" t="s">
        <v>59</v>
      </c>
      <c r="J517" s="3" t="s">
        <v>61</v>
      </c>
      <c r="K517" s="2" t="s">
        <v>6628</v>
      </c>
      <c r="L517" s="2" t="s">
        <v>6629</v>
      </c>
      <c r="M517" s="3" t="s">
        <v>443</v>
      </c>
      <c r="O517" s="3" t="s">
        <v>64</v>
      </c>
      <c r="P517" s="3" t="s">
        <v>5944</v>
      </c>
      <c r="Q517" s="2" t="s">
        <v>6630</v>
      </c>
      <c r="R517" s="3" t="s">
        <v>67</v>
      </c>
      <c r="S517" s="4">
        <v>41</v>
      </c>
      <c r="T517" s="4">
        <v>41</v>
      </c>
      <c r="U517" s="5" t="s">
        <v>6631</v>
      </c>
      <c r="V517" s="5" t="s">
        <v>6631</v>
      </c>
      <c r="W517" s="5" t="s">
        <v>6632</v>
      </c>
      <c r="X517" s="5" t="s">
        <v>6632</v>
      </c>
      <c r="Y517" s="4">
        <v>886</v>
      </c>
      <c r="Z517" s="4">
        <v>736</v>
      </c>
      <c r="AA517" s="4">
        <v>740</v>
      </c>
      <c r="AB517" s="4">
        <v>7</v>
      </c>
      <c r="AC517" s="4">
        <v>7</v>
      </c>
      <c r="AD517" s="4">
        <v>25</v>
      </c>
      <c r="AE517" s="4">
        <v>26</v>
      </c>
      <c r="AF517" s="4">
        <v>8</v>
      </c>
      <c r="AG517" s="4">
        <v>8</v>
      </c>
      <c r="AH517" s="4">
        <v>4</v>
      </c>
      <c r="AI517" s="4">
        <v>4</v>
      </c>
      <c r="AJ517" s="4">
        <v>12</v>
      </c>
      <c r="AK517" s="4">
        <v>13</v>
      </c>
      <c r="AL517" s="4">
        <v>5</v>
      </c>
      <c r="AM517" s="4">
        <v>5</v>
      </c>
      <c r="AN517" s="4">
        <v>0</v>
      </c>
      <c r="AO517" s="4">
        <v>0</v>
      </c>
      <c r="AP517" s="3" t="s">
        <v>59</v>
      </c>
      <c r="AQ517" s="3" t="s">
        <v>59</v>
      </c>
      <c r="AS517" s="6" t="str">
        <f>HYPERLINK("https://creighton-primo.hosted.exlibrisgroup.com/primo-explore/search?tab=default_tab&amp;search_scope=EVERYTHING&amp;vid=01CRU&amp;lang=en_US&amp;offset=0&amp;query=any,contains,991003314469702656","Catalog Record")</f>
        <v>Catalog Record</v>
      </c>
      <c r="AT517" s="6" t="str">
        <f>HYPERLINK("http://www.worldcat.org/oclc/839107","WorldCat Record")</f>
        <v>WorldCat Record</v>
      </c>
      <c r="AU517" s="3" t="s">
        <v>6633</v>
      </c>
      <c r="AV517" s="3" t="s">
        <v>6634</v>
      </c>
      <c r="AW517" s="3" t="s">
        <v>6635</v>
      </c>
      <c r="AX517" s="3" t="s">
        <v>6635</v>
      </c>
      <c r="AY517" s="3" t="s">
        <v>6636</v>
      </c>
      <c r="AZ517" s="3" t="s">
        <v>75</v>
      </c>
      <c r="BB517" s="3" t="s">
        <v>6637</v>
      </c>
      <c r="BC517" s="3" t="s">
        <v>6638</v>
      </c>
      <c r="BD517" s="3" t="s">
        <v>6639</v>
      </c>
    </row>
    <row r="518" spans="1:56" ht="48" customHeight="1" x14ac:dyDescent="0.25">
      <c r="A518" s="7" t="s">
        <v>59</v>
      </c>
      <c r="B518" s="2" t="s">
        <v>6640</v>
      </c>
      <c r="C518" s="2" t="s">
        <v>6641</v>
      </c>
      <c r="D518" s="2" t="s">
        <v>6642</v>
      </c>
      <c r="F518" s="3" t="s">
        <v>59</v>
      </c>
      <c r="G518" s="3" t="s">
        <v>60</v>
      </c>
      <c r="H518" s="3" t="s">
        <v>70</v>
      </c>
      <c r="I518" s="3" t="s">
        <v>59</v>
      </c>
      <c r="J518" s="3" t="s">
        <v>61</v>
      </c>
      <c r="K518" s="2" t="s">
        <v>6643</v>
      </c>
      <c r="L518" s="2" t="s">
        <v>6644</v>
      </c>
      <c r="M518" s="3" t="s">
        <v>234</v>
      </c>
      <c r="O518" s="3" t="s">
        <v>64</v>
      </c>
      <c r="P518" s="3" t="s">
        <v>130</v>
      </c>
      <c r="R518" s="3" t="s">
        <v>67</v>
      </c>
      <c r="S518" s="4">
        <v>25</v>
      </c>
      <c r="T518" s="4">
        <v>46</v>
      </c>
      <c r="U518" s="5" t="s">
        <v>3072</v>
      </c>
      <c r="V518" s="5" t="s">
        <v>3634</v>
      </c>
      <c r="W518" s="5" t="s">
        <v>6645</v>
      </c>
      <c r="X518" s="5" t="s">
        <v>6645</v>
      </c>
      <c r="Y518" s="4">
        <v>975</v>
      </c>
      <c r="Z518" s="4">
        <v>827</v>
      </c>
      <c r="AA518" s="4">
        <v>905</v>
      </c>
      <c r="AB518" s="4">
        <v>7</v>
      </c>
      <c r="AC518" s="4">
        <v>8</v>
      </c>
      <c r="AD518" s="4">
        <v>26</v>
      </c>
      <c r="AE518" s="4">
        <v>28</v>
      </c>
      <c r="AF518" s="4">
        <v>9</v>
      </c>
      <c r="AG518" s="4">
        <v>11</v>
      </c>
      <c r="AH518" s="4">
        <v>4</v>
      </c>
      <c r="AI518" s="4">
        <v>4</v>
      </c>
      <c r="AJ518" s="4">
        <v>14</v>
      </c>
      <c r="AK518" s="4">
        <v>15</v>
      </c>
      <c r="AL518" s="4">
        <v>5</v>
      </c>
      <c r="AM518" s="4">
        <v>5</v>
      </c>
      <c r="AN518" s="4">
        <v>0</v>
      </c>
      <c r="AO518" s="4">
        <v>0</v>
      </c>
      <c r="AP518" s="3" t="s">
        <v>59</v>
      </c>
      <c r="AQ518" s="3" t="s">
        <v>59</v>
      </c>
      <c r="AS518" s="6" t="str">
        <f>HYPERLINK("https://creighton-primo.hosted.exlibrisgroup.com/primo-explore/search?tab=default_tab&amp;search_scope=EVERYTHING&amp;vid=01CRU&amp;lang=en_US&amp;offset=0&amp;query=any,contains,991001791979702656","Catalog Record")</f>
        <v>Catalog Record</v>
      </c>
      <c r="AT518" s="6" t="str">
        <f>HYPERLINK("http://www.worldcat.org/oclc/18949644","WorldCat Record")</f>
        <v>WorldCat Record</v>
      </c>
      <c r="AU518" s="3" t="s">
        <v>6646</v>
      </c>
      <c r="AV518" s="3" t="s">
        <v>6647</v>
      </c>
      <c r="AW518" s="3" t="s">
        <v>6648</v>
      </c>
      <c r="AX518" s="3" t="s">
        <v>6648</v>
      </c>
      <c r="AY518" s="3" t="s">
        <v>6649</v>
      </c>
      <c r="AZ518" s="3" t="s">
        <v>75</v>
      </c>
      <c r="BB518" s="3" t="s">
        <v>6650</v>
      </c>
      <c r="BC518" s="3" t="s">
        <v>6651</v>
      </c>
      <c r="BD518" s="3" t="s">
        <v>6652</v>
      </c>
    </row>
    <row r="519" spans="1:56" ht="48" customHeight="1" x14ac:dyDescent="0.25">
      <c r="A519" s="7" t="s">
        <v>59</v>
      </c>
      <c r="B519" s="2" t="s">
        <v>6653</v>
      </c>
      <c r="C519" s="2" t="s">
        <v>6654</v>
      </c>
      <c r="D519" s="2" t="s">
        <v>6655</v>
      </c>
      <c r="F519" s="3" t="s">
        <v>59</v>
      </c>
      <c r="G519" s="3" t="s">
        <v>60</v>
      </c>
      <c r="H519" s="3" t="s">
        <v>59</v>
      </c>
      <c r="I519" s="3" t="s">
        <v>59</v>
      </c>
      <c r="J519" s="3" t="s">
        <v>61</v>
      </c>
      <c r="K519" s="2" t="s">
        <v>6656</v>
      </c>
      <c r="L519" s="2" t="s">
        <v>6657</v>
      </c>
      <c r="M519" s="3" t="s">
        <v>263</v>
      </c>
      <c r="N519" s="2" t="s">
        <v>6658</v>
      </c>
      <c r="O519" s="3" t="s">
        <v>64</v>
      </c>
      <c r="P519" s="3" t="s">
        <v>674</v>
      </c>
      <c r="R519" s="3" t="s">
        <v>67</v>
      </c>
      <c r="S519" s="4">
        <v>24</v>
      </c>
      <c r="T519" s="4">
        <v>24</v>
      </c>
      <c r="U519" s="5" t="s">
        <v>6659</v>
      </c>
      <c r="V519" s="5" t="s">
        <v>6659</v>
      </c>
      <c r="W519" s="5" t="s">
        <v>6632</v>
      </c>
      <c r="X519" s="5" t="s">
        <v>6632</v>
      </c>
      <c r="Y519" s="4">
        <v>823</v>
      </c>
      <c r="Z519" s="4">
        <v>694</v>
      </c>
      <c r="AA519" s="4">
        <v>739</v>
      </c>
      <c r="AB519" s="4">
        <v>9</v>
      </c>
      <c r="AC519" s="4">
        <v>9</v>
      </c>
      <c r="AD519" s="4">
        <v>28</v>
      </c>
      <c r="AE519" s="4">
        <v>34</v>
      </c>
      <c r="AF519" s="4">
        <v>7</v>
      </c>
      <c r="AG519" s="4">
        <v>12</v>
      </c>
      <c r="AH519" s="4">
        <v>5</v>
      </c>
      <c r="AI519" s="4">
        <v>5</v>
      </c>
      <c r="AJ519" s="4">
        <v>12</v>
      </c>
      <c r="AK519" s="4">
        <v>17</v>
      </c>
      <c r="AL519" s="4">
        <v>8</v>
      </c>
      <c r="AM519" s="4">
        <v>8</v>
      </c>
      <c r="AN519" s="4">
        <v>0</v>
      </c>
      <c r="AO519" s="4">
        <v>0</v>
      </c>
      <c r="AP519" s="3" t="s">
        <v>59</v>
      </c>
      <c r="AQ519" s="3" t="s">
        <v>70</v>
      </c>
      <c r="AR519" s="6" t="str">
        <f>HYPERLINK("http://catalog.hathitrust.org/Record/001554936","HathiTrust Record")</f>
        <v>HathiTrust Record</v>
      </c>
      <c r="AS519" s="6" t="str">
        <f>HYPERLINK("https://creighton-primo.hosted.exlibrisgroup.com/primo-explore/search?tab=default_tab&amp;search_scope=EVERYTHING&amp;vid=01CRU&amp;lang=en_US&amp;offset=0&amp;query=any,contains,991002972729702656","Catalog Record")</f>
        <v>Catalog Record</v>
      </c>
      <c r="AT519" s="6" t="str">
        <f>HYPERLINK("http://www.worldcat.org/oclc/550312","WorldCat Record")</f>
        <v>WorldCat Record</v>
      </c>
      <c r="AU519" s="3" t="s">
        <v>6660</v>
      </c>
      <c r="AV519" s="3" t="s">
        <v>6661</v>
      </c>
      <c r="AW519" s="3" t="s">
        <v>6662</v>
      </c>
      <c r="AX519" s="3" t="s">
        <v>6662</v>
      </c>
      <c r="AY519" s="3" t="s">
        <v>6663</v>
      </c>
      <c r="AZ519" s="3" t="s">
        <v>75</v>
      </c>
      <c r="BC519" s="3" t="s">
        <v>6664</v>
      </c>
      <c r="BD519" s="3" t="s">
        <v>6665</v>
      </c>
    </row>
    <row r="520" spans="1:56" ht="48" customHeight="1" x14ac:dyDescent="0.25">
      <c r="A520" s="7" t="s">
        <v>59</v>
      </c>
      <c r="B520" s="2" t="s">
        <v>6666</v>
      </c>
      <c r="C520" s="2" t="s">
        <v>6667</v>
      </c>
      <c r="D520" s="2" t="s">
        <v>6668</v>
      </c>
      <c r="F520" s="3" t="s">
        <v>59</v>
      </c>
      <c r="G520" s="3" t="s">
        <v>60</v>
      </c>
      <c r="H520" s="3" t="s">
        <v>59</v>
      </c>
      <c r="I520" s="3" t="s">
        <v>59</v>
      </c>
      <c r="J520" s="3" t="s">
        <v>61</v>
      </c>
      <c r="K520" s="2" t="s">
        <v>6669</v>
      </c>
      <c r="L520" s="2" t="s">
        <v>6670</v>
      </c>
      <c r="M520" s="3" t="s">
        <v>1338</v>
      </c>
      <c r="O520" s="3" t="s">
        <v>64</v>
      </c>
      <c r="P520" s="3" t="s">
        <v>674</v>
      </c>
      <c r="R520" s="3" t="s">
        <v>67</v>
      </c>
      <c r="S520" s="4">
        <v>16</v>
      </c>
      <c r="T520" s="4">
        <v>16</v>
      </c>
      <c r="U520" s="5" t="s">
        <v>6659</v>
      </c>
      <c r="V520" s="5" t="s">
        <v>6659</v>
      </c>
      <c r="W520" s="5" t="s">
        <v>6632</v>
      </c>
      <c r="X520" s="5" t="s">
        <v>6632</v>
      </c>
      <c r="Y520" s="4">
        <v>331</v>
      </c>
      <c r="Z520" s="4">
        <v>268</v>
      </c>
      <c r="AA520" s="4">
        <v>274</v>
      </c>
      <c r="AB520" s="4">
        <v>3</v>
      </c>
      <c r="AC520" s="4">
        <v>3</v>
      </c>
      <c r="AD520" s="4">
        <v>7</v>
      </c>
      <c r="AE520" s="4">
        <v>7</v>
      </c>
      <c r="AF520" s="4">
        <v>0</v>
      </c>
      <c r="AG520" s="4">
        <v>0</v>
      </c>
      <c r="AH520" s="4">
        <v>2</v>
      </c>
      <c r="AI520" s="4">
        <v>2</v>
      </c>
      <c r="AJ520" s="4">
        <v>4</v>
      </c>
      <c r="AK520" s="4">
        <v>4</v>
      </c>
      <c r="AL520" s="4">
        <v>2</v>
      </c>
      <c r="AM520" s="4">
        <v>2</v>
      </c>
      <c r="AN520" s="4">
        <v>0</v>
      </c>
      <c r="AO520" s="4">
        <v>0</v>
      </c>
      <c r="AP520" s="3" t="s">
        <v>59</v>
      </c>
      <c r="AQ520" s="3" t="s">
        <v>59</v>
      </c>
      <c r="AS520" s="6" t="str">
        <f>HYPERLINK("https://creighton-primo.hosted.exlibrisgroup.com/primo-explore/search?tab=default_tab&amp;search_scope=EVERYTHING&amp;vid=01CRU&amp;lang=en_US&amp;offset=0&amp;query=any,contains,991003474389702656","Catalog Record")</f>
        <v>Catalog Record</v>
      </c>
      <c r="AT520" s="6" t="str">
        <f>HYPERLINK("http://www.worldcat.org/oclc/1018265","WorldCat Record")</f>
        <v>WorldCat Record</v>
      </c>
      <c r="AU520" s="3" t="s">
        <v>6671</v>
      </c>
      <c r="AV520" s="3" t="s">
        <v>6672</v>
      </c>
      <c r="AW520" s="3" t="s">
        <v>6673</v>
      </c>
      <c r="AX520" s="3" t="s">
        <v>6673</v>
      </c>
      <c r="AY520" s="3" t="s">
        <v>6674</v>
      </c>
      <c r="AZ520" s="3" t="s">
        <v>75</v>
      </c>
      <c r="BC520" s="3" t="s">
        <v>6675</v>
      </c>
      <c r="BD520" s="3" t="s">
        <v>6676</v>
      </c>
    </row>
    <row r="521" spans="1:56" ht="48" customHeight="1" x14ac:dyDescent="0.25">
      <c r="A521" s="7" t="s">
        <v>59</v>
      </c>
      <c r="B521" s="2" t="s">
        <v>6677</v>
      </c>
      <c r="C521" s="2" t="s">
        <v>6678</v>
      </c>
      <c r="D521" s="2" t="s">
        <v>6679</v>
      </c>
      <c r="F521" s="3" t="s">
        <v>59</v>
      </c>
      <c r="G521" s="3" t="s">
        <v>60</v>
      </c>
      <c r="H521" s="3" t="s">
        <v>59</v>
      </c>
      <c r="I521" s="3" t="s">
        <v>59</v>
      </c>
      <c r="J521" s="3" t="s">
        <v>61</v>
      </c>
      <c r="K521" s="2" t="s">
        <v>6680</v>
      </c>
      <c r="L521" s="2" t="s">
        <v>6681</v>
      </c>
      <c r="M521" s="3" t="s">
        <v>234</v>
      </c>
      <c r="O521" s="3" t="s">
        <v>64</v>
      </c>
      <c r="P521" s="3" t="s">
        <v>65</v>
      </c>
      <c r="R521" s="3" t="s">
        <v>67</v>
      </c>
      <c r="S521" s="4">
        <v>69</v>
      </c>
      <c r="T521" s="4">
        <v>69</v>
      </c>
      <c r="U521" s="5" t="s">
        <v>6682</v>
      </c>
      <c r="V521" s="5" t="s">
        <v>6682</v>
      </c>
      <c r="W521" s="5" t="s">
        <v>5958</v>
      </c>
      <c r="X521" s="5" t="s">
        <v>5958</v>
      </c>
      <c r="Y521" s="4">
        <v>216</v>
      </c>
      <c r="Z521" s="4">
        <v>188</v>
      </c>
      <c r="AA521" s="4">
        <v>333</v>
      </c>
      <c r="AB521" s="4">
        <v>1</v>
      </c>
      <c r="AC521" s="4">
        <v>1</v>
      </c>
      <c r="AD521" s="4">
        <v>4</v>
      </c>
      <c r="AE521" s="4">
        <v>8</v>
      </c>
      <c r="AF521" s="4">
        <v>1</v>
      </c>
      <c r="AG521" s="4">
        <v>2</v>
      </c>
      <c r="AH521" s="4">
        <v>1</v>
      </c>
      <c r="AI521" s="4">
        <v>2</v>
      </c>
      <c r="AJ521" s="4">
        <v>3</v>
      </c>
      <c r="AK521" s="4">
        <v>7</v>
      </c>
      <c r="AL521" s="4">
        <v>0</v>
      </c>
      <c r="AM521" s="4">
        <v>0</v>
      </c>
      <c r="AN521" s="4">
        <v>0</v>
      </c>
      <c r="AO521" s="4">
        <v>0</v>
      </c>
      <c r="AP521" s="3" t="s">
        <v>59</v>
      </c>
      <c r="AQ521" s="3" t="s">
        <v>70</v>
      </c>
      <c r="AR521" s="6" t="str">
        <f>HYPERLINK("http://catalog.hathitrust.org/Record/002729585","HathiTrust Record")</f>
        <v>HathiTrust Record</v>
      </c>
      <c r="AS521" s="6" t="str">
        <f>HYPERLINK("https://creighton-primo.hosted.exlibrisgroup.com/primo-explore/search?tab=default_tab&amp;search_scope=EVERYTHING&amp;vid=01CRU&amp;lang=en_US&amp;offset=0&amp;query=any,contains,991001461969702656","Catalog Record")</f>
        <v>Catalog Record</v>
      </c>
      <c r="AT521" s="6" t="str">
        <f>HYPERLINK("http://www.worldcat.org/oclc/19455800","WorldCat Record")</f>
        <v>WorldCat Record</v>
      </c>
      <c r="AU521" s="3" t="s">
        <v>6683</v>
      </c>
      <c r="AV521" s="3" t="s">
        <v>6684</v>
      </c>
      <c r="AW521" s="3" t="s">
        <v>6685</v>
      </c>
      <c r="AX521" s="3" t="s">
        <v>6685</v>
      </c>
      <c r="AY521" s="3" t="s">
        <v>6686</v>
      </c>
      <c r="AZ521" s="3" t="s">
        <v>75</v>
      </c>
      <c r="BB521" s="3" t="s">
        <v>6687</v>
      </c>
      <c r="BC521" s="3" t="s">
        <v>6688</v>
      </c>
      <c r="BD521" s="3" t="s">
        <v>6689</v>
      </c>
    </row>
    <row r="522" spans="1:56" ht="48" customHeight="1" x14ac:dyDescent="0.25">
      <c r="A522" s="7" t="s">
        <v>59</v>
      </c>
      <c r="B522" s="2" t="s">
        <v>6690</v>
      </c>
      <c r="C522" s="2" t="s">
        <v>6691</v>
      </c>
      <c r="D522" s="2" t="s">
        <v>6692</v>
      </c>
      <c r="F522" s="3" t="s">
        <v>59</v>
      </c>
      <c r="G522" s="3" t="s">
        <v>60</v>
      </c>
      <c r="H522" s="3" t="s">
        <v>59</v>
      </c>
      <c r="I522" s="3" t="s">
        <v>59</v>
      </c>
      <c r="J522" s="3" t="s">
        <v>61</v>
      </c>
      <c r="K522" s="2" t="s">
        <v>6693</v>
      </c>
      <c r="L522" s="2" t="s">
        <v>6694</v>
      </c>
      <c r="M522" s="3" t="s">
        <v>6695</v>
      </c>
      <c r="O522" s="3" t="s">
        <v>64</v>
      </c>
      <c r="P522" s="3" t="s">
        <v>130</v>
      </c>
      <c r="Q522" s="2" t="s">
        <v>6696</v>
      </c>
      <c r="R522" s="3" t="s">
        <v>67</v>
      </c>
      <c r="S522" s="4">
        <v>30</v>
      </c>
      <c r="T522" s="4">
        <v>30</v>
      </c>
      <c r="U522" s="5" t="s">
        <v>6603</v>
      </c>
      <c r="V522" s="5" t="s">
        <v>6603</v>
      </c>
      <c r="W522" s="5" t="s">
        <v>6697</v>
      </c>
      <c r="X522" s="5" t="s">
        <v>6697</v>
      </c>
      <c r="Y522" s="4">
        <v>574</v>
      </c>
      <c r="Z522" s="4">
        <v>484</v>
      </c>
      <c r="AA522" s="4">
        <v>486</v>
      </c>
      <c r="AB522" s="4">
        <v>4</v>
      </c>
      <c r="AC522" s="4">
        <v>4</v>
      </c>
      <c r="AD522" s="4">
        <v>19</v>
      </c>
      <c r="AE522" s="4">
        <v>19</v>
      </c>
      <c r="AF522" s="4">
        <v>7</v>
      </c>
      <c r="AG522" s="4">
        <v>7</v>
      </c>
      <c r="AH522" s="4">
        <v>3</v>
      </c>
      <c r="AI522" s="4">
        <v>3</v>
      </c>
      <c r="AJ522" s="4">
        <v>10</v>
      </c>
      <c r="AK522" s="4">
        <v>10</v>
      </c>
      <c r="AL522" s="4">
        <v>3</v>
      </c>
      <c r="AM522" s="4">
        <v>3</v>
      </c>
      <c r="AN522" s="4">
        <v>0</v>
      </c>
      <c r="AO522" s="4">
        <v>0</v>
      </c>
      <c r="AP522" s="3" t="s">
        <v>59</v>
      </c>
      <c r="AQ522" s="3" t="s">
        <v>70</v>
      </c>
      <c r="AR522" s="6" t="str">
        <f>HYPERLINK("http://catalog.hathitrust.org/Record/001554939","HathiTrust Record")</f>
        <v>HathiTrust Record</v>
      </c>
      <c r="AS522" s="6" t="str">
        <f>HYPERLINK("https://creighton-primo.hosted.exlibrisgroup.com/primo-explore/search?tab=default_tab&amp;search_scope=EVERYTHING&amp;vid=01CRU&amp;lang=en_US&amp;offset=0&amp;query=any,contains,991002988949702656","Catalog Record")</f>
        <v>Catalog Record</v>
      </c>
      <c r="AT522" s="6" t="str">
        <f>HYPERLINK("http://www.worldcat.org/oclc/559324","WorldCat Record")</f>
        <v>WorldCat Record</v>
      </c>
      <c r="AU522" s="3" t="s">
        <v>6698</v>
      </c>
      <c r="AV522" s="3" t="s">
        <v>6699</v>
      </c>
      <c r="AW522" s="3" t="s">
        <v>6700</v>
      </c>
      <c r="AX522" s="3" t="s">
        <v>6700</v>
      </c>
      <c r="AY522" s="3" t="s">
        <v>6701</v>
      </c>
      <c r="AZ522" s="3" t="s">
        <v>75</v>
      </c>
      <c r="BC522" s="3" t="s">
        <v>6702</v>
      </c>
      <c r="BD522" s="3" t="s">
        <v>6703</v>
      </c>
    </row>
    <row r="523" spans="1:56" ht="48" customHeight="1" x14ac:dyDescent="0.25">
      <c r="A523" s="7" t="s">
        <v>59</v>
      </c>
      <c r="B523" s="2" t="s">
        <v>6704</v>
      </c>
      <c r="C523" s="2" t="s">
        <v>6705</v>
      </c>
      <c r="D523" s="2" t="s">
        <v>6706</v>
      </c>
      <c r="F523" s="3" t="s">
        <v>59</v>
      </c>
      <c r="G523" s="3" t="s">
        <v>60</v>
      </c>
      <c r="H523" s="3" t="s">
        <v>59</v>
      </c>
      <c r="I523" s="3" t="s">
        <v>59</v>
      </c>
      <c r="J523" s="3" t="s">
        <v>61</v>
      </c>
      <c r="K523" s="2" t="s">
        <v>6707</v>
      </c>
      <c r="L523" s="2" t="s">
        <v>6708</v>
      </c>
      <c r="M523" s="3" t="s">
        <v>485</v>
      </c>
      <c r="O523" s="3" t="s">
        <v>64</v>
      </c>
      <c r="P523" s="3" t="s">
        <v>65</v>
      </c>
      <c r="R523" s="3" t="s">
        <v>67</v>
      </c>
      <c r="S523" s="4">
        <v>20</v>
      </c>
      <c r="T523" s="4">
        <v>20</v>
      </c>
      <c r="U523" s="5" t="s">
        <v>6709</v>
      </c>
      <c r="V523" s="5" t="s">
        <v>6709</v>
      </c>
      <c r="W523" s="5" t="s">
        <v>6710</v>
      </c>
      <c r="X523" s="5" t="s">
        <v>6710</v>
      </c>
      <c r="Y523" s="4">
        <v>178</v>
      </c>
      <c r="Z523" s="4">
        <v>165</v>
      </c>
      <c r="AA523" s="4">
        <v>220</v>
      </c>
      <c r="AB523" s="4">
        <v>3</v>
      </c>
      <c r="AC523" s="4">
        <v>4</v>
      </c>
      <c r="AD523" s="4">
        <v>9</v>
      </c>
      <c r="AE523" s="4">
        <v>12</v>
      </c>
      <c r="AF523" s="4">
        <v>4</v>
      </c>
      <c r="AG523" s="4">
        <v>5</v>
      </c>
      <c r="AH523" s="4">
        <v>2</v>
      </c>
      <c r="AI523" s="4">
        <v>2</v>
      </c>
      <c r="AJ523" s="4">
        <v>4</v>
      </c>
      <c r="AK523" s="4">
        <v>6</v>
      </c>
      <c r="AL523" s="4">
        <v>2</v>
      </c>
      <c r="AM523" s="4">
        <v>3</v>
      </c>
      <c r="AN523" s="4">
        <v>0</v>
      </c>
      <c r="AO523" s="4">
        <v>0</v>
      </c>
      <c r="AP523" s="3" t="s">
        <v>59</v>
      </c>
      <c r="AQ523" s="3" t="s">
        <v>59</v>
      </c>
      <c r="AS523" s="6" t="str">
        <f>HYPERLINK("https://creighton-primo.hosted.exlibrisgroup.com/primo-explore/search?tab=default_tab&amp;search_scope=EVERYTHING&amp;vid=01CRU&amp;lang=en_US&amp;offset=0&amp;query=any,contains,991004712099702656","Catalog Record")</f>
        <v>Catalog Record</v>
      </c>
      <c r="AT523" s="6" t="str">
        <f>HYPERLINK("http://www.worldcat.org/oclc/4774510","WorldCat Record")</f>
        <v>WorldCat Record</v>
      </c>
      <c r="AU523" s="3" t="s">
        <v>6711</v>
      </c>
      <c r="AV523" s="3" t="s">
        <v>6712</v>
      </c>
      <c r="AW523" s="3" t="s">
        <v>6713</v>
      </c>
      <c r="AX523" s="3" t="s">
        <v>6713</v>
      </c>
      <c r="AY523" s="3" t="s">
        <v>6714</v>
      </c>
      <c r="AZ523" s="3" t="s">
        <v>75</v>
      </c>
      <c r="BB523" s="3" t="s">
        <v>6715</v>
      </c>
      <c r="BC523" s="3" t="s">
        <v>6716</v>
      </c>
      <c r="BD523" s="3" t="s">
        <v>6717</v>
      </c>
    </row>
    <row r="524" spans="1:56" ht="48" customHeight="1" x14ac:dyDescent="0.25">
      <c r="A524" s="7" t="s">
        <v>59</v>
      </c>
      <c r="B524" s="2" t="s">
        <v>6718</v>
      </c>
      <c r="C524" s="2" t="s">
        <v>6719</v>
      </c>
      <c r="D524" s="2" t="s">
        <v>6720</v>
      </c>
      <c r="F524" s="3" t="s">
        <v>59</v>
      </c>
      <c r="G524" s="3" t="s">
        <v>60</v>
      </c>
      <c r="H524" s="3" t="s">
        <v>59</v>
      </c>
      <c r="I524" s="3" t="s">
        <v>59</v>
      </c>
      <c r="J524" s="3" t="s">
        <v>61</v>
      </c>
      <c r="L524" s="2" t="s">
        <v>6721</v>
      </c>
      <c r="M524" s="3" t="s">
        <v>500</v>
      </c>
      <c r="O524" s="3" t="s">
        <v>64</v>
      </c>
      <c r="P524" s="3" t="s">
        <v>264</v>
      </c>
      <c r="Q524" s="2" t="s">
        <v>6722</v>
      </c>
      <c r="R524" s="3" t="s">
        <v>67</v>
      </c>
      <c r="S524" s="4">
        <v>17</v>
      </c>
      <c r="T524" s="4">
        <v>17</v>
      </c>
      <c r="U524" s="5" t="s">
        <v>6603</v>
      </c>
      <c r="V524" s="5" t="s">
        <v>6603</v>
      </c>
      <c r="W524" s="5" t="s">
        <v>6723</v>
      </c>
      <c r="X524" s="5" t="s">
        <v>6723</v>
      </c>
      <c r="Y524" s="4">
        <v>373</v>
      </c>
      <c r="Z524" s="4">
        <v>292</v>
      </c>
      <c r="AA524" s="4">
        <v>299</v>
      </c>
      <c r="AB524" s="4">
        <v>2</v>
      </c>
      <c r="AC524" s="4">
        <v>2</v>
      </c>
      <c r="AD524" s="4">
        <v>12</v>
      </c>
      <c r="AE524" s="4">
        <v>12</v>
      </c>
      <c r="AF524" s="4">
        <v>3</v>
      </c>
      <c r="AG524" s="4">
        <v>3</v>
      </c>
      <c r="AH524" s="4">
        <v>3</v>
      </c>
      <c r="AI524" s="4">
        <v>3</v>
      </c>
      <c r="AJ524" s="4">
        <v>7</v>
      </c>
      <c r="AK524" s="4">
        <v>7</v>
      </c>
      <c r="AL524" s="4">
        <v>1</v>
      </c>
      <c r="AM524" s="4">
        <v>1</v>
      </c>
      <c r="AN524" s="4">
        <v>0</v>
      </c>
      <c r="AO524" s="4">
        <v>0</v>
      </c>
      <c r="AP524" s="3" t="s">
        <v>59</v>
      </c>
      <c r="AQ524" s="3" t="s">
        <v>70</v>
      </c>
      <c r="AR524" s="6" t="str">
        <f>HYPERLINK("http://catalog.hathitrust.org/Record/001554948","HathiTrust Record")</f>
        <v>HathiTrust Record</v>
      </c>
      <c r="AS524" s="6" t="str">
        <f>HYPERLINK("https://creighton-primo.hosted.exlibrisgroup.com/primo-explore/search?tab=default_tab&amp;search_scope=EVERYTHING&amp;vid=01CRU&amp;lang=en_US&amp;offset=0&amp;query=any,contains,991000643619702656","Catalog Record")</f>
        <v>Catalog Record</v>
      </c>
      <c r="AT524" s="6" t="str">
        <f>HYPERLINK("http://www.worldcat.org/oclc/110198","WorldCat Record")</f>
        <v>WorldCat Record</v>
      </c>
      <c r="AU524" s="3" t="s">
        <v>6724</v>
      </c>
      <c r="AV524" s="3" t="s">
        <v>6725</v>
      </c>
      <c r="AW524" s="3" t="s">
        <v>6726</v>
      </c>
      <c r="AX524" s="3" t="s">
        <v>6726</v>
      </c>
      <c r="AY524" s="3" t="s">
        <v>6727</v>
      </c>
      <c r="AZ524" s="3" t="s">
        <v>75</v>
      </c>
      <c r="BB524" s="3" t="s">
        <v>6728</v>
      </c>
      <c r="BC524" s="3" t="s">
        <v>6729</v>
      </c>
      <c r="BD524" s="3" t="s">
        <v>6730</v>
      </c>
    </row>
    <row r="525" spans="1:56" ht="48" customHeight="1" x14ac:dyDescent="0.25">
      <c r="A525" s="7" t="s">
        <v>59</v>
      </c>
      <c r="B525" s="2" t="s">
        <v>6731</v>
      </c>
      <c r="C525" s="2" t="s">
        <v>6732</v>
      </c>
      <c r="D525" s="2" t="s">
        <v>6733</v>
      </c>
      <c r="F525" s="3" t="s">
        <v>59</v>
      </c>
      <c r="G525" s="3" t="s">
        <v>60</v>
      </c>
      <c r="H525" s="3" t="s">
        <v>59</v>
      </c>
      <c r="I525" s="3" t="s">
        <v>59</v>
      </c>
      <c r="J525" s="3" t="s">
        <v>61</v>
      </c>
      <c r="K525" s="2" t="s">
        <v>6734</v>
      </c>
      <c r="L525" s="2" t="s">
        <v>6735</v>
      </c>
      <c r="M525" s="3" t="s">
        <v>443</v>
      </c>
      <c r="O525" s="3" t="s">
        <v>64</v>
      </c>
      <c r="P525" s="3" t="s">
        <v>674</v>
      </c>
      <c r="Q525" s="2" t="s">
        <v>6736</v>
      </c>
      <c r="R525" s="3" t="s">
        <v>67</v>
      </c>
      <c r="S525" s="4">
        <v>27</v>
      </c>
      <c r="T525" s="4">
        <v>27</v>
      </c>
      <c r="U525" s="5" t="s">
        <v>6631</v>
      </c>
      <c r="V525" s="5" t="s">
        <v>6631</v>
      </c>
      <c r="W525" s="5" t="s">
        <v>5341</v>
      </c>
      <c r="X525" s="5" t="s">
        <v>5341</v>
      </c>
      <c r="Y525" s="4">
        <v>355</v>
      </c>
      <c r="Z525" s="4">
        <v>279</v>
      </c>
      <c r="AA525" s="4">
        <v>281</v>
      </c>
      <c r="AB525" s="4">
        <v>2</v>
      </c>
      <c r="AC525" s="4">
        <v>2</v>
      </c>
      <c r="AD525" s="4">
        <v>10</v>
      </c>
      <c r="AE525" s="4">
        <v>10</v>
      </c>
      <c r="AF525" s="4">
        <v>4</v>
      </c>
      <c r="AG525" s="4">
        <v>4</v>
      </c>
      <c r="AH525" s="4">
        <v>3</v>
      </c>
      <c r="AI525" s="4">
        <v>3</v>
      </c>
      <c r="AJ525" s="4">
        <v>5</v>
      </c>
      <c r="AK525" s="4">
        <v>5</v>
      </c>
      <c r="AL525" s="4">
        <v>1</v>
      </c>
      <c r="AM525" s="4">
        <v>1</v>
      </c>
      <c r="AN525" s="4">
        <v>0</v>
      </c>
      <c r="AO525" s="4">
        <v>0</v>
      </c>
      <c r="AP525" s="3" t="s">
        <v>59</v>
      </c>
      <c r="AQ525" s="3" t="s">
        <v>70</v>
      </c>
      <c r="AR525" s="6" t="str">
        <f>HYPERLINK("http://catalog.hathitrust.org/Record/001554945","HathiTrust Record")</f>
        <v>HathiTrust Record</v>
      </c>
      <c r="AS525" s="6" t="str">
        <f>HYPERLINK("https://creighton-primo.hosted.exlibrisgroup.com/primo-explore/search?tab=default_tab&amp;search_scope=EVERYTHING&amp;vid=01CRU&amp;lang=en_US&amp;offset=0&amp;query=any,contains,991003114439702656","Catalog Record")</f>
        <v>Catalog Record</v>
      </c>
      <c r="AT525" s="6" t="str">
        <f>HYPERLINK("http://www.worldcat.org/oclc/659130","WorldCat Record")</f>
        <v>WorldCat Record</v>
      </c>
      <c r="AU525" s="3" t="s">
        <v>6737</v>
      </c>
      <c r="AV525" s="3" t="s">
        <v>6738</v>
      </c>
      <c r="AW525" s="3" t="s">
        <v>6739</v>
      </c>
      <c r="AX525" s="3" t="s">
        <v>6739</v>
      </c>
      <c r="AY525" s="3" t="s">
        <v>6740</v>
      </c>
      <c r="AZ525" s="3" t="s">
        <v>75</v>
      </c>
      <c r="BB525" s="3" t="s">
        <v>6741</v>
      </c>
      <c r="BC525" s="3" t="s">
        <v>6742</v>
      </c>
      <c r="BD525" s="3" t="s">
        <v>6743</v>
      </c>
    </row>
    <row r="526" spans="1:56" ht="48" customHeight="1" x14ac:dyDescent="0.25">
      <c r="A526" s="7" t="s">
        <v>59</v>
      </c>
      <c r="B526" s="2" t="s">
        <v>6744</v>
      </c>
      <c r="C526" s="2" t="s">
        <v>6745</v>
      </c>
      <c r="D526" s="2" t="s">
        <v>6746</v>
      </c>
      <c r="F526" s="3" t="s">
        <v>59</v>
      </c>
      <c r="G526" s="3" t="s">
        <v>60</v>
      </c>
      <c r="H526" s="3" t="s">
        <v>59</v>
      </c>
      <c r="I526" s="3" t="s">
        <v>59</v>
      </c>
      <c r="J526" s="3" t="s">
        <v>61</v>
      </c>
      <c r="K526" s="2" t="s">
        <v>6734</v>
      </c>
      <c r="L526" s="2" t="s">
        <v>6747</v>
      </c>
      <c r="M526" s="3" t="s">
        <v>1831</v>
      </c>
      <c r="O526" s="3" t="s">
        <v>64</v>
      </c>
      <c r="P526" s="3" t="s">
        <v>912</v>
      </c>
      <c r="Q526" s="2" t="s">
        <v>6748</v>
      </c>
      <c r="R526" s="3" t="s">
        <v>67</v>
      </c>
      <c r="S526" s="4">
        <v>24</v>
      </c>
      <c r="T526" s="4">
        <v>24</v>
      </c>
      <c r="U526" s="5" t="s">
        <v>6631</v>
      </c>
      <c r="V526" s="5" t="s">
        <v>6631</v>
      </c>
      <c r="W526" s="5" t="s">
        <v>649</v>
      </c>
      <c r="X526" s="5" t="s">
        <v>649</v>
      </c>
      <c r="Y526" s="4">
        <v>406</v>
      </c>
      <c r="Z526" s="4">
        <v>326</v>
      </c>
      <c r="AA526" s="4">
        <v>472</v>
      </c>
      <c r="AB526" s="4">
        <v>3</v>
      </c>
      <c r="AC526" s="4">
        <v>4</v>
      </c>
      <c r="AD526" s="4">
        <v>11</v>
      </c>
      <c r="AE526" s="4">
        <v>16</v>
      </c>
      <c r="AF526" s="4">
        <v>4</v>
      </c>
      <c r="AG526" s="4">
        <v>6</v>
      </c>
      <c r="AH526" s="4">
        <v>1</v>
      </c>
      <c r="AI526" s="4">
        <v>2</v>
      </c>
      <c r="AJ526" s="4">
        <v>6</v>
      </c>
      <c r="AK526" s="4">
        <v>8</v>
      </c>
      <c r="AL526" s="4">
        <v>2</v>
      </c>
      <c r="AM526" s="4">
        <v>3</v>
      </c>
      <c r="AN526" s="4">
        <v>0</v>
      </c>
      <c r="AO526" s="4">
        <v>0</v>
      </c>
      <c r="AP526" s="3" t="s">
        <v>59</v>
      </c>
      <c r="AQ526" s="3" t="s">
        <v>70</v>
      </c>
      <c r="AR526" s="6" t="str">
        <f>HYPERLINK("http://catalog.hathitrust.org/Record/009801132","HathiTrust Record")</f>
        <v>HathiTrust Record</v>
      </c>
      <c r="AS526" s="6" t="str">
        <f>HYPERLINK("https://creighton-primo.hosted.exlibrisgroup.com/primo-explore/search?tab=default_tab&amp;search_scope=EVERYTHING&amp;vid=01CRU&amp;lang=en_US&amp;offset=0&amp;query=any,contains,991003829169702656","Catalog Record")</f>
        <v>Catalog Record</v>
      </c>
      <c r="AT526" s="6" t="str">
        <f>HYPERLINK("http://www.worldcat.org/oclc/1582823","WorldCat Record")</f>
        <v>WorldCat Record</v>
      </c>
      <c r="AU526" s="3" t="s">
        <v>6749</v>
      </c>
      <c r="AV526" s="3" t="s">
        <v>6750</v>
      </c>
      <c r="AW526" s="3" t="s">
        <v>6751</v>
      </c>
      <c r="AX526" s="3" t="s">
        <v>6751</v>
      </c>
      <c r="AY526" s="3" t="s">
        <v>6752</v>
      </c>
      <c r="AZ526" s="3" t="s">
        <v>75</v>
      </c>
      <c r="BB526" s="3" t="s">
        <v>6753</v>
      </c>
      <c r="BC526" s="3" t="s">
        <v>6754</v>
      </c>
      <c r="BD526" s="3" t="s">
        <v>6755</v>
      </c>
    </row>
    <row r="527" spans="1:56" ht="48" customHeight="1" x14ac:dyDescent="0.25">
      <c r="A527" s="7" t="s">
        <v>59</v>
      </c>
      <c r="B527" s="2" t="s">
        <v>6756</v>
      </c>
      <c r="C527" s="2" t="s">
        <v>6757</v>
      </c>
      <c r="D527" s="2" t="s">
        <v>6758</v>
      </c>
      <c r="F527" s="3" t="s">
        <v>59</v>
      </c>
      <c r="G527" s="3" t="s">
        <v>60</v>
      </c>
      <c r="H527" s="3" t="s">
        <v>59</v>
      </c>
      <c r="I527" s="3" t="s">
        <v>59</v>
      </c>
      <c r="J527" s="3" t="s">
        <v>61</v>
      </c>
      <c r="K527" s="2" t="s">
        <v>6628</v>
      </c>
      <c r="L527" s="2" t="s">
        <v>6759</v>
      </c>
      <c r="M527" s="3" t="s">
        <v>1338</v>
      </c>
      <c r="O527" s="3" t="s">
        <v>64</v>
      </c>
      <c r="P527" s="3" t="s">
        <v>674</v>
      </c>
      <c r="Q527" s="2" t="s">
        <v>6760</v>
      </c>
      <c r="R527" s="3" t="s">
        <v>67</v>
      </c>
      <c r="S527" s="4">
        <v>18</v>
      </c>
      <c r="T527" s="4">
        <v>18</v>
      </c>
      <c r="U527" s="5" t="s">
        <v>6761</v>
      </c>
      <c r="V527" s="5" t="s">
        <v>6761</v>
      </c>
      <c r="W527" s="5" t="s">
        <v>6762</v>
      </c>
      <c r="X527" s="5" t="s">
        <v>6762</v>
      </c>
      <c r="Y527" s="4">
        <v>370</v>
      </c>
      <c r="Z527" s="4">
        <v>284</v>
      </c>
      <c r="AA527" s="4">
        <v>288</v>
      </c>
      <c r="AB527" s="4">
        <v>2</v>
      </c>
      <c r="AC527" s="4">
        <v>2</v>
      </c>
      <c r="AD527" s="4">
        <v>12</v>
      </c>
      <c r="AE527" s="4">
        <v>12</v>
      </c>
      <c r="AF527" s="4">
        <v>3</v>
      </c>
      <c r="AG527" s="4">
        <v>3</v>
      </c>
      <c r="AH527" s="4">
        <v>3</v>
      </c>
      <c r="AI527" s="4">
        <v>3</v>
      </c>
      <c r="AJ527" s="4">
        <v>8</v>
      </c>
      <c r="AK527" s="4">
        <v>8</v>
      </c>
      <c r="AL527" s="4">
        <v>1</v>
      </c>
      <c r="AM527" s="4">
        <v>1</v>
      </c>
      <c r="AN527" s="4">
        <v>0</v>
      </c>
      <c r="AO527" s="4">
        <v>0</v>
      </c>
      <c r="AP527" s="3" t="s">
        <v>59</v>
      </c>
      <c r="AQ527" s="3" t="s">
        <v>70</v>
      </c>
      <c r="AR527" s="6" t="str">
        <f>HYPERLINK("http://catalog.hathitrust.org/Record/000879942","HathiTrust Record")</f>
        <v>HathiTrust Record</v>
      </c>
      <c r="AS527" s="6" t="str">
        <f>HYPERLINK("https://creighton-primo.hosted.exlibrisgroup.com/primo-explore/search?tab=default_tab&amp;search_scope=EVERYTHING&amp;vid=01CRU&amp;lang=en_US&amp;offset=0&amp;query=any,contains,991000955689702656","Catalog Record")</f>
        <v>Catalog Record</v>
      </c>
      <c r="AT527" s="6" t="str">
        <f>HYPERLINK("http://www.worldcat.org/oclc/167927","WorldCat Record")</f>
        <v>WorldCat Record</v>
      </c>
      <c r="AU527" s="3" t="s">
        <v>6763</v>
      </c>
      <c r="AV527" s="3" t="s">
        <v>6764</v>
      </c>
      <c r="AW527" s="3" t="s">
        <v>6765</v>
      </c>
      <c r="AX527" s="3" t="s">
        <v>6765</v>
      </c>
      <c r="AY527" s="3" t="s">
        <v>6766</v>
      </c>
      <c r="AZ527" s="3" t="s">
        <v>75</v>
      </c>
      <c r="BC527" s="3" t="s">
        <v>6767</v>
      </c>
      <c r="BD527" s="3" t="s">
        <v>6768</v>
      </c>
    </row>
    <row r="528" spans="1:56" ht="48" customHeight="1" x14ac:dyDescent="0.25">
      <c r="A528" s="7" t="s">
        <v>59</v>
      </c>
      <c r="B528" s="2" t="s">
        <v>6769</v>
      </c>
      <c r="C528" s="2" t="s">
        <v>6770</v>
      </c>
      <c r="D528" s="2" t="s">
        <v>6771</v>
      </c>
      <c r="F528" s="3" t="s">
        <v>59</v>
      </c>
      <c r="G528" s="3" t="s">
        <v>60</v>
      </c>
      <c r="H528" s="3" t="s">
        <v>70</v>
      </c>
      <c r="I528" s="3" t="s">
        <v>59</v>
      </c>
      <c r="J528" s="3" t="s">
        <v>61</v>
      </c>
      <c r="K528" s="2" t="s">
        <v>6643</v>
      </c>
      <c r="L528" s="2" t="s">
        <v>6353</v>
      </c>
      <c r="M528" s="3" t="s">
        <v>590</v>
      </c>
      <c r="O528" s="3" t="s">
        <v>64</v>
      </c>
      <c r="P528" s="3" t="s">
        <v>130</v>
      </c>
      <c r="R528" s="3" t="s">
        <v>67</v>
      </c>
      <c r="S528" s="4">
        <v>48</v>
      </c>
      <c r="T528" s="4">
        <v>68</v>
      </c>
      <c r="U528" s="5" t="s">
        <v>6772</v>
      </c>
      <c r="V528" s="5" t="s">
        <v>6772</v>
      </c>
      <c r="W528" s="5" t="s">
        <v>6773</v>
      </c>
      <c r="X528" s="5" t="s">
        <v>6773</v>
      </c>
      <c r="Y528" s="4">
        <v>1089</v>
      </c>
      <c r="Z528" s="4">
        <v>960</v>
      </c>
      <c r="AA528" s="4">
        <v>967</v>
      </c>
      <c r="AB528" s="4">
        <v>6</v>
      </c>
      <c r="AC528" s="4">
        <v>6</v>
      </c>
      <c r="AD528" s="4">
        <v>32</v>
      </c>
      <c r="AE528" s="4">
        <v>32</v>
      </c>
      <c r="AF528" s="4">
        <v>10</v>
      </c>
      <c r="AG528" s="4">
        <v>10</v>
      </c>
      <c r="AH528" s="4">
        <v>5</v>
      </c>
      <c r="AI528" s="4">
        <v>5</v>
      </c>
      <c r="AJ528" s="4">
        <v>20</v>
      </c>
      <c r="AK528" s="4">
        <v>20</v>
      </c>
      <c r="AL528" s="4">
        <v>4</v>
      </c>
      <c r="AM528" s="4">
        <v>4</v>
      </c>
      <c r="AN528" s="4">
        <v>0</v>
      </c>
      <c r="AO528" s="4">
        <v>0</v>
      </c>
      <c r="AP528" s="3" t="s">
        <v>59</v>
      </c>
      <c r="AQ528" s="3" t="s">
        <v>70</v>
      </c>
      <c r="AR528" s="6" t="str">
        <f>HYPERLINK("http://catalog.hathitrust.org/Record/000909802","HathiTrust Record")</f>
        <v>HathiTrust Record</v>
      </c>
      <c r="AS528" s="6" t="str">
        <f>HYPERLINK("https://creighton-primo.hosted.exlibrisgroup.com/primo-explore/search?tab=default_tab&amp;search_scope=EVERYTHING&amp;vid=01CRU&amp;lang=en_US&amp;offset=0&amp;query=any,contains,991001786299702656","Catalog Record")</f>
        <v>Catalog Record</v>
      </c>
      <c r="AT528" s="6" t="str">
        <f>HYPERLINK("http://www.worldcat.org/oclc/17747071","WorldCat Record")</f>
        <v>WorldCat Record</v>
      </c>
      <c r="AU528" s="3" t="s">
        <v>6774</v>
      </c>
      <c r="AV528" s="3" t="s">
        <v>6775</v>
      </c>
      <c r="AW528" s="3" t="s">
        <v>6776</v>
      </c>
      <c r="AX528" s="3" t="s">
        <v>6776</v>
      </c>
      <c r="AY528" s="3" t="s">
        <v>6777</v>
      </c>
      <c r="AZ528" s="3" t="s">
        <v>75</v>
      </c>
      <c r="BB528" s="3" t="s">
        <v>6778</v>
      </c>
      <c r="BC528" s="3" t="s">
        <v>6779</v>
      </c>
      <c r="BD528" s="3" t="s">
        <v>6780</v>
      </c>
    </row>
    <row r="529" spans="1:56" ht="48" customHeight="1" x14ac:dyDescent="0.25">
      <c r="A529" s="7" t="s">
        <v>59</v>
      </c>
      <c r="B529" s="2" t="s">
        <v>6781</v>
      </c>
      <c r="C529" s="2" t="s">
        <v>6782</v>
      </c>
      <c r="D529" s="2" t="s">
        <v>6783</v>
      </c>
      <c r="F529" s="3" t="s">
        <v>59</v>
      </c>
      <c r="G529" s="3" t="s">
        <v>60</v>
      </c>
      <c r="H529" s="3" t="s">
        <v>59</v>
      </c>
      <c r="I529" s="3" t="s">
        <v>59</v>
      </c>
      <c r="J529" s="3" t="s">
        <v>61</v>
      </c>
      <c r="K529" s="2" t="s">
        <v>6784</v>
      </c>
      <c r="L529" s="2" t="s">
        <v>6785</v>
      </c>
      <c r="M529" s="3" t="s">
        <v>590</v>
      </c>
      <c r="O529" s="3" t="s">
        <v>64</v>
      </c>
      <c r="P529" s="3" t="s">
        <v>84</v>
      </c>
      <c r="Q529" s="2" t="s">
        <v>4917</v>
      </c>
      <c r="R529" s="3" t="s">
        <v>67</v>
      </c>
      <c r="S529" s="4">
        <v>51</v>
      </c>
      <c r="T529" s="4">
        <v>51</v>
      </c>
      <c r="U529" s="5" t="s">
        <v>6631</v>
      </c>
      <c r="V529" s="5" t="s">
        <v>6631</v>
      </c>
      <c r="W529" s="5" t="s">
        <v>6786</v>
      </c>
      <c r="X529" s="5" t="s">
        <v>6786</v>
      </c>
      <c r="Y529" s="4">
        <v>784</v>
      </c>
      <c r="Z529" s="4">
        <v>616</v>
      </c>
      <c r="AA529" s="4">
        <v>629</v>
      </c>
      <c r="AB529" s="4">
        <v>7</v>
      </c>
      <c r="AC529" s="4">
        <v>7</v>
      </c>
      <c r="AD529" s="4">
        <v>32</v>
      </c>
      <c r="AE529" s="4">
        <v>33</v>
      </c>
      <c r="AF529" s="4">
        <v>11</v>
      </c>
      <c r="AG529" s="4">
        <v>12</v>
      </c>
      <c r="AH529" s="4">
        <v>7</v>
      </c>
      <c r="AI529" s="4">
        <v>7</v>
      </c>
      <c r="AJ529" s="4">
        <v>16</v>
      </c>
      <c r="AK529" s="4">
        <v>16</v>
      </c>
      <c r="AL529" s="4">
        <v>6</v>
      </c>
      <c r="AM529" s="4">
        <v>6</v>
      </c>
      <c r="AN529" s="4">
        <v>0</v>
      </c>
      <c r="AO529" s="4">
        <v>0</v>
      </c>
      <c r="AP529" s="3" t="s">
        <v>59</v>
      </c>
      <c r="AQ529" s="3" t="s">
        <v>59</v>
      </c>
      <c r="AS529" s="6" t="str">
        <f>HYPERLINK("https://creighton-primo.hosted.exlibrisgroup.com/primo-explore/search?tab=default_tab&amp;search_scope=EVERYTHING&amp;vid=01CRU&amp;lang=en_US&amp;offset=0&amp;query=any,contains,991001110589702656","Catalog Record")</f>
        <v>Catalog Record</v>
      </c>
      <c r="AT529" s="6" t="str">
        <f>HYPERLINK("http://www.worldcat.org/oclc/16467158","WorldCat Record")</f>
        <v>WorldCat Record</v>
      </c>
      <c r="AU529" s="3" t="s">
        <v>6787</v>
      </c>
      <c r="AV529" s="3" t="s">
        <v>6788</v>
      </c>
      <c r="AW529" s="3" t="s">
        <v>6789</v>
      </c>
      <c r="AX529" s="3" t="s">
        <v>6789</v>
      </c>
      <c r="AY529" s="3" t="s">
        <v>6790</v>
      </c>
      <c r="AZ529" s="3" t="s">
        <v>75</v>
      </c>
      <c r="BB529" s="3" t="s">
        <v>6791</v>
      </c>
      <c r="BC529" s="3" t="s">
        <v>6792</v>
      </c>
      <c r="BD529" s="3" t="s">
        <v>6793</v>
      </c>
    </row>
    <row r="530" spans="1:56" ht="48" customHeight="1" x14ac:dyDescent="0.25">
      <c r="A530" s="7" t="s">
        <v>59</v>
      </c>
      <c r="B530" s="2" t="s">
        <v>6794</v>
      </c>
      <c r="C530" s="2" t="s">
        <v>6795</v>
      </c>
      <c r="D530" s="2" t="s">
        <v>6796</v>
      </c>
      <c r="F530" s="3" t="s">
        <v>59</v>
      </c>
      <c r="G530" s="3" t="s">
        <v>60</v>
      </c>
      <c r="H530" s="3" t="s">
        <v>59</v>
      </c>
      <c r="I530" s="3" t="s">
        <v>70</v>
      </c>
      <c r="J530" s="3" t="s">
        <v>61</v>
      </c>
      <c r="L530" s="2" t="s">
        <v>6797</v>
      </c>
      <c r="M530" s="3" t="s">
        <v>145</v>
      </c>
      <c r="O530" s="3" t="s">
        <v>64</v>
      </c>
      <c r="P530" s="3" t="s">
        <v>912</v>
      </c>
      <c r="R530" s="3" t="s">
        <v>67</v>
      </c>
      <c r="S530" s="4">
        <v>18</v>
      </c>
      <c r="T530" s="4">
        <v>18</v>
      </c>
      <c r="U530" s="5" t="s">
        <v>6798</v>
      </c>
      <c r="V530" s="5" t="s">
        <v>6798</v>
      </c>
      <c r="W530" s="5" t="s">
        <v>6799</v>
      </c>
      <c r="X530" s="5" t="s">
        <v>6799</v>
      </c>
      <c r="Y530" s="4">
        <v>507</v>
      </c>
      <c r="Z530" s="4">
        <v>400</v>
      </c>
      <c r="AA530" s="4">
        <v>563</v>
      </c>
      <c r="AB530" s="4">
        <v>5</v>
      </c>
      <c r="AC530" s="4">
        <v>5</v>
      </c>
      <c r="AD530" s="4">
        <v>22</v>
      </c>
      <c r="AE530" s="4">
        <v>29</v>
      </c>
      <c r="AF530" s="4">
        <v>6</v>
      </c>
      <c r="AG530" s="4">
        <v>10</v>
      </c>
      <c r="AH530" s="4">
        <v>4</v>
      </c>
      <c r="AI530" s="4">
        <v>6</v>
      </c>
      <c r="AJ530" s="4">
        <v>10</v>
      </c>
      <c r="AK530" s="4">
        <v>15</v>
      </c>
      <c r="AL530" s="4">
        <v>4</v>
      </c>
      <c r="AM530" s="4">
        <v>4</v>
      </c>
      <c r="AN530" s="4">
        <v>0</v>
      </c>
      <c r="AO530" s="4">
        <v>0</v>
      </c>
      <c r="AP530" s="3" t="s">
        <v>59</v>
      </c>
      <c r="AQ530" s="3" t="s">
        <v>70</v>
      </c>
      <c r="AR530" s="6" t="str">
        <f>HYPERLINK("http://catalog.hathitrust.org/Record/000135232","HathiTrust Record")</f>
        <v>HathiTrust Record</v>
      </c>
      <c r="AS530" s="6" t="str">
        <f>HYPERLINK("https://creighton-primo.hosted.exlibrisgroup.com/primo-explore/search?tab=default_tab&amp;search_scope=EVERYTHING&amp;vid=01CRU&amp;lang=en_US&amp;offset=0&amp;query=any,contains,991004525639702656","Catalog Record")</f>
        <v>Catalog Record</v>
      </c>
      <c r="AT530" s="6" t="str">
        <f>HYPERLINK("http://www.worldcat.org/oclc/3843421","WorldCat Record")</f>
        <v>WorldCat Record</v>
      </c>
      <c r="AU530" s="3" t="s">
        <v>6800</v>
      </c>
      <c r="AV530" s="3" t="s">
        <v>6801</v>
      </c>
      <c r="AW530" s="3" t="s">
        <v>6802</v>
      </c>
      <c r="AX530" s="3" t="s">
        <v>6802</v>
      </c>
      <c r="AY530" s="3" t="s">
        <v>6803</v>
      </c>
      <c r="AZ530" s="3" t="s">
        <v>75</v>
      </c>
      <c r="BB530" s="3" t="s">
        <v>6804</v>
      </c>
      <c r="BC530" s="3" t="s">
        <v>6805</v>
      </c>
      <c r="BD530" s="3" t="s">
        <v>6806</v>
      </c>
    </row>
    <row r="531" spans="1:56" ht="48" customHeight="1" x14ac:dyDescent="0.25">
      <c r="A531" s="7" t="s">
        <v>59</v>
      </c>
      <c r="B531" s="2" t="s">
        <v>6807</v>
      </c>
      <c r="C531" s="2" t="s">
        <v>6808</v>
      </c>
      <c r="D531" s="2" t="s">
        <v>6809</v>
      </c>
      <c r="F531" s="3" t="s">
        <v>59</v>
      </c>
      <c r="G531" s="3" t="s">
        <v>60</v>
      </c>
      <c r="H531" s="3" t="s">
        <v>59</v>
      </c>
      <c r="I531" s="3" t="s">
        <v>59</v>
      </c>
      <c r="J531" s="3" t="s">
        <v>61</v>
      </c>
      <c r="L531" s="2" t="s">
        <v>6810</v>
      </c>
      <c r="M531" s="3" t="s">
        <v>500</v>
      </c>
      <c r="O531" s="3" t="s">
        <v>64</v>
      </c>
      <c r="P531" s="3" t="s">
        <v>674</v>
      </c>
      <c r="R531" s="3" t="s">
        <v>67</v>
      </c>
      <c r="S531" s="4">
        <v>2</v>
      </c>
      <c r="T531" s="4">
        <v>2</v>
      </c>
      <c r="U531" s="5" t="s">
        <v>6811</v>
      </c>
      <c r="V531" s="5" t="s">
        <v>6811</v>
      </c>
      <c r="W531" s="5" t="s">
        <v>6550</v>
      </c>
      <c r="X531" s="5" t="s">
        <v>6550</v>
      </c>
      <c r="Y531" s="4">
        <v>249</v>
      </c>
      <c r="Z531" s="4">
        <v>208</v>
      </c>
      <c r="AA531" s="4">
        <v>208</v>
      </c>
      <c r="AB531" s="4">
        <v>3</v>
      </c>
      <c r="AC531" s="4">
        <v>3</v>
      </c>
      <c r="AD531" s="4">
        <v>9</v>
      </c>
      <c r="AE531" s="4">
        <v>9</v>
      </c>
      <c r="AF531" s="4">
        <v>5</v>
      </c>
      <c r="AG531" s="4">
        <v>5</v>
      </c>
      <c r="AH531" s="4">
        <v>2</v>
      </c>
      <c r="AI531" s="4">
        <v>2</v>
      </c>
      <c r="AJ531" s="4">
        <v>2</v>
      </c>
      <c r="AK531" s="4">
        <v>2</v>
      </c>
      <c r="AL531" s="4">
        <v>2</v>
      </c>
      <c r="AM531" s="4">
        <v>2</v>
      </c>
      <c r="AN531" s="4">
        <v>0</v>
      </c>
      <c r="AO531" s="4">
        <v>0</v>
      </c>
      <c r="AP531" s="3" t="s">
        <v>59</v>
      </c>
      <c r="AQ531" s="3" t="s">
        <v>59</v>
      </c>
      <c r="AS531" s="6" t="str">
        <f>HYPERLINK("https://creighton-primo.hosted.exlibrisgroup.com/primo-explore/search?tab=default_tab&amp;search_scope=EVERYTHING&amp;vid=01CRU&amp;lang=en_US&amp;offset=0&amp;query=any,contains,991000517929702656","Catalog Record")</f>
        <v>Catalog Record</v>
      </c>
      <c r="AT531" s="6" t="str">
        <f>HYPERLINK("http://www.worldcat.org/oclc/86804","WorldCat Record")</f>
        <v>WorldCat Record</v>
      </c>
      <c r="AU531" s="3" t="s">
        <v>6812</v>
      </c>
      <c r="AV531" s="3" t="s">
        <v>6813</v>
      </c>
      <c r="AW531" s="3" t="s">
        <v>6814</v>
      </c>
      <c r="AX531" s="3" t="s">
        <v>6814</v>
      </c>
      <c r="AY531" s="3" t="s">
        <v>6815</v>
      </c>
      <c r="AZ531" s="3" t="s">
        <v>75</v>
      </c>
      <c r="BC531" s="3" t="s">
        <v>6816</v>
      </c>
      <c r="BD531" s="3" t="s">
        <v>6817</v>
      </c>
    </row>
    <row r="532" spans="1:56" ht="48" customHeight="1" x14ac:dyDescent="0.25">
      <c r="A532" s="7" t="s">
        <v>59</v>
      </c>
      <c r="B532" s="2" t="s">
        <v>6818</v>
      </c>
      <c r="C532" s="2" t="s">
        <v>6819</v>
      </c>
      <c r="D532" s="2" t="s">
        <v>6820</v>
      </c>
      <c r="F532" s="3" t="s">
        <v>59</v>
      </c>
      <c r="G532" s="3" t="s">
        <v>60</v>
      </c>
      <c r="H532" s="3" t="s">
        <v>59</v>
      </c>
      <c r="I532" s="3" t="s">
        <v>59</v>
      </c>
      <c r="J532" s="3" t="s">
        <v>61</v>
      </c>
      <c r="L532" s="2" t="s">
        <v>6821</v>
      </c>
      <c r="M532" s="3" t="s">
        <v>234</v>
      </c>
      <c r="O532" s="3" t="s">
        <v>64</v>
      </c>
      <c r="P532" s="3" t="s">
        <v>191</v>
      </c>
      <c r="R532" s="3" t="s">
        <v>67</v>
      </c>
      <c r="S532" s="4">
        <v>5</v>
      </c>
      <c r="T532" s="4">
        <v>5</v>
      </c>
      <c r="U532" s="5" t="s">
        <v>6822</v>
      </c>
      <c r="V532" s="5" t="s">
        <v>6822</v>
      </c>
      <c r="W532" s="5" t="s">
        <v>2950</v>
      </c>
      <c r="X532" s="5" t="s">
        <v>2950</v>
      </c>
      <c r="Y532" s="4">
        <v>214</v>
      </c>
      <c r="Z532" s="4">
        <v>159</v>
      </c>
      <c r="AA532" s="4">
        <v>183</v>
      </c>
      <c r="AB532" s="4">
        <v>2</v>
      </c>
      <c r="AC532" s="4">
        <v>2</v>
      </c>
      <c r="AD532" s="4">
        <v>9</v>
      </c>
      <c r="AE532" s="4">
        <v>9</v>
      </c>
      <c r="AF532" s="4">
        <v>1</v>
      </c>
      <c r="AG532" s="4">
        <v>1</v>
      </c>
      <c r="AH532" s="4">
        <v>4</v>
      </c>
      <c r="AI532" s="4">
        <v>4</v>
      </c>
      <c r="AJ532" s="4">
        <v>7</v>
      </c>
      <c r="AK532" s="4">
        <v>7</v>
      </c>
      <c r="AL532" s="4">
        <v>1</v>
      </c>
      <c r="AM532" s="4">
        <v>1</v>
      </c>
      <c r="AN532" s="4">
        <v>0</v>
      </c>
      <c r="AO532" s="4">
        <v>0</v>
      </c>
      <c r="AP532" s="3" t="s">
        <v>59</v>
      </c>
      <c r="AQ532" s="3" t="s">
        <v>70</v>
      </c>
      <c r="AR532" s="6" t="str">
        <f>HYPERLINK("http://catalog.hathitrust.org/Record/001087795","HathiTrust Record")</f>
        <v>HathiTrust Record</v>
      </c>
      <c r="AS532" s="6" t="str">
        <f>HYPERLINK("https://creighton-primo.hosted.exlibrisgroup.com/primo-explore/search?tab=default_tab&amp;search_scope=EVERYTHING&amp;vid=01CRU&amp;lang=en_US&amp;offset=0&amp;query=any,contains,991001314709702656","Catalog Record")</f>
        <v>Catalog Record</v>
      </c>
      <c r="AT532" s="6" t="str">
        <f>HYPERLINK("http://www.worldcat.org/oclc/18166085","WorldCat Record")</f>
        <v>WorldCat Record</v>
      </c>
      <c r="AU532" s="3" t="s">
        <v>6823</v>
      </c>
      <c r="AV532" s="3" t="s">
        <v>6824</v>
      </c>
      <c r="AW532" s="3" t="s">
        <v>6825</v>
      </c>
      <c r="AX532" s="3" t="s">
        <v>6825</v>
      </c>
      <c r="AY532" s="3" t="s">
        <v>6826</v>
      </c>
      <c r="AZ532" s="3" t="s">
        <v>75</v>
      </c>
      <c r="BB532" s="3" t="s">
        <v>6827</v>
      </c>
      <c r="BC532" s="3" t="s">
        <v>6828</v>
      </c>
      <c r="BD532" s="3" t="s">
        <v>6829</v>
      </c>
    </row>
    <row r="533" spans="1:56" ht="48" customHeight="1" x14ac:dyDescent="0.25">
      <c r="A533" s="7" t="s">
        <v>59</v>
      </c>
      <c r="B533" s="2" t="s">
        <v>6830</v>
      </c>
      <c r="C533" s="2" t="s">
        <v>6831</v>
      </c>
      <c r="D533" s="2" t="s">
        <v>6832</v>
      </c>
      <c r="F533" s="3" t="s">
        <v>59</v>
      </c>
      <c r="G533" s="3" t="s">
        <v>60</v>
      </c>
      <c r="H533" s="3" t="s">
        <v>59</v>
      </c>
      <c r="I533" s="3" t="s">
        <v>59</v>
      </c>
      <c r="J533" s="3" t="s">
        <v>61</v>
      </c>
      <c r="K533" s="2" t="s">
        <v>4094</v>
      </c>
      <c r="L533" s="2" t="s">
        <v>6833</v>
      </c>
      <c r="M533" s="3" t="s">
        <v>145</v>
      </c>
      <c r="O533" s="3" t="s">
        <v>64</v>
      </c>
      <c r="P533" s="3" t="s">
        <v>176</v>
      </c>
      <c r="Q533" s="2" t="s">
        <v>6834</v>
      </c>
      <c r="R533" s="3" t="s">
        <v>67</v>
      </c>
      <c r="S533" s="4">
        <v>3</v>
      </c>
      <c r="T533" s="4">
        <v>3</v>
      </c>
      <c r="U533" s="5" t="s">
        <v>6835</v>
      </c>
      <c r="V533" s="5" t="s">
        <v>6835</v>
      </c>
      <c r="W533" s="5" t="s">
        <v>6836</v>
      </c>
      <c r="X533" s="5" t="s">
        <v>6836</v>
      </c>
      <c r="Y533" s="4">
        <v>120</v>
      </c>
      <c r="Z533" s="4">
        <v>94</v>
      </c>
      <c r="AA533" s="4">
        <v>94</v>
      </c>
      <c r="AB533" s="4">
        <v>2</v>
      </c>
      <c r="AC533" s="4">
        <v>2</v>
      </c>
      <c r="AD533" s="4">
        <v>3</v>
      </c>
      <c r="AE533" s="4">
        <v>3</v>
      </c>
      <c r="AF533" s="4">
        <v>1</v>
      </c>
      <c r="AG533" s="4">
        <v>1</v>
      </c>
      <c r="AH533" s="4">
        <v>0</v>
      </c>
      <c r="AI533" s="4">
        <v>0</v>
      </c>
      <c r="AJ533" s="4">
        <v>2</v>
      </c>
      <c r="AK533" s="4">
        <v>2</v>
      </c>
      <c r="AL533" s="4">
        <v>1</v>
      </c>
      <c r="AM533" s="4">
        <v>1</v>
      </c>
      <c r="AN533" s="4">
        <v>0</v>
      </c>
      <c r="AO533" s="4">
        <v>0</v>
      </c>
      <c r="AP533" s="3" t="s">
        <v>59</v>
      </c>
      <c r="AQ533" s="3" t="s">
        <v>59</v>
      </c>
      <c r="AS533" s="6" t="str">
        <f>HYPERLINK("https://creighton-primo.hosted.exlibrisgroup.com/primo-explore/search?tab=default_tab&amp;search_scope=EVERYTHING&amp;vid=01CRU&amp;lang=en_US&amp;offset=0&amp;query=any,contains,991004503899702656","Catalog Record")</f>
        <v>Catalog Record</v>
      </c>
      <c r="AT533" s="6" t="str">
        <f>HYPERLINK("http://www.worldcat.org/oclc/3730161","WorldCat Record")</f>
        <v>WorldCat Record</v>
      </c>
      <c r="AU533" s="3" t="s">
        <v>6837</v>
      </c>
      <c r="AV533" s="3" t="s">
        <v>6838</v>
      </c>
      <c r="AW533" s="3" t="s">
        <v>6839</v>
      </c>
      <c r="AX533" s="3" t="s">
        <v>6839</v>
      </c>
      <c r="AY533" s="3" t="s">
        <v>6840</v>
      </c>
      <c r="AZ533" s="3" t="s">
        <v>75</v>
      </c>
      <c r="BB533" s="3" t="s">
        <v>6841</v>
      </c>
      <c r="BC533" s="3" t="s">
        <v>6842</v>
      </c>
      <c r="BD533" s="3" t="s">
        <v>6843</v>
      </c>
    </row>
    <row r="534" spans="1:56" ht="48" customHeight="1" x14ac:dyDescent="0.25">
      <c r="A534" s="7" t="s">
        <v>59</v>
      </c>
      <c r="B534" s="2" t="s">
        <v>6844</v>
      </c>
      <c r="C534" s="2" t="s">
        <v>6845</v>
      </c>
      <c r="D534" s="2" t="s">
        <v>6846</v>
      </c>
      <c r="F534" s="3" t="s">
        <v>59</v>
      </c>
      <c r="G534" s="3" t="s">
        <v>60</v>
      </c>
      <c r="H534" s="3" t="s">
        <v>59</v>
      </c>
      <c r="I534" s="3" t="s">
        <v>59</v>
      </c>
      <c r="J534" s="3" t="s">
        <v>61</v>
      </c>
      <c r="K534" s="2" t="s">
        <v>6847</v>
      </c>
      <c r="L534" s="2" t="s">
        <v>6848</v>
      </c>
      <c r="M534" s="3" t="s">
        <v>500</v>
      </c>
      <c r="O534" s="3" t="s">
        <v>64</v>
      </c>
      <c r="P534" s="3" t="s">
        <v>130</v>
      </c>
      <c r="R534" s="3" t="s">
        <v>67</v>
      </c>
      <c r="S534" s="4">
        <v>3</v>
      </c>
      <c r="T534" s="4">
        <v>3</v>
      </c>
      <c r="U534" s="5" t="s">
        <v>6849</v>
      </c>
      <c r="V534" s="5" t="s">
        <v>6849</v>
      </c>
      <c r="W534" s="5" t="s">
        <v>501</v>
      </c>
      <c r="X534" s="5" t="s">
        <v>501</v>
      </c>
      <c r="Y534" s="4">
        <v>354</v>
      </c>
      <c r="Z534" s="4">
        <v>335</v>
      </c>
      <c r="AA534" s="4">
        <v>371</v>
      </c>
      <c r="AB534" s="4">
        <v>4</v>
      </c>
      <c r="AC534" s="4">
        <v>4</v>
      </c>
      <c r="AD534" s="4">
        <v>7</v>
      </c>
      <c r="AE534" s="4">
        <v>7</v>
      </c>
      <c r="AF534" s="4">
        <v>3</v>
      </c>
      <c r="AG534" s="4">
        <v>3</v>
      </c>
      <c r="AH534" s="4">
        <v>0</v>
      </c>
      <c r="AI534" s="4">
        <v>0</v>
      </c>
      <c r="AJ534" s="4">
        <v>2</v>
      </c>
      <c r="AK534" s="4">
        <v>2</v>
      </c>
      <c r="AL534" s="4">
        <v>3</v>
      </c>
      <c r="AM534" s="4">
        <v>3</v>
      </c>
      <c r="AN534" s="4">
        <v>0</v>
      </c>
      <c r="AO534" s="4">
        <v>0</v>
      </c>
      <c r="AP534" s="3" t="s">
        <v>59</v>
      </c>
      <c r="AQ534" s="3" t="s">
        <v>70</v>
      </c>
      <c r="AR534" s="6" t="str">
        <f>HYPERLINK("http://catalog.hathitrust.org/Record/001554952","HathiTrust Record")</f>
        <v>HathiTrust Record</v>
      </c>
      <c r="AS534" s="6" t="str">
        <f>HYPERLINK("https://creighton-primo.hosted.exlibrisgroup.com/primo-explore/search?tab=default_tab&amp;search_scope=EVERYTHING&amp;vid=01CRU&amp;lang=en_US&amp;offset=0&amp;query=any,contains,991000216449702656","Catalog Record")</f>
        <v>Catalog Record</v>
      </c>
      <c r="AT534" s="6" t="str">
        <f>HYPERLINK("http://www.worldcat.org/oclc/66977","WorldCat Record")</f>
        <v>WorldCat Record</v>
      </c>
      <c r="AU534" s="3" t="s">
        <v>6850</v>
      </c>
      <c r="AV534" s="3" t="s">
        <v>6851</v>
      </c>
      <c r="AW534" s="3" t="s">
        <v>6852</v>
      </c>
      <c r="AX534" s="3" t="s">
        <v>6852</v>
      </c>
      <c r="AY534" s="3" t="s">
        <v>6853</v>
      </c>
      <c r="AZ534" s="3" t="s">
        <v>75</v>
      </c>
      <c r="BB534" s="3" t="s">
        <v>6854</v>
      </c>
      <c r="BC534" s="3" t="s">
        <v>6855</v>
      </c>
      <c r="BD534" s="3" t="s">
        <v>6856</v>
      </c>
    </row>
    <row r="535" spans="1:56" ht="48" customHeight="1" x14ac:dyDescent="0.25">
      <c r="A535" s="7" t="s">
        <v>59</v>
      </c>
      <c r="B535" s="2" t="s">
        <v>6857</v>
      </c>
      <c r="C535" s="2" t="s">
        <v>6858</v>
      </c>
      <c r="D535" s="2" t="s">
        <v>6859</v>
      </c>
      <c r="F535" s="3" t="s">
        <v>59</v>
      </c>
      <c r="G535" s="3" t="s">
        <v>60</v>
      </c>
      <c r="H535" s="3" t="s">
        <v>59</v>
      </c>
      <c r="I535" s="3" t="s">
        <v>59</v>
      </c>
      <c r="J535" s="3" t="s">
        <v>61</v>
      </c>
      <c r="K535" s="2" t="s">
        <v>6015</v>
      </c>
      <c r="L535" s="2" t="s">
        <v>6860</v>
      </c>
      <c r="M535" s="3" t="s">
        <v>485</v>
      </c>
      <c r="O535" s="3" t="s">
        <v>64</v>
      </c>
      <c r="P535" s="3" t="s">
        <v>130</v>
      </c>
      <c r="R535" s="3" t="s">
        <v>67</v>
      </c>
      <c r="S535" s="4">
        <v>6</v>
      </c>
      <c r="T535" s="4">
        <v>6</v>
      </c>
      <c r="U535" s="5" t="s">
        <v>6861</v>
      </c>
      <c r="V535" s="5" t="s">
        <v>6861</v>
      </c>
      <c r="W535" s="5" t="s">
        <v>6862</v>
      </c>
      <c r="X535" s="5" t="s">
        <v>6862</v>
      </c>
      <c r="Y535" s="4">
        <v>315</v>
      </c>
      <c r="Z535" s="4">
        <v>214</v>
      </c>
      <c r="AA535" s="4">
        <v>462</v>
      </c>
      <c r="AB535" s="4">
        <v>2</v>
      </c>
      <c r="AC535" s="4">
        <v>2</v>
      </c>
      <c r="AD535" s="4">
        <v>11</v>
      </c>
      <c r="AE535" s="4">
        <v>20</v>
      </c>
      <c r="AF535" s="4">
        <v>3</v>
      </c>
      <c r="AG535" s="4">
        <v>8</v>
      </c>
      <c r="AH535" s="4">
        <v>3</v>
      </c>
      <c r="AI535" s="4">
        <v>5</v>
      </c>
      <c r="AJ535" s="4">
        <v>8</v>
      </c>
      <c r="AK535" s="4">
        <v>12</v>
      </c>
      <c r="AL535" s="4">
        <v>1</v>
      </c>
      <c r="AM535" s="4">
        <v>1</v>
      </c>
      <c r="AN535" s="4">
        <v>0</v>
      </c>
      <c r="AO535" s="4">
        <v>0</v>
      </c>
      <c r="AP535" s="3" t="s">
        <v>59</v>
      </c>
      <c r="AQ535" s="3" t="s">
        <v>70</v>
      </c>
      <c r="AR535" s="6" t="str">
        <f>HYPERLINK("http://catalog.hathitrust.org/Record/000299778","HathiTrust Record")</f>
        <v>HathiTrust Record</v>
      </c>
      <c r="AS535" s="6" t="str">
        <f>HYPERLINK("https://creighton-primo.hosted.exlibrisgroup.com/primo-explore/search?tab=default_tab&amp;search_scope=EVERYTHING&amp;vid=01CRU&amp;lang=en_US&amp;offset=0&amp;query=any,contains,991004739359702656","Catalog Record")</f>
        <v>Catalog Record</v>
      </c>
      <c r="AT535" s="6" t="str">
        <f>HYPERLINK("http://www.worldcat.org/oclc/4875320","WorldCat Record")</f>
        <v>WorldCat Record</v>
      </c>
      <c r="AU535" s="3" t="s">
        <v>6863</v>
      </c>
      <c r="AV535" s="3" t="s">
        <v>6864</v>
      </c>
      <c r="AW535" s="3" t="s">
        <v>6865</v>
      </c>
      <c r="AX535" s="3" t="s">
        <v>6865</v>
      </c>
      <c r="AY535" s="3" t="s">
        <v>6866</v>
      </c>
      <c r="AZ535" s="3" t="s">
        <v>75</v>
      </c>
      <c r="BB535" s="3" t="s">
        <v>6867</v>
      </c>
      <c r="BC535" s="3" t="s">
        <v>6868</v>
      </c>
      <c r="BD535" s="3" t="s">
        <v>6869</v>
      </c>
    </row>
    <row r="536" spans="1:56" ht="48" customHeight="1" x14ac:dyDescent="0.25">
      <c r="A536" s="7" t="s">
        <v>59</v>
      </c>
      <c r="B536" s="2" t="s">
        <v>6870</v>
      </c>
      <c r="C536" s="2" t="s">
        <v>6871</v>
      </c>
      <c r="D536" s="2" t="s">
        <v>6872</v>
      </c>
      <c r="F536" s="3" t="s">
        <v>59</v>
      </c>
      <c r="G536" s="3" t="s">
        <v>60</v>
      </c>
      <c r="H536" s="3" t="s">
        <v>59</v>
      </c>
      <c r="I536" s="3" t="s">
        <v>59</v>
      </c>
      <c r="J536" s="3" t="s">
        <v>61</v>
      </c>
      <c r="K536" s="2" t="s">
        <v>6873</v>
      </c>
      <c r="L536" s="2" t="s">
        <v>6874</v>
      </c>
      <c r="M536" s="3" t="s">
        <v>2389</v>
      </c>
      <c r="O536" s="3" t="s">
        <v>64</v>
      </c>
      <c r="P536" s="3" t="s">
        <v>130</v>
      </c>
      <c r="R536" s="3" t="s">
        <v>67</v>
      </c>
      <c r="S536" s="4">
        <v>5</v>
      </c>
      <c r="T536" s="4">
        <v>5</v>
      </c>
      <c r="U536" s="5" t="s">
        <v>6849</v>
      </c>
      <c r="V536" s="5" t="s">
        <v>6849</v>
      </c>
      <c r="W536" s="5" t="s">
        <v>501</v>
      </c>
      <c r="X536" s="5" t="s">
        <v>501</v>
      </c>
      <c r="Y536" s="4">
        <v>446</v>
      </c>
      <c r="Z536" s="4">
        <v>417</v>
      </c>
      <c r="AA536" s="4">
        <v>427</v>
      </c>
      <c r="AB536" s="4">
        <v>4</v>
      </c>
      <c r="AC536" s="4">
        <v>4</v>
      </c>
      <c r="AD536" s="4">
        <v>14</v>
      </c>
      <c r="AE536" s="4">
        <v>14</v>
      </c>
      <c r="AF536" s="4">
        <v>7</v>
      </c>
      <c r="AG536" s="4">
        <v>7</v>
      </c>
      <c r="AH536" s="4">
        <v>1</v>
      </c>
      <c r="AI536" s="4">
        <v>1</v>
      </c>
      <c r="AJ536" s="4">
        <v>8</v>
      </c>
      <c r="AK536" s="4">
        <v>8</v>
      </c>
      <c r="AL536" s="4">
        <v>2</v>
      </c>
      <c r="AM536" s="4">
        <v>2</v>
      </c>
      <c r="AN536" s="4">
        <v>0</v>
      </c>
      <c r="AO536" s="4">
        <v>0</v>
      </c>
      <c r="AP536" s="3" t="s">
        <v>59</v>
      </c>
      <c r="AQ536" s="3" t="s">
        <v>59</v>
      </c>
      <c r="AS536" s="6" t="str">
        <f>HYPERLINK("https://creighton-primo.hosted.exlibrisgroup.com/primo-explore/search?tab=default_tab&amp;search_scope=EVERYTHING&amp;vid=01CRU&amp;lang=en_US&amp;offset=0&amp;query=any,contains,991000003229702656","Catalog Record")</f>
        <v>Catalog Record</v>
      </c>
      <c r="AT536" s="6" t="str">
        <f>HYPERLINK("http://www.worldcat.org/oclc/11989","WorldCat Record")</f>
        <v>WorldCat Record</v>
      </c>
      <c r="AU536" s="3" t="s">
        <v>6875</v>
      </c>
      <c r="AV536" s="3" t="s">
        <v>6876</v>
      </c>
      <c r="AW536" s="3" t="s">
        <v>6877</v>
      </c>
      <c r="AX536" s="3" t="s">
        <v>6877</v>
      </c>
      <c r="AY536" s="3" t="s">
        <v>6878</v>
      </c>
      <c r="AZ536" s="3" t="s">
        <v>75</v>
      </c>
      <c r="BC536" s="3" t="s">
        <v>6879</v>
      </c>
      <c r="BD536" s="3" t="s">
        <v>6880</v>
      </c>
    </row>
    <row r="537" spans="1:56" ht="48" customHeight="1" x14ac:dyDescent="0.25">
      <c r="A537" s="7" t="s">
        <v>59</v>
      </c>
      <c r="B537" s="2" t="s">
        <v>6881</v>
      </c>
      <c r="C537" s="2" t="s">
        <v>6882</v>
      </c>
      <c r="D537" s="2" t="s">
        <v>6883</v>
      </c>
      <c r="F537" s="3" t="s">
        <v>59</v>
      </c>
      <c r="G537" s="3" t="s">
        <v>60</v>
      </c>
      <c r="H537" s="3" t="s">
        <v>59</v>
      </c>
      <c r="I537" s="3" t="s">
        <v>59</v>
      </c>
      <c r="J537" s="3" t="s">
        <v>61</v>
      </c>
      <c r="K537" s="2" t="s">
        <v>6884</v>
      </c>
      <c r="L537" s="2" t="s">
        <v>6885</v>
      </c>
      <c r="M537" s="3" t="s">
        <v>129</v>
      </c>
      <c r="O537" s="3" t="s">
        <v>64</v>
      </c>
      <c r="P537" s="3" t="s">
        <v>130</v>
      </c>
      <c r="R537" s="3" t="s">
        <v>67</v>
      </c>
      <c r="S537" s="4">
        <v>8</v>
      </c>
      <c r="T537" s="4">
        <v>8</v>
      </c>
      <c r="U537" s="5" t="s">
        <v>6849</v>
      </c>
      <c r="V537" s="5" t="s">
        <v>6849</v>
      </c>
      <c r="W537" s="5" t="s">
        <v>6886</v>
      </c>
      <c r="X537" s="5" t="s">
        <v>6886</v>
      </c>
      <c r="Y537" s="4">
        <v>390</v>
      </c>
      <c r="Z537" s="4">
        <v>265</v>
      </c>
      <c r="AA537" s="4">
        <v>270</v>
      </c>
      <c r="AB537" s="4">
        <v>2</v>
      </c>
      <c r="AC537" s="4">
        <v>2</v>
      </c>
      <c r="AD537" s="4">
        <v>6</v>
      </c>
      <c r="AE537" s="4">
        <v>6</v>
      </c>
      <c r="AF537" s="4">
        <v>1</v>
      </c>
      <c r="AG537" s="4">
        <v>1</v>
      </c>
      <c r="AH537" s="4">
        <v>1</v>
      </c>
      <c r="AI537" s="4">
        <v>1</v>
      </c>
      <c r="AJ537" s="4">
        <v>4</v>
      </c>
      <c r="AK537" s="4">
        <v>4</v>
      </c>
      <c r="AL537" s="4">
        <v>1</v>
      </c>
      <c r="AM537" s="4">
        <v>1</v>
      </c>
      <c r="AN537" s="4">
        <v>0</v>
      </c>
      <c r="AO537" s="4">
        <v>0</v>
      </c>
      <c r="AP537" s="3" t="s">
        <v>59</v>
      </c>
      <c r="AQ537" s="3" t="s">
        <v>59</v>
      </c>
      <c r="AS537" s="6" t="str">
        <f>HYPERLINK("https://creighton-primo.hosted.exlibrisgroup.com/primo-explore/search?tab=default_tab&amp;search_scope=EVERYTHING&amp;vid=01CRU&amp;lang=en_US&amp;offset=0&amp;query=any,contains,991002025909702656","Catalog Record")</f>
        <v>Catalog Record</v>
      </c>
      <c r="AT537" s="6" t="str">
        <f>HYPERLINK("http://www.worldcat.org/oclc/25787245","WorldCat Record")</f>
        <v>WorldCat Record</v>
      </c>
      <c r="AU537" s="3" t="s">
        <v>6887</v>
      </c>
      <c r="AV537" s="3" t="s">
        <v>6888</v>
      </c>
      <c r="AW537" s="3" t="s">
        <v>6889</v>
      </c>
      <c r="AX537" s="3" t="s">
        <v>6889</v>
      </c>
      <c r="AY537" s="3" t="s">
        <v>6890</v>
      </c>
      <c r="AZ537" s="3" t="s">
        <v>75</v>
      </c>
      <c r="BB537" s="3" t="s">
        <v>6891</v>
      </c>
      <c r="BC537" s="3" t="s">
        <v>6892</v>
      </c>
      <c r="BD537" s="3" t="s">
        <v>6893</v>
      </c>
    </row>
    <row r="538" spans="1:56" ht="48" customHeight="1" x14ac:dyDescent="0.25">
      <c r="A538" s="7" t="s">
        <v>59</v>
      </c>
      <c r="B538" s="2" t="s">
        <v>6894</v>
      </c>
      <c r="C538" s="2" t="s">
        <v>6895</v>
      </c>
      <c r="D538" s="2" t="s">
        <v>6896</v>
      </c>
      <c r="F538" s="3" t="s">
        <v>59</v>
      </c>
      <c r="G538" s="3" t="s">
        <v>60</v>
      </c>
      <c r="H538" s="3" t="s">
        <v>59</v>
      </c>
      <c r="I538" s="3" t="s">
        <v>59</v>
      </c>
      <c r="J538" s="3" t="s">
        <v>61</v>
      </c>
      <c r="K538" s="2" t="s">
        <v>6897</v>
      </c>
      <c r="L538" s="2" t="s">
        <v>6898</v>
      </c>
      <c r="M538" s="3" t="s">
        <v>992</v>
      </c>
      <c r="N538" s="2" t="s">
        <v>5678</v>
      </c>
      <c r="O538" s="3" t="s">
        <v>64</v>
      </c>
      <c r="P538" s="3" t="s">
        <v>130</v>
      </c>
      <c r="R538" s="3" t="s">
        <v>67</v>
      </c>
      <c r="S538" s="4">
        <v>2</v>
      </c>
      <c r="T538" s="4">
        <v>2</v>
      </c>
      <c r="U538" s="5" t="s">
        <v>6849</v>
      </c>
      <c r="V538" s="5" t="s">
        <v>6849</v>
      </c>
      <c r="W538" s="5" t="s">
        <v>501</v>
      </c>
      <c r="X538" s="5" t="s">
        <v>501</v>
      </c>
      <c r="Y538" s="4">
        <v>935</v>
      </c>
      <c r="Z538" s="4">
        <v>873</v>
      </c>
      <c r="AA538" s="4">
        <v>921</v>
      </c>
      <c r="AB538" s="4">
        <v>5</v>
      </c>
      <c r="AC538" s="4">
        <v>5</v>
      </c>
      <c r="AD538" s="4">
        <v>23</v>
      </c>
      <c r="AE538" s="4">
        <v>24</v>
      </c>
      <c r="AF538" s="4">
        <v>7</v>
      </c>
      <c r="AG538" s="4">
        <v>8</v>
      </c>
      <c r="AH538" s="4">
        <v>4</v>
      </c>
      <c r="AI538" s="4">
        <v>4</v>
      </c>
      <c r="AJ538" s="4">
        <v>15</v>
      </c>
      <c r="AK538" s="4">
        <v>16</v>
      </c>
      <c r="AL538" s="4">
        <v>4</v>
      </c>
      <c r="AM538" s="4">
        <v>4</v>
      </c>
      <c r="AN538" s="4">
        <v>0</v>
      </c>
      <c r="AO538" s="4">
        <v>0</v>
      </c>
      <c r="AP538" s="3" t="s">
        <v>59</v>
      </c>
      <c r="AQ538" s="3" t="s">
        <v>59</v>
      </c>
      <c r="AR538" s="6" t="str">
        <f>HYPERLINK("http://catalog.hathitrust.org/Record/001554963","HathiTrust Record")</f>
        <v>HathiTrust Record</v>
      </c>
      <c r="AS538" s="6" t="str">
        <f>HYPERLINK("https://creighton-primo.hosted.exlibrisgroup.com/primo-explore/search?tab=default_tab&amp;search_scope=EVERYTHING&amp;vid=01CRU&amp;lang=en_US&amp;offset=0&amp;query=any,contains,991002989519702656","Catalog Record")</f>
        <v>Catalog Record</v>
      </c>
      <c r="AT538" s="6" t="str">
        <f>HYPERLINK("http://www.worldcat.org/oclc/559699","WorldCat Record")</f>
        <v>WorldCat Record</v>
      </c>
      <c r="AU538" s="3" t="s">
        <v>6899</v>
      </c>
      <c r="AV538" s="3" t="s">
        <v>6900</v>
      </c>
      <c r="AW538" s="3" t="s">
        <v>6901</v>
      </c>
      <c r="AX538" s="3" t="s">
        <v>6901</v>
      </c>
      <c r="AY538" s="3" t="s">
        <v>6902</v>
      </c>
      <c r="AZ538" s="3" t="s">
        <v>75</v>
      </c>
      <c r="BC538" s="3" t="s">
        <v>6903</v>
      </c>
      <c r="BD538" s="3" t="s">
        <v>6904</v>
      </c>
    </row>
    <row r="539" spans="1:56" ht="48" customHeight="1" x14ac:dyDescent="0.25">
      <c r="A539" s="7" t="s">
        <v>59</v>
      </c>
      <c r="B539" s="2" t="s">
        <v>6905</v>
      </c>
      <c r="C539" s="2" t="s">
        <v>6906</v>
      </c>
      <c r="D539" s="2" t="s">
        <v>6907</v>
      </c>
      <c r="F539" s="3" t="s">
        <v>59</v>
      </c>
      <c r="G539" s="3" t="s">
        <v>60</v>
      </c>
      <c r="H539" s="3" t="s">
        <v>59</v>
      </c>
      <c r="I539" s="3" t="s">
        <v>59</v>
      </c>
      <c r="J539" s="3" t="s">
        <v>61</v>
      </c>
      <c r="L539" s="2" t="s">
        <v>6908</v>
      </c>
      <c r="M539" s="3" t="s">
        <v>925</v>
      </c>
      <c r="O539" s="3" t="s">
        <v>64</v>
      </c>
      <c r="P539" s="3" t="s">
        <v>1201</v>
      </c>
      <c r="R539" s="3" t="s">
        <v>67</v>
      </c>
      <c r="S539" s="4">
        <v>2</v>
      </c>
      <c r="T539" s="4">
        <v>2</v>
      </c>
      <c r="U539" s="5" t="s">
        <v>6849</v>
      </c>
      <c r="V539" s="5" t="s">
        <v>6849</v>
      </c>
      <c r="W539" s="5" t="s">
        <v>6909</v>
      </c>
      <c r="X539" s="5" t="s">
        <v>6909</v>
      </c>
      <c r="Y539" s="4">
        <v>221</v>
      </c>
      <c r="Z539" s="4">
        <v>134</v>
      </c>
      <c r="AA539" s="4">
        <v>136</v>
      </c>
      <c r="AB539" s="4">
        <v>1</v>
      </c>
      <c r="AC539" s="4">
        <v>1</v>
      </c>
      <c r="AD539" s="4">
        <v>4</v>
      </c>
      <c r="AE539" s="4">
        <v>4</v>
      </c>
      <c r="AF539" s="4">
        <v>1</v>
      </c>
      <c r="AG539" s="4">
        <v>1</v>
      </c>
      <c r="AH539" s="4">
        <v>1</v>
      </c>
      <c r="AI539" s="4">
        <v>1</v>
      </c>
      <c r="AJ539" s="4">
        <v>4</v>
      </c>
      <c r="AK539" s="4">
        <v>4</v>
      </c>
      <c r="AL539" s="4">
        <v>0</v>
      </c>
      <c r="AM539" s="4">
        <v>0</v>
      </c>
      <c r="AN539" s="4">
        <v>0</v>
      </c>
      <c r="AO539" s="4">
        <v>0</v>
      </c>
      <c r="AP539" s="3" t="s">
        <v>59</v>
      </c>
      <c r="AQ539" s="3" t="s">
        <v>70</v>
      </c>
      <c r="AR539" s="6" t="str">
        <f>HYPERLINK("http://catalog.hathitrust.org/Record/003984979","HathiTrust Record")</f>
        <v>HathiTrust Record</v>
      </c>
      <c r="AS539" s="6" t="str">
        <f>HYPERLINK("https://creighton-primo.hosted.exlibrisgroup.com/primo-explore/search?tab=default_tab&amp;search_scope=EVERYTHING&amp;vid=01CRU&amp;lang=en_US&amp;offset=0&amp;query=any,contains,991002878669702656","Catalog Record")</f>
        <v>Catalog Record</v>
      </c>
      <c r="AT539" s="6" t="str">
        <f>HYPERLINK("http://www.worldcat.org/oclc/37935153","WorldCat Record")</f>
        <v>WorldCat Record</v>
      </c>
      <c r="AU539" s="3" t="s">
        <v>6910</v>
      </c>
      <c r="AV539" s="3" t="s">
        <v>6911</v>
      </c>
      <c r="AW539" s="3" t="s">
        <v>6912</v>
      </c>
      <c r="AX539" s="3" t="s">
        <v>6912</v>
      </c>
      <c r="AY539" s="3" t="s">
        <v>6913</v>
      </c>
      <c r="AZ539" s="3" t="s">
        <v>75</v>
      </c>
      <c r="BB539" s="3" t="s">
        <v>6914</v>
      </c>
      <c r="BC539" s="3" t="s">
        <v>6915</v>
      </c>
      <c r="BD539" s="3" t="s">
        <v>6916</v>
      </c>
    </row>
    <row r="540" spans="1:56" ht="48" customHeight="1" x14ac:dyDescent="0.25">
      <c r="A540" s="7" t="s">
        <v>59</v>
      </c>
      <c r="B540" s="2" t="s">
        <v>6917</v>
      </c>
      <c r="C540" s="2" t="s">
        <v>6918</v>
      </c>
      <c r="D540" s="2" t="s">
        <v>6919</v>
      </c>
      <c r="F540" s="3" t="s">
        <v>59</v>
      </c>
      <c r="G540" s="3" t="s">
        <v>60</v>
      </c>
      <c r="H540" s="3" t="s">
        <v>59</v>
      </c>
      <c r="I540" s="3" t="s">
        <v>59</v>
      </c>
      <c r="J540" s="3" t="s">
        <v>61</v>
      </c>
      <c r="K540" s="2" t="s">
        <v>6920</v>
      </c>
      <c r="L540" s="2" t="s">
        <v>6921</v>
      </c>
      <c r="M540" s="3" t="s">
        <v>485</v>
      </c>
      <c r="O540" s="3" t="s">
        <v>64</v>
      </c>
      <c r="P540" s="3" t="s">
        <v>130</v>
      </c>
      <c r="R540" s="3" t="s">
        <v>67</v>
      </c>
      <c r="S540" s="4">
        <v>4</v>
      </c>
      <c r="T540" s="4">
        <v>4</v>
      </c>
      <c r="U540" s="5" t="s">
        <v>3711</v>
      </c>
      <c r="V540" s="5" t="s">
        <v>3711</v>
      </c>
      <c r="W540" s="5" t="s">
        <v>6862</v>
      </c>
      <c r="X540" s="5" t="s">
        <v>6862</v>
      </c>
      <c r="Y540" s="4">
        <v>305</v>
      </c>
      <c r="Z540" s="4">
        <v>229</v>
      </c>
      <c r="AA540" s="4">
        <v>239</v>
      </c>
      <c r="AB540" s="4">
        <v>4</v>
      </c>
      <c r="AC540" s="4">
        <v>4</v>
      </c>
      <c r="AD540" s="4">
        <v>8</v>
      </c>
      <c r="AE540" s="4">
        <v>8</v>
      </c>
      <c r="AF540" s="4">
        <v>1</v>
      </c>
      <c r="AG540" s="4">
        <v>1</v>
      </c>
      <c r="AH540" s="4">
        <v>1</v>
      </c>
      <c r="AI540" s="4">
        <v>1</v>
      </c>
      <c r="AJ540" s="4">
        <v>3</v>
      </c>
      <c r="AK540" s="4">
        <v>3</v>
      </c>
      <c r="AL540" s="4">
        <v>3</v>
      </c>
      <c r="AM540" s="4">
        <v>3</v>
      </c>
      <c r="AN540" s="4">
        <v>0</v>
      </c>
      <c r="AO540" s="4">
        <v>0</v>
      </c>
      <c r="AP540" s="3" t="s">
        <v>59</v>
      </c>
      <c r="AQ540" s="3" t="s">
        <v>70</v>
      </c>
      <c r="AR540" s="6" t="str">
        <f>HYPERLINK("http://catalog.hathitrust.org/Record/000257254","HathiTrust Record")</f>
        <v>HathiTrust Record</v>
      </c>
      <c r="AS540" s="6" t="str">
        <f>HYPERLINK("https://creighton-primo.hosted.exlibrisgroup.com/primo-explore/search?tab=default_tab&amp;search_scope=EVERYTHING&amp;vid=01CRU&amp;lang=en_US&amp;offset=0&amp;query=any,contains,991004667409702656","Catalog Record")</f>
        <v>Catalog Record</v>
      </c>
      <c r="AT540" s="6" t="str">
        <f>HYPERLINK("http://www.worldcat.org/oclc/4505307","WorldCat Record")</f>
        <v>WorldCat Record</v>
      </c>
      <c r="AU540" s="3" t="s">
        <v>6922</v>
      </c>
      <c r="AV540" s="3" t="s">
        <v>6923</v>
      </c>
      <c r="AW540" s="3" t="s">
        <v>6924</v>
      </c>
      <c r="AX540" s="3" t="s">
        <v>6924</v>
      </c>
      <c r="AY540" s="3" t="s">
        <v>6925</v>
      </c>
      <c r="AZ540" s="3" t="s">
        <v>75</v>
      </c>
      <c r="BB540" s="3" t="s">
        <v>6926</v>
      </c>
      <c r="BC540" s="3" t="s">
        <v>6927</v>
      </c>
      <c r="BD540" s="3" t="s">
        <v>6928</v>
      </c>
    </row>
    <row r="541" spans="1:56" ht="48" customHeight="1" x14ac:dyDescent="0.25">
      <c r="A541" s="7" t="s">
        <v>59</v>
      </c>
      <c r="B541" s="2" t="s">
        <v>6929</v>
      </c>
      <c r="C541" s="2" t="s">
        <v>6930</v>
      </c>
      <c r="D541" s="2" t="s">
        <v>6931</v>
      </c>
      <c r="F541" s="3" t="s">
        <v>59</v>
      </c>
      <c r="G541" s="3" t="s">
        <v>60</v>
      </c>
      <c r="H541" s="3" t="s">
        <v>59</v>
      </c>
      <c r="I541" s="3" t="s">
        <v>70</v>
      </c>
      <c r="J541" s="3" t="s">
        <v>61</v>
      </c>
      <c r="K541" s="2" t="s">
        <v>6932</v>
      </c>
      <c r="L541" s="2" t="s">
        <v>5275</v>
      </c>
      <c r="M541" s="3" t="s">
        <v>333</v>
      </c>
      <c r="O541" s="3" t="s">
        <v>64</v>
      </c>
      <c r="P541" s="3" t="s">
        <v>130</v>
      </c>
      <c r="R541" s="3" t="s">
        <v>67</v>
      </c>
      <c r="S541" s="4">
        <v>2</v>
      </c>
      <c r="T541" s="4">
        <v>2</v>
      </c>
      <c r="U541" s="5" t="s">
        <v>6933</v>
      </c>
      <c r="V541" s="5" t="s">
        <v>6933</v>
      </c>
      <c r="W541" s="5" t="s">
        <v>2950</v>
      </c>
      <c r="X541" s="5" t="s">
        <v>2950</v>
      </c>
      <c r="Y541" s="4">
        <v>411</v>
      </c>
      <c r="Z541" s="4">
        <v>322</v>
      </c>
      <c r="AA541" s="4">
        <v>457</v>
      </c>
      <c r="AB541" s="4">
        <v>3</v>
      </c>
      <c r="AC541" s="4">
        <v>5</v>
      </c>
      <c r="AD541" s="4">
        <v>12</v>
      </c>
      <c r="AE541" s="4">
        <v>17</v>
      </c>
      <c r="AF541" s="4">
        <v>2</v>
      </c>
      <c r="AG541" s="4">
        <v>4</v>
      </c>
      <c r="AH541" s="4">
        <v>5</v>
      </c>
      <c r="AI541" s="4">
        <v>5</v>
      </c>
      <c r="AJ541" s="4">
        <v>8</v>
      </c>
      <c r="AK541" s="4">
        <v>10</v>
      </c>
      <c r="AL541" s="4">
        <v>2</v>
      </c>
      <c r="AM541" s="4">
        <v>3</v>
      </c>
      <c r="AN541" s="4">
        <v>0</v>
      </c>
      <c r="AO541" s="4">
        <v>0</v>
      </c>
      <c r="AP541" s="3" t="s">
        <v>59</v>
      </c>
      <c r="AQ541" s="3" t="s">
        <v>59</v>
      </c>
      <c r="AS541" s="6" t="str">
        <f>HYPERLINK("https://creighton-primo.hosted.exlibrisgroup.com/primo-explore/search?tab=default_tab&amp;search_scope=EVERYTHING&amp;vid=01CRU&amp;lang=en_US&amp;offset=0&amp;query=any,contains,991000465359702656","Catalog Record")</f>
        <v>Catalog Record</v>
      </c>
      <c r="AT541" s="6" t="str">
        <f>HYPERLINK("http://www.worldcat.org/oclc/10951287","WorldCat Record")</f>
        <v>WorldCat Record</v>
      </c>
      <c r="AU541" s="3" t="s">
        <v>6934</v>
      </c>
      <c r="AV541" s="3" t="s">
        <v>6935</v>
      </c>
      <c r="AW541" s="3" t="s">
        <v>6936</v>
      </c>
      <c r="AX541" s="3" t="s">
        <v>6936</v>
      </c>
      <c r="AY541" s="3" t="s">
        <v>6937</v>
      </c>
      <c r="AZ541" s="3" t="s">
        <v>75</v>
      </c>
      <c r="BB541" s="3" t="s">
        <v>6938</v>
      </c>
      <c r="BC541" s="3" t="s">
        <v>6939</v>
      </c>
      <c r="BD541" s="3" t="s">
        <v>6940</v>
      </c>
    </row>
    <row r="542" spans="1:56" ht="48" customHeight="1" x14ac:dyDescent="0.25">
      <c r="A542" s="7" t="s">
        <v>59</v>
      </c>
      <c r="B542" s="2" t="s">
        <v>6941</v>
      </c>
      <c r="C542" s="2" t="s">
        <v>6942</v>
      </c>
      <c r="D542" s="2" t="s">
        <v>6943</v>
      </c>
      <c r="F542" s="3" t="s">
        <v>59</v>
      </c>
      <c r="G542" s="3" t="s">
        <v>60</v>
      </c>
      <c r="H542" s="3" t="s">
        <v>59</v>
      </c>
      <c r="I542" s="3" t="s">
        <v>59</v>
      </c>
      <c r="J542" s="3" t="s">
        <v>61</v>
      </c>
      <c r="K542" s="2" t="s">
        <v>6944</v>
      </c>
      <c r="L542" s="2" t="s">
        <v>6945</v>
      </c>
      <c r="M542" s="3" t="s">
        <v>348</v>
      </c>
      <c r="N542" s="2" t="s">
        <v>2003</v>
      </c>
      <c r="O542" s="3" t="s">
        <v>64</v>
      </c>
      <c r="P542" s="3" t="s">
        <v>130</v>
      </c>
      <c r="R542" s="3" t="s">
        <v>67</v>
      </c>
      <c r="S542" s="4">
        <v>6</v>
      </c>
      <c r="T542" s="4">
        <v>6</v>
      </c>
      <c r="U542" s="5" t="s">
        <v>6946</v>
      </c>
      <c r="V542" s="5" t="s">
        <v>6946</v>
      </c>
      <c r="W542" s="5" t="s">
        <v>6947</v>
      </c>
      <c r="X542" s="5" t="s">
        <v>6947</v>
      </c>
      <c r="Y542" s="4">
        <v>34</v>
      </c>
      <c r="Z542" s="4">
        <v>28</v>
      </c>
      <c r="AA542" s="4">
        <v>112</v>
      </c>
      <c r="AB542" s="4">
        <v>1</v>
      </c>
      <c r="AC542" s="4">
        <v>1</v>
      </c>
      <c r="AD542" s="4">
        <v>0</v>
      </c>
      <c r="AE542" s="4">
        <v>0</v>
      </c>
      <c r="AF542" s="4">
        <v>0</v>
      </c>
      <c r="AG542" s="4">
        <v>0</v>
      </c>
      <c r="AH542" s="4">
        <v>0</v>
      </c>
      <c r="AI542" s="4">
        <v>0</v>
      </c>
      <c r="AJ542" s="4">
        <v>0</v>
      </c>
      <c r="AK542" s="4">
        <v>0</v>
      </c>
      <c r="AL542" s="4">
        <v>0</v>
      </c>
      <c r="AM542" s="4">
        <v>0</v>
      </c>
      <c r="AN542" s="4">
        <v>0</v>
      </c>
      <c r="AO542" s="4">
        <v>0</v>
      </c>
      <c r="AP542" s="3" t="s">
        <v>59</v>
      </c>
      <c r="AQ542" s="3" t="s">
        <v>70</v>
      </c>
      <c r="AR542" s="6" t="str">
        <f>HYPERLINK("http://catalog.hathitrust.org/Record/008990382","HathiTrust Record")</f>
        <v>HathiTrust Record</v>
      </c>
      <c r="AS542" s="6" t="str">
        <f>HYPERLINK("https://creighton-primo.hosted.exlibrisgroup.com/primo-explore/search?tab=default_tab&amp;search_scope=EVERYTHING&amp;vid=01CRU&amp;lang=en_US&amp;offset=0&amp;query=any,contains,991002118299702656","Catalog Record")</f>
        <v>Catalog Record</v>
      </c>
      <c r="AT542" s="6" t="str">
        <f>HYPERLINK("http://www.worldcat.org/oclc/27146772","WorldCat Record")</f>
        <v>WorldCat Record</v>
      </c>
      <c r="AU542" s="3" t="s">
        <v>6948</v>
      </c>
      <c r="AV542" s="3" t="s">
        <v>6949</v>
      </c>
      <c r="AW542" s="3" t="s">
        <v>6950</v>
      </c>
      <c r="AX542" s="3" t="s">
        <v>6950</v>
      </c>
      <c r="AY542" s="3" t="s">
        <v>6951</v>
      </c>
      <c r="AZ542" s="3" t="s">
        <v>75</v>
      </c>
      <c r="BB542" s="3" t="s">
        <v>6952</v>
      </c>
      <c r="BC542" s="3" t="s">
        <v>6953</v>
      </c>
      <c r="BD542" s="3" t="s">
        <v>6954</v>
      </c>
    </row>
    <row r="543" spans="1:56" ht="48" customHeight="1" x14ac:dyDescent="0.25">
      <c r="A543" s="7" t="s">
        <v>59</v>
      </c>
      <c r="B543" s="2" t="s">
        <v>6955</v>
      </c>
      <c r="C543" s="2" t="s">
        <v>6956</v>
      </c>
      <c r="D543" s="2" t="s">
        <v>6957</v>
      </c>
      <c r="F543" s="3" t="s">
        <v>59</v>
      </c>
      <c r="G543" s="3" t="s">
        <v>60</v>
      </c>
      <c r="H543" s="3" t="s">
        <v>59</v>
      </c>
      <c r="I543" s="3" t="s">
        <v>59</v>
      </c>
      <c r="J543" s="3" t="s">
        <v>61</v>
      </c>
      <c r="K543" s="2" t="s">
        <v>6958</v>
      </c>
      <c r="L543" s="2" t="s">
        <v>6959</v>
      </c>
      <c r="M543" s="3" t="s">
        <v>161</v>
      </c>
      <c r="O543" s="3" t="s">
        <v>64</v>
      </c>
      <c r="P543" s="3" t="s">
        <v>1186</v>
      </c>
      <c r="R543" s="3" t="s">
        <v>67</v>
      </c>
      <c r="S543" s="4">
        <v>6</v>
      </c>
      <c r="T543" s="4">
        <v>6</v>
      </c>
      <c r="U543" s="5" t="s">
        <v>6960</v>
      </c>
      <c r="V543" s="5" t="s">
        <v>6960</v>
      </c>
      <c r="W543" s="5" t="s">
        <v>2950</v>
      </c>
      <c r="X543" s="5" t="s">
        <v>2950</v>
      </c>
      <c r="Y543" s="4">
        <v>42</v>
      </c>
      <c r="Z543" s="4">
        <v>38</v>
      </c>
      <c r="AA543" s="4">
        <v>152</v>
      </c>
      <c r="AB543" s="4">
        <v>1</v>
      </c>
      <c r="AC543" s="4">
        <v>1</v>
      </c>
      <c r="AD543" s="4">
        <v>0</v>
      </c>
      <c r="AE543" s="4">
        <v>1</v>
      </c>
      <c r="AF543" s="4">
        <v>0</v>
      </c>
      <c r="AG543" s="4">
        <v>0</v>
      </c>
      <c r="AH543" s="4">
        <v>0</v>
      </c>
      <c r="AI543" s="4">
        <v>0</v>
      </c>
      <c r="AJ543" s="4">
        <v>0</v>
      </c>
      <c r="AK543" s="4">
        <v>1</v>
      </c>
      <c r="AL543" s="4">
        <v>0</v>
      </c>
      <c r="AM543" s="4">
        <v>0</v>
      </c>
      <c r="AN543" s="4">
        <v>0</v>
      </c>
      <c r="AO543" s="4">
        <v>0</v>
      </c>
      <c r="AP543" s="3" t="s">
        <v>59</v>
      </c>
      <c r="AQ543" s="3" t="s">
        <v>59</v>
      </c>
      <c r="AS543" s="6" t="str">
        <f>HYPERLINK("https://creighton-primo.hosted.exlibrisgroup.com/primo-explore/search?tab=default_tab&amp;search_scope=EVERYTHING&amp;vid=01CRU&amp;lang=en_US&amp;offset=0&amp;query=any,contains,991005078729702656","Catalog Record")</f>
        <v>Catalog Record</v>
      </c>
      <c r="AT543" s="6" t="str">
        <f>HYPERLINK("http://www.worldcat.org/oclc/7165685","WorldCat Record")</f>
        <v>WorldCat Record</v>
      </c>
      <c r="AU543" s="3" t="s">
        <v>6961</v>
      </c>
      <c r="AV543" s="3" t="s">
        <v>6962</v>
      </c>
      <c r="AW543" s="3" t="s">
        <v>6963</v>
      </c>
      <c r="AX543" s="3" t="s">
        <v>6963</v>
      </c>
      <c r="AY543" s="3" t="s">
        <v>6964</v>
      </c>
      <c r="AZ543" s="3" t="s">
        <v>75</v>
      </c>
      <c r="BB543" s="3" t="s">
        <v>6965</v>
      </c>
      <c r="BC543" s="3" t="s">
        <v>6966</v>
      </c>
      <c r="BD543" s="3" t="s">
        <v>6967</v>
      </c>
    </row>
    <row r="544" spans="1:56" ht="48" customHeight="1" x14ac:dyDescent="0.25">
      <c r="A544" s="7" t="s">
        <v>59</v>
      </c>
      <c r="B544" s="2" t="s">
        <v>6968</v>
      </c>
      <c r="C544" s="2" t="s">
        <v>6969</v>
      </c>
      <c r="D544" s="2" t="s">
        <v>6970</v>
      </c>
      <c r="F544" s="3" t="s">
        <v>59</v>
      </c>
      <c r="G544" s="3" t="s">
        <v>60</v>
      </c>
      <c r="H544" s="3" t="s">
        <v>59</v>
      </c>
      <c r="I544" s="3" t="s">
        <v>59</v>
      </c>
      <c r="J544" s="3" t="s">
        <v>61</v>
      </c>
      <c r="K544" s="2" t="s">
        <v>6971</v>
      </c>
      <c r="L544" s="2" t="s">
        <v>6972</v>
      </c>
      <c r="M544" s="3" t="s">
        <v>161</v>
      </c>
      <c r="O544" s="3" t="s">
        <v>64</v>
      </c>
      <c r="P544" s="3" t="s">
        <v>130</v>
      </c>
      <c r="R544" s="3" t="s">
        <v>67</v>
      </c>
      <c r="S544" s="4">
        <v>3</v>
      </c>
      <c r="T544" s="4">
        <v>3</v>
      </c>
      <c r="U544" s="5" t="s">
        <v>6861</v>
      </c>
      <c r="V544" s="5" t="s">
        <v>6861</v>
      </c>
      <c r="W544" s="5" t="s">
        <v>6862</v>
      </c>
      <c r="X544" s="5" t="s">
        <v>6862</v>
      </c>
      <c r="Y544" s="4">
        <v>386</v>
      </c>
      <c r="Z544" s="4">
        <v>301</v>
      </c>
      <c r="AA544" s="4">
        <v>313</v>
      </c>
      <c r="AB544" s="4">
        <v>2</v>
      </c>
      <c r="AC544" s="4">
        <v>2</v>
      </c>
      <c r="AD544" s="4">
        <v>16</v>
      </c>
      <c r="AE544" s="4">
        <v>16</v>
      </c>
      <c r="AF544" s="4">
        <v>7</v>
      </c>
      <c r="AG544" s="4">
        <v>7</v>
      </c>
      <c r="AH544" s="4">
        <v>4</v>
      </c>
      <c r="AI544" s="4">
        <v>4</v>
      </c>
      <c r="AJ544" s="4">
        <v>9</v>
      </c>
      <c r="AK544" s="4">
        <v>9</v>
      </c>
      <c r="AL544" s="4">
        <v>1</v>
      </c>
      <c r="AM544" s="4">
        <v>1</v>
      </c>
      <c r="AN544" s="4">
        <v>0</v>
      </c>
      <c r="AO544" s="4">
        <v>0</v>
      </c>
      <c r="AP544" s="3" t="s">
        <v>59</v>
      </c>
      <c r="AQ544" s="3" t="s">
        <v>59</v>
      </c>
      <c r="AS544" s="6" t="str">
        <f>HYPERLINK("https://creighton-primo.hosted.exlibrisgroup.com/primo-explore/search?tab=default_tab&amp;search_scope=EVERYTHING&amp;vid=01CRU&amp;lang=en_US&amp;offset=0&amp;query=any,contains,991005034549702656","Catalog Record")</f>
        <v>Catalog Record</v>
      </c>
      <c r="AT544" s="6" t="str">
        <f>HYPERLINK("http://www.worldcat.org/oclc/6742131","WorldCat Record")</f>
        <v>WorldCat Record</v>
      </c>
      <c r="AU544" s="3" t="s">
        <v>6973</v>
      </c>
      <c r="AV544" s="3" t="s">
        <v>6974</v>
      </c>
      <c r="AW544" s="3" t="s">
        <v>6975</v>
      </c>
      <c r="AX544" s="3" t="s">
        <v>6975</v>
      </c>
      <c r="AY544" s="3" t="s">
        <v>6976</v>
      </c>
      <c r="AZ544" s="3" t="s">
        <v>75</v>
      </c>
      <c r="BB544" s="3" t="s">
        <v>6977</v>
      </c>
      <c r="BC544" s="3" t="s">
        <v>6978</v>
      </c>
      <c r="BD544" s="3" t="s">
        <v>6979</v>
      </c>
    </row>
    <row r="545" spans="1:56" ht="48" customHeight="1" x14ac:dyDescent="0.25">
      <c r="A545" s="7" t="s">
        <v>59</v>
      </c>
      <c r="B545" s="2" t="s">
        <v>6980</v>
      </c>
      <c r="C545" s="2" t="s">
        <v>6981</v>
      </c>
      <c r="D545" s="2" t="s">
        <v>6982</v>
      </c>
      <c r="F545" s="3" t="s">
        <v>59</v>
      </c>
      <c r="G545" s="3" t="s">
        <v>60</v>
      </c>
      <c r="H545" s="3" t="s">
        <v>59</v>
      </c>
      <c r="I545" s="3" t="s">
        <v>59</v>
      </c>
      <c r="J545" s="3" t="s">
        <v>61</v>
      </c>
      <c r="K545" s="2" t="s">
        <v>6983</v>
      </c>
      <c r="L545" s="2" t="s">
        <v>6984</v>
      </c>
      <c r="M545" s="3" t="s">
        <v>129</v>
      </c>
      <c r="O545" s="3" t="s">
        <v>64</v>
      </c>
      <c r="P545" s="3" t="s">
        <v>115</v>
      </c>
      <c r="R545" s="3" t="s">
        <v>67</v>
      </c>
      <c r="S545" s="4">
        <v>3</v>
      </c>
      <c r="T545" s="4">
        <v>3</v>
      </c>
      <c r="U545" s="5" t="s">
        <v>6985</v>
      </c>
      <c r="V545" s="5" t="s">
        <v>6985</v>
      </c>
      <c r="W545" s="5" t="s">
        <v>207</v>
      </c>
      <c r="X545" s="5" t="s">
        <v>207</v>
      </c>
      <c r="Y545" s="4">
        <v>155</v>
      </c>
      <c r="Z545" s="4">
        <v>121</v>
      </c>
      <c r="AA545" s="4">
        <v>128</v>
      </c>
      <c r="AB545" s="4">
        <v>2</v>
      </c>
      <c r="AC545" s="4">
        <v>2</v>
      </c>
      <c r="AD545" s="4">
        <v>7</v>
      </c>
      <c r="AE545" s="4">
        <v>7</v>
      </c>
      <c r="AF545" s="4">
        <v>0</v>
      </c>
      <c r="AG545" s="4">
        <v>0</v>
      </c>
      <c r="AH545" s="4">
        <v>0</v>
      </c>
      <c r="AI545" s="4">
        <v>0</v>
      </c>
      <c r="AJ545" s="4">
        <v>1</v>
      </c>
      <c r="AK545" s="4">
        <v>1</v>
      </c>
      <c r="AL545" s="4">
        <v>1</v>
      </c>
      <c r="AM545" s="4">
        <v>1</v>
      </c>
      <c r="AN545" s="4">
        <v>5</v>
      </c>
      <c r="AO545" s="4">
        <v>5</v>
      </c>
      <c r="AP545" s="3" t="s">
        <v>59</v>
      </c>
      <c r="AQ545" s="3" t="s">
        <v>70</v>
      </c>
      <c r="AR545" s="6" t="str">
        <f>HYPERLINK("http://catalog.hathitrust.org/Record/005667371","HathiTrust Record")</f>
        <v>HathiTrust Record</v>
      </c>
      <c r="AS545" s="6" t="str">
        <f>HYPERLINK("https://creighton-primo.hosted.exlibrisgroup.com/primo-explore/search?tab=default_tab&amp;search_scope=EVERYTHING&amp;vid=01CRU&amp;lang=en_US&amp;offset=0&amp;query=any,contains,991002075689702656","Catalog Record")</f>
        <v>Catalog Record</v>
      </c>
      <c r="AT545" s="6" t="str">
        <f>HYPERLINK("http://www.worldcat.org/oclc/26611042","WorldCat Record")</f>
        <v>WorldCat Record</v>
      </c>
      <c r="AU545" s="3" t="s">
        <v>6986</v>
      </c>
      <c r="AV545" s="3" t="s">
        <v>6987</v>
      </c>
      <c r="AW545" s="3" t="s">
        <v>6988</v>
      </c>
      <c r="AX545" s="3" t="s">
        <v>6988</v>
      </c>
      <c r="AY545" s="3" t="s">
        <v>6989</v>
      </c>
      <c r="AZ545" s="3" t="s">
        <v>75</v>
      </c>
      <c r="BC545" s="3" t="s">
        <v>6990</v>
      </c>
      <c r="BD545" s="3" t="s">
        <v>6991</v>
      </c>
    </row>
    <row r="546" spans="1:56" ht="48" customHeight="1" x14ac:dyDescent="0.25">
      <c r="A546" s="7" t="s">
        <v>59</v>
      </c>
      <c r="B546" s="2" t="s">
        <v>6992</v>
      </c>
      <c r="C546" s="2" t="s">
        <v>6993</v>
      </c>
      <c r="D546" s="2" t="s">
        <v>6994</v>
      </c>
      <c r="F546" s="3" t="s">
        <v>59</v>
      </c>
      <c r="G546" s="3" t="s">
        <v>60</v>
      </c>
      <c r="H546" s="3" t="s">
        <v>59</v>
      </c>
      <c r="I546" s="3" t="s">
        <v>59</v>
      </c>
      <c r="J546" s="3" t="s">
        <v>61</v>
      </c>
      <c r="K546" s="2" t="s">
        <v>6995</v>
      </c>
      <c r="L546" s="2" t="s">
        <v>6996</v>
      </c>
      <c r="M546" s="3" t="s">
        <v>872</v>
      </c>
      <c r="O546" s="3" t="s">
        <v>64</v>
      </c>
      <c r="P546" s="3" t="s">
        <v>674</v>
      </c>
      <c r="R546" s="3" t="s">
        <v>67</v>
      </c>
      <c r="S546" s="4">
        <v>1</v>
      </c>
      <c r="T546" s="4">
        <v>1</v>
      </c>
      <c r="U546" s="5" t="s">
        <v>3593</v>
      </c>
      <c r="V546" s="5" t="s">
        <v>3593</v>
      </c>
      <c r="W546" s="5" t="s">
        <v>501</v>
      </c>
      <c r="X546" s="5" t="s">
        <v>501</v>
      </c>
      <c r="Y546" s="4">
        <v>370</v>
      </c>
      <c r="Z546" s="4">
        <v>316</v>
      </c>
      <c r="AA546" s="4">
        <v>323</v>
      </c>
      <c r="AB546" s="4">
        <v>2</v>
      </c>
      <c r="AC546" s="4">
        <v>2</v>
      </c>
      <c r="AD546" s="4">
        <v>11</v>
      </c>
      <c r="AE546" s="4">
        <v>11</v>
      </c>
      <c r="AF546" s="4">
        <v>2</v>
      </c>
      <c r="AG546" s="4">
        <v>2</v>
      </c>
      <c r="AH546" s="4">
        <v>4</v>
      </c>
      <c r="AI546" s="4">
        <v>4</v>
      </c>
      <c r="AJ546" s="4">
        <v>8</v>
      </c>
      <c r="AK546" s="4">
        <v>8</v>
      </c>
      <c r="AL546" s="4">
        <v>1</v>
      </c>
      <c r="AM546" s="4">
        <v>1</v>
      </c>
      <c r="AN546" s="4">
        <v>0</v>
      </c>
      <c r="AO546" s="4">
        <v>0</v>
      </c>
      <c r="AP546" s="3" t="s">
        <v>59</v>
      </c>
      <c r="AQ546" s="3" t="s">
        <v>70</v>
      </c>
      <c r="AR546" s="6" t="str">
        <f>HYPERLINK("http://catalog.hathitrust.org/Record/001555004","HathiTrust Record")</f>
        <v>HathiTrust Record</v>
      </c>
      <c r="AS546" s="6" t="str">
        <f>HYPERLINK("https://creighton-primo.hosted.exlibrisgroup.com/primo-explore/search?tab=default_tab&amp;search_scope=EVERYTHING&amp;vid=01CRU&amp;lang=en_US&amp;offset=0&amp;query=any,contains,991001899799702656","Catalog Record")</f>
        <v>Catalog Record</v>
      </c>
      <c r="AT546" s="6" t="str">
        <f>HYPERLINK("http://www.worldcat.org/oclc/239118","WorldCat Record")</f>
        <v>WorldCat Record</v>
      </c>
      <c r="AU546" s="3" t="s">
        <v>6997</v>
      </c>
      <c r="AV546" s="3" t="s">
        <v>6998</v>
      </c>
      <c r="AW546" s="3" t="s">
        <v>6999</v>
      </c>
      <c r="AX546" s="3" t="s">
        <v>6999</v>
      </c>
      <c r="AY546" s="3" t="s">
        <v>7000</v>
      </c>
      <c r="AZ546" s="3" t="s">
        <v>75</v>
      </c>
      <c r="BC546" s="3" t="s">
        <v>7001</v>
      </c>
      <c r="BD546" s="3" t="s">
        <v>7002</v>
      </c>
    </row>
    <row r="547" spans="1:56" ht="48" customHeight="1" x14ac:dyDescent="0.25">
      <c r="A547" s="7" t="s">
        <v>59</v>
      </c>
      <c r="B547" s="2" t="s">
        <v>7003</v>
      </c>
      <c r="C547" s="2" t="s">
        <v>7004</v>
      </c>
      <c r="D547" s="2" t="s">
        <v>7005</v>
      </c>
      <c r="F547" s="3" t="s">
        <v>59</v>
      </c>
      <c r="G547" s="3" t="s">
        <v>60</v>
      </c>
      <c r="H547" s="3" t="s">
        <v>59</v>
      </c>
      <c r="I547" s="3" t="s">
        <v>59</v>
      </c>
      <c r="J547" s="3" t="s">
        <v>61</v>
      </c>
      <c r="K547" s="2" t="s">
        <v>7006</v>
      </c>
      <c r="L547" s="2" t="s">
        <v>7007</v>
      </c>
      <c r="M547" s="3" t="s">
        <v>63</v>
      </c>
      <c r="O547" s="3" t="s">
        <v>64</v>
      </c>
      <c r="P547" s="3" t="s">
        <v>130</v>
      </c>
      <c r="R547" s="3" t="s">
        <v>67</v>
      </c>
      <c r="S547" s="4">
        <v>3</v>
      </c>
      <c r="T547" s="4">
        <v>3</v>
      </c>
      <c r="U547" s="5" t="s">
        <v>7008</v>
      </c>
      <c r="V547" s="5" t="s">
        <v>7008</v>
      </c>
      <c r="W547" s="5" t="s">
        <v>501</v>
      </c>
      <c r="X547" s="5" t="s">
        <v>501</v>
      </c>
      <c r="Y547" s="4">
        <v>357</v>
      </c>
      <c r="Z547" s="4">
        <v>268</v>
      </c>
      <c r="AA547" s="4">
        <v>290</v>
      </c>
      <c r="AB547" s="4">
        <v>3</v>
      </c>
      <c r="AC547" s="4">
        <v>3</v>
      </c>
      <c r="AD547" s="4">
        <v>8</v>
      </c>
      <c r="AE547" s="4">
        <v>9</v>
      </c>
      <c r="AF547" s="4">
        <v>2</v>
      </c>
      <c r="AG547" s="4">
        <v>3</v>
      </c>
      <c r="AH547" s="4">
        <v>2</v>
      </c>
      <c r="AI547" s="4">
        <v>2</v>
      </c>
      <c r="AJ547" s="4">
        <v>3</v>
      </c>
      <c r="AK547" s="4">
        <v>4</v>
      </c>
      <c r="AL547" s="4">
        <v>2</v>
      </c>
      <c r="AM547" s="4">
        <v>2</v>
      </c>
      <c r="AN547" s="4">
        <v>0</v>
      </c>
      <c r="AO547" s="4">
        <v>0</v>
      </c>
      <c r="AP547" s="3" t="s">
        <v>59</v>
      </c>
      <c r="AQ547" s="3" t="s">
        <v>70</v>
      </c>
      <c r="AR547" s="6" t="str">
        <f>HYPERLINK("http://catalog.hathitrust.org/Record/002063971","HathiTrust Record")</f>
        <v>HathiTrust Record</v>
      </c>
      <c r="AS547" s="6" t="str">
        <f>HYPERLINK("https://creighton-primo.hosted.exlibrisgroup.com/primo-explore/search?tab=default_tab&amp;search_scope=EVERYTHING&amp;vid=01CRU&amp;lang=en_US&amp;offset=0&amp;query=any,contains,991004254319702656","Catalog Record")</f>
        <v>Catalog Record</v>
      </c>
      <c r="AT547" s="6" t="str">
        <f>HYPERLINK("http://www.worldcat.org/oclc/2818690","WorldCat Record")</f>
        <v>WorldCat Record</v>
      </c>
      <c r="AU547" s="3" t="s">
        <v>7009</v>
      </c>
      <c r="AV547" s="3" t="s">
        <v>7010</v>
      </c>
      <c r="AW547" s="3" t="s">
        <v>7011</v>
      </c>
      <c r="AX547" s="3" t="s">
        <v>7011</v>
      </c>
      <c r="AY547" s="3" t="s">
        <v>7012</v>
      </c>
      <c r="AZ547" s="3" t="s">
        <v>75</v>
      </c>
      <c r="BB547" s="3" t="s">
        <v>7013</v>
      </c>
      <c r="BC547" s="3" t="s">
        <v>7014</v>
      </c>
      <c r="BD547" s="3" t="s">
        <v>7015</v>
      </c>
    </row>
    <row r="548" spans="1:56" ht="48" customHeight="1" x14ac:dyDescent="0.25">
      <c r="A548" s="7" t="s">
        <v>59</v>
      </c>
      <c r="B548" s="2" t="s">
        <v>7016</v>
      </c>
      <c r="C548" s="2" t="s">
        <v>7017</v>
      </c>
      <c r="D548" s="2" t="s">
        <v>7018</v>
      </c>
      <c r="F548" s="3" t="s">
        <v>59</v>
      </c>
      <c r="G548" s="3" t="s">
        <v>60</v>
      </c>
      <c r="H548" s="3" t="s">
        <v>59</v>
      </c>
      <c r="I548" s="3" t="s">
        <v>59</v>
      </c>
      <c r="J548" s="3" t="s">
        <v>61</v>
      </c>
      <c r="K548" s="2" t="s">
        <v>7019</v>
      </c>
      <c r="L548" s="2" t="s">
        <v>7020</v>
      </c>
      <c r="M548" s="3" t="s">
        <v>1338</v>
      </c>
      <c r="N548" s="2" t="s">
        <v>5678</v>
      </c>
      <c r="O548" s="3" t="s">
        <v>64</v>
      </c>
      <c r="P548" s="3" t="s">
        <v>84</v>
      </c>
      <c r="Q548" s="2" t="s">
        <v>7021</v>
      </c>
      <c r="R548" s="3" t="s">
        <v>67</v>
      </c>
      <c r="S548" s="4">
        <v>2</v>
      </c>
      <c r="T548" s="4">
        <v>2</v>
      </c>
      <c r="U548" s="5" t="s">
        <v>7022</v>
      </c>
      <c r="V548" s="5" t="s">
        <v>7022</v>
      </c>
      <c r="W548" s="5" t="s">
        <v>7023</v>
      </c>
      <c r="X548" s="5" t="s">
        <v>7023</v>
      </c>
      <c r="Y548" s="4">
        <v>232</v>
      </c>
      <c r="Z548" s="4">
        <v>184</v>
      </c>
      <c r="AA548" s="4">
        <v>242</v>
      </c>
      <c r="AB548" s="4">
        <v>2</v>
      </c>
      <c r="AC548" s="4">
        <v>3</v>
      </c>
      <c r="AD548" s="4">
        <v>6</v>
      </c>
      <c r="AE548" s="4">
        <v>9</v>
      </c>
      <c r="AF548" s="4">
        <v>1</v>
      </c>
      <c r="AG548" s="4">
        <v>2</v>
      </c>
      <c r="AH548" s="4">
        <v>3</v>
      </c>
      <c r="AI548" s="4">
        <v>4</v>
      </c>
      <c r="AJ548" s="4">
        <v>3</v>
      </c>
      <c r="AK548" s="4">
        <v>3</v>
      </c>
      <c r="AL548" s="4">
        <v>1</v>
      </c>
      <c r="AM548" s="4">
        <v>2</v>
      </c>
      <c r="AN548" s="4">
        <v>0</v>
      </c>
      <c r="AO548" s="4">
        <v>0</v>
      </c>
      <c r="AP548" s="3" t="s">
        <v>59</v>
      </c>
      <c r="AQ548" s="3" t="s">
        <v>70</v>
      </c>
      <c r="AR548" s="6" t="str">
        <f>HYPERLINK("http://catalog.hathitrust.org/Record/009173652","HathiTrust Record")</f>
        <v>HathiTrust Record</v>
      </c>
      <c r="AS548" s="6" t="str">
        <f>HYPERLINK("https://creighton-primo.hosted.exlibrisgroup.com/primo-explore/search?tab=default_tab&amp;search_scope=EVERYTHING&amp;vid=01CRU&amp;lang=en_US&amp;offset=0&amp;query=any,contains,991002999409702656","Catalog Record")</f>
        <v>Catalog Record</v>
      </c>
      <c r="AT548" s="6" t="str">
        <f>HYPERLINK("http://www.worldcat.org/oclc/567583","WorldCat Record")</f>
        <v>WorldCat Record</v>
      </c>
      <c r="AU548" s="3" t="s">
        <v>7024</v>
      </c>
      <c r="AV548" s="3" t="s">
        <v>7025</v>
      </c>
      <c r="AW548" s="3" t="s">
        <v>7026</v>
      </c>
      <c r="AX548" s="3" t="s">
        <v>7026</v>
      </c>
      <c r="AY548" s="3" t="s">
        <v>7027</v>
      </c>
      <c r="AZ548" s="3" t="s">
        <v>75</v>
      </c>
      <c r="BC548" s="3" t="s">
        <v>7028</v>
      </c>
      <c r="BD548" s="3" t="s">
        <v>7029</v>
      </c>
    </row>
    <row r="549" spans="1:56" ht="48" customHeight="1" x14ac:dyDescent="0.25">
      <c r="A549" s="7" t="s">
        <v>59</v>
      </c>
      <c r="B549" s="2" t="s">
        <v>7030</v>
      </c>
      <c r="C549" s="2" t="s">
        <v>7031</v>
      </c>
      <c r="D549" s="2" t="s">
        <v>7032</v>
      </c>
      <c r="F549" s="3" t="s">
        <v>59</v>
      </c>
      <c r="G549" s="3" t="s">
        <v>60</v>
      </c>
      <c r="H549" s="3" t="s">
        <v>59</v>
      </c>
      <c r="I549" s="3" t="s">
        <v>59</v>
      </c>
      <c r="J549" s="3" t="s">
        <v>61</v>
      </c>
      <c r="K549" s="2" t="s">
        <v>7033</v>
      </c>
      <c r="L549" s="2" t="s">
        <v>7034</v>
      </c>
      <c r="M549" s="3" t="s">
        <v>500</v>
      </c>
      <c r="O549" s="3" t="s">
        <v>64</v>
      </c>
      <c r="P549" s="3" t="s">
        <v>84</v>
      </c>
      <c r="R549" s="3" t="s">
        <v>67</v>
      </c>
      <c r="S549" s="4">
        <v>1</v>
      </c>
      <c r="T549" s="4">
        <v>1</v>
      </c>
      <c r="U549" s="5" t="s">
        <v>7022</v>
      </c>
      <c r="V549" s="5" t="s">
        <v>7022</v>
      </c>
      <c r="W549" s="5" t="s">
        <v>7035</v>
      </c>
      <c r="X549" s="5" t="s">
        <v>7035</v>
      </c>
      <c r="Y549" s="4">
        <v>356</v>
      </c>
      <c r="Z549" s="4">
        <v>252</v>
      </c>
      <c r="AA549" s="4">
        <v>308</v>
      </c>
      <c r="AB549" s="4">
        <v>3</v>
      </c>
      <c r="AC549" s="4">
        <v>3</v>
      </c>
      <c r="AD549" s="4">
        <v>6</v>
      </c>
      <c r="AE549" s="4">
        <v>6</v>
      </c>
      <c r="AF549" s="4">
        <v>2</v>
      </c>
      <c r="AG549" s="4">
        <v>2</v>
      </c>
      <c r="AH549" s="4">
        <v>0</v>
      </c>
      <c r="AI549" s="4">
        <v>0</v>
      </c>
      <c r="AJ549" s="4">
        <v>3</v>
      </c>
      <c r="AK549" s="4">
        <v>3</v>
      </c>
      <c r="AL549" s="4">
        <v>1</v>
      </c>
      <c r="AM549" s="4">
        <v>1</v>
      </c>
      <c r="AN549" s="4">
        <v>0</v>
      </c>
      <c r="AO549" s="4">
        <v>0</v>
      </c>
      <c r="AP549" s="3" t="s">
        <v>59</v>
      </c>
      <c r="AQ549" s="3" t="s">
        <v>70</v>
      </c>
      <c r="AR549" s="6" t="str">
        <f>HYPERLINK("http://catalog.hathitrust.org/Record/001555010","HathiTrust Record")</f>
        <v>HathiTrust Record</v>
      </c>
      <c r="AS549" s="6" t="str">
        <f>HYPERLINK("https://creighton-primo.hosted.exlibrisgroup.com/primo-explore/search?tab=default_tab&amp;search_scope=EVERYTHING&amp;vid=01CRU&amp;lang=en_US&amp;offset=0&amp;query=any,contains,991005264699702656","Catalog Record")</f>
        <v>Catalog Record</v>
      </c>
      <c r="AT549" s="6" t="str">
        <f>HYPERLINK("http://www.worldcat.org/oclc/113207","WorldCat Record")</f>
        <v>WorldCat Record</v>
      </c>
      <c r="AU549" s="3" t="s">
        <v>7036</v>
      </c>
      <c r="AV549" s="3" t="s">
        <v>7037</v>
      </c>
      <c r="AW549" s="3" t="s">
        <v>7038</v>
      </c>
      <c r="AX549" s="3" t="s">
        <v>7038</v>
      </c>
      <c r="AY549" s="3" t="s">
        <v>7039</v>
      </c>
      <c r="AZ549" s="3" t="s">
        <v>75</v>
      </c>
      <c r="BB549" s="3" t="s">
        <v>7040</v>
      </c>
      <c r="BC549" s="3" t="s">
        <v>7041</v>
      </c>
      <c r="BD549" s="3" t="s">
        <v>7042</v>
      </c>
    </row>
    <row r="550" spans="1:56" ht="48" customHeight="1" x14ac:dyDescent="0.25">
      <c r="A550" s="7" t="s">
        <v>59</v>
      </c>
      <c r="B550" s="2" t="s">
        <v>7043</v>
      </c>
      <c r="C550" s="2" t="s">
        <v>7044</v>
      </c>
      <c r="D550" s="2" t="s">
        <v>7045</v>
      </c>
      <c r="F550" s="3" t="s">
        <v>59</v>
      </c>
      <c r="G550" s="3" t="s">
        <v>60</v>
      </c>
      <c r="H550" s="3" t="s">
        <v>59</v>
      </c>
      <c r="I550" s="3" t="s">
        <v>59</v>
      </c>
      <c r="J550" s="3" t="s">
        <v>61</v>
      </c>
      <c r="K550" s="2" t="s">
        <v>7046</v>
      </c>
      <c r="L550" s="2" t="s">
        <v>6810</v>
      </c>
      <c r="M550" s="3" t="s">
        <v>500</v>
      </c>
      <c r="O550" s="3" t="s">
        <v>64</v>
      </c>
      <c r="P550" s="3" t="s">
        <v>674</v>
      </c>
      <c r="Q550" s="2" t="s">
        <v>7047</v>
      </c>
      <c r="R550" s="3" t="s">
        <v>67</v>
      </c>
      <c r="S550" s="4">
        <v>2</v>
      </c>
      <c r="T550" s="4">
        <v>2</v>
      </c>
      <c r="U550" s="5" t="s">
        <v>7022</v>
      </c>
      <c r="V550" s="5" t="s">
        <v>7022</v>
      </c>
      <c r="W550" s="5" t="s">
        <v>3767</v>
      </c>
      <c r="X550" s="5" t="s">
        <v>3767</v>
      </c>
      <c r="Y550" s="4">
        <v>428</v>
      </c>
      <c r="Z550" s="4">
        <v>356</v>
      </c>
      <c r="AA550" s="4">
        <v>362</v>
      </c>
      <c r="AB550" s="4">
        <v>5</v>
      </c>
      <c r="AC550" s="4">
        <v>5</v>
      </c>
      <c r="AD550" s="4">
        <v>12</v>
      </c>
      <c r="AE550" s="4">
        <v>12</v>
      </c>
      <c r="AF550" s="4">
        <v>4</v>
      </c>
      <c r="AG550" s="4">
        <v>4</v>
      </c>
      <c r="AH550" s="4">
        <v>1</v>
      </c>
      <c r="AI550" s="4">
        <v>1</v>
      </c>
      <c r="AJ550" s="4">
        <v>7</v>
      </c>
      <c r="AK550" s="4">
        <v>7</v>
      </c>
      <c r="AL550" s="4">
        <v>4</v>
      </c>
      <c r="AM550" s="4">
        <v>4</v>
      </c>
      <c r="AN550" s="4">
        <v>0</v>
      </c>
      <c r="AO550" s="4">
        <v>0</v>
      </c>
      <c r="AP550" s="3" t="s">
        <v>59</v>
      </c>
      <c r="AQ550" s="3" t="s">
        <v>70</v>
      </c>
      <c r="AR550" s="6" t="str">
        <f>HYPERLINK("http://catalog.hathitrust.org/Record/000866815","HathiTrust Record")</f>
        <v>HathiTrust Record</v>
      </c>
      <c r="AS550" s="6" t="str">
        <f>HYPERLINK("https://creighton-primo.hosted.exlibrisgroup.com/primo-explore/search?tab=default_tab&amp;search_scope=EVERYTHING&amp;vid=01CRU&amp;lang=en_US&amp;offset=0&amp;query=any,contains,991000586399702656","Catalog Record")</f>
        <v>Catalog Record</v>
      </c>
      <c r="AT550" s="6" t="str">
        <f>HYPERLINK("http://www.worldcat.org/oclc/96117","WorldCat Record")</f>
        <v>WorldCat Record</v>
      </c>
      <c r="AU550" s="3" t="s">
        <v>7048</v>
      </c>
      <c r="AV550" s="3" t="s">
        <v>7049</v>
      </c>
      <c r="AW550" s="3" t="s">
        <v>7050</v>
      </c>
      <c r="AX550" s="3" t="s">
        <v>7050</v>
      </c>
      <c r="AY550" s="3" t="s">
        <v>7051</v>
      </c>
      <c r="AZ550" s="3" t="s">
        <v>75</v>
      </c>
      <c r="BC550" s="3" t="s">
        <v>7052</v>
      </c>
      <c r="BD550" s="3" t="s">
        <v>7053</v>
      </c>
    </row>
    <row r="551" spans="1:56" ht="48" customHeight="1" x14ac:dyDescent="0.25">
      <c r="A551" s="7" t="s">
        <v>59</v>
      </c>
      <c r="B551" s="2" t="s">
        <v>7054</v>
      </c>
      <c r="C551" s="2" t="s">
        <v>7055</v>
      </c>
      <c r="D551" s="2" t="s">
        <v>7056</v>
      </c>
      <c r="F551" s="3" t="s">
        <v>59</v>
      </c>
      <c r="G551" s="3" t="s">
        <v>60</v>
      </c>
      <c r="H551" s="3" t="s">
        <v>59</v>
      </c>
      <c r="I551" s="3" t="s">
        <v>59</v>
      </c>
      <c r="J551" s="3" t="s">
        <v>61</v>
      </c>
      <c r="K551" s="2" t="s">
        <v>6847</v>
      </c>
      <c r="L551" s="2" t="s">
        <v>7057</v>
      </c>
      <c r="M551" s="3" t="s">
        <v>549</v>
      </c>
      <c r="O551" s="3" t="s">
        <v>64</v>
      </c>
      <c r="P551" s="3" t="s">
        <v>84</v>
      </c>
      <c r="R551" s="3" t="s">
        <v>67</v>
      </c>
      <c r="S551" s="4">
        <v>2</v>
      </c>
      <c r="T551" s="4">
        <v>2</v>
      </c>
      <c r="U551" s="5" t="s">
        <v>7022</v>
      </c>
      <c r="V551" s="5" t="s">
        <v>7022</v>
      </c>
      <c r="W551" s="5" t="s">
        <v>501</v>
      </c>
      <c r="X551" s="5" t="s">
        <v>501</v>
      </c>
      <c r="Y551" s="4">
        <v>509</v>
      </c>
      <c r="Z551" s="4">
        <v>415</v>
      </c>
      <c r="AA551" s="4">
        <v>422</v>
      </c>
      <c r="AB551" s="4">
        <v>4</v>
      </c>
      <c r="AC551" s="4">
        <v>4</v>
      </c>
      <c r="AD551" s="4">
        <v>14</v>
      </c>
      <c r="AE551" s="4">
        <v>14</v>
      </c>
      <c r="AF551" s="4">
        <v>5</v>
      </c>
      <c r="AG551" s="4">
        <v>5</v>
      </c>
      <c r="AH551" s="4">
        <v>4</v>
      </c>
      <c r="AI551" s="4">
        <v>4</v>
      </c>
      <c r="AJ551" s="4">
        <v>6</v>
      </c>
      <c r="AK551" s="4">
        <v>6</v>
      </c>
      <c r="AL551" s="4">
        <v>3</v>
      </c>
      <c r="AM551" s="4">
        <v>3</v>
      </c>
      <c r="AN551" s="4">
        <v>0</v>
      </c>
      <c r="AO551" s="4">
        <v>0</v>
      </c>
      <c r="AP551" s="3" t="s">
        <v>59</v>
      </c>
      <c r="AQ551" s="3" t="s">
        <v>70</v>
      </c>
      <c r="AR551" s="6" t="str">
        <f>HYPERLINK("http://catalog.hathitrust.org/Record/004418958","HathiTrust Record")</f>
        <v>HathiTrust Record</v>
      </c>
      <c r="AS551" s="6" t="str">
        <f>HYPERLINK("https://creighton-primo.hosted.exlibrisgroup.com/primo-explore/search?tab=default_tab&amp;search_scope=EVERYTHING&amp;vid=01CRU&amp;lang=en_US&amp;offset=0&amp;query=any,contains,991004210819702656","Catalog Record")</f>
        <v>Catalog Record</v>
      </c>
      <c r="AT551" s="6" t="str">
        <f>HYPERLINK("http://www.worldcat.org/oclc/2681251","WorldCat Record")</f>
        <v>WorldCat Record</v>
      </c>
      <c r="AU551" s="3" t="s">
        <v>7058</v>
      </c>
      <c r="AV551" s="3" t="s">
        <v>7059</v>
      </c>
      <c r="AW551" s="3" t="s">
        <v>7060</v>
      </c>
      <c r="AX551" s="3" t="s">
        <v>7060</v>
      </c>
      <c r="AY551" s="3" t="s">
        <v>7061</v>
      </c>
      <c r="AZ551" s="3" t="s">
        <v>75</v>
      </c>
      <c r="BB551" s="3" t="s">
        <v>7062</v>
      </c>
      <c r="BC551" s="3" t="s">
        <v>7063</v>
      </c>
      <c r="BD551" s="3" t="s">
        <v>7064</v>
      </c>
    </row>
    <row r="552" spans="1:56" ht="48" customHeight="1" x14ac:dyDescent="0.25">
      <c r="A552" s="7" t="s">
        <v>59</v>
      </c>
      <c r="B552" s="2" t="s">
        <v>7065</v>
      </c>
      <c r="C552" s="2" t="s">
        <v>7066</v>
      </c>
      <c r="D552" s="2" t="s">
        <v>7067</v>
      </c>
      <c r="F552" s="3" t="s">
        <v>59</v>
      </c>
      <c r="G552" s="3" t="s">
        <v>60</v>
      </c>
      <c r="H552" s="3" t="s">
        <v>59</v>
      </c>
      <c r="I552" s="3" t="s">
        <v>59</v>
      </c>
      <c r="J552" s="3" t="s">
        <v>61</v>
      </c>
      <c r="K552" s="2" t="s">
        <v>7068</v>
      </c>
      <c r="L552" s="2" t="s">
        <v>7069</v>
      </c>
      <c r="M552" s="3" t="s">
        <v>872</v>
      </c>
      <c r="O552" s="3" t="s">
        <v>64</v>
      </c>
      <c r="P552" s="3" t="s">
        <v>130</v>
      </c>
      <c r="R552" s="3" t="s">
        <v>67</v>
      </c>
      <c r="S552" s="4">
        <v>1</v>
      </c>
      <c r="T552" s="4">
        <v>1</v>
      </c>
      <c r="U552" s="5" t="s">
        <v>7070</v>
      </c>
      <c r="V552" s="5" t="s">
        <v>7070</v>
      </c>
      <c r="W552" s="5" t="s">
        <v>501</v>
      </c>
      <c r="X552" s="5" t="s">
        <v>501</v>
      </c>
      <c r="Y552" s="4">
        <v>249</v>
      </c>
      <c r="Z552" s="4">
        <v>225</v>
      </c>
      <c r="AA552" s="4">
        <v>273</v>
      </c>
      <c r="AB552" s="4">
        <v>3</v>
      </c>
      <c r="AC552" s="4">
        <v>3</v>
      </c>
      <c r="AD552" s="4">
        <v>10</v>
      </c>
      <c r="AE552" s="4">
        <v>15</v>
      </c>
      <c r="AF552" s="4">
        <v>4</v>
      </c>
      <c r="AG552" s="4">
        <v>6</v>
      </c>
      <c r="AH552" s="4">
        <v>2</v>
      </c>
      <c r="AI552" s="4">
        <v>3</v>
      </c>
      <c r="AJ552" s="4">
        <v>4</v>
      </c>
      <c r="AK552" s="4">
        <v>7</v>
      </c>
      <c r="AL552" s="4">
        <v>2</v>
      </c>
      <c r="AM552" s="4">
        <v>2</v>
      </c>
      <c r="AN552" s="4">
        <v>0</v>
      </c>
      <c r="AO552" s="4">
        <v>0</v>
      </c>
      <c r="AP552" s="3" t="s">
        <v>59</v>
      </c>
      <c r="AQ552" s="3" t="s">
        <v>59</v>
      </c>
      <c r="AS552" s="6" t="str">
        <f>HYPERLINK("https://creighton-primo.hosted.exlibrisgroup.com/primo-explore/search?tab=default_tab&amp;search_scope=EVERYTHING&amp;vid=01CRU&amp;lang=en_US&amp;offset=0&amp;query=any,contains,991002549219702656","Catalog Record")</f>
        <v>Catalog Record</v>
      </c>
      <c r="AT552" s="6" t="str">
        <f>HYPERLINK("http://www.worldcat.org/oclc/369203","WorldCat Record")</f>
        <v>WorldCat Record</v>
      </c>
      <c r="AU552" s="3" t="s">
        <v>7071</v>
      </c>
      <c r="AV552" s="3" t="s">
        <v>7072</v>
      </c>
      <c r="AW552" s="3" t="s">
        <v>7073</v>
      </c>
      <c r="AX552" s="3" t="s">
        <v>7073</v>
      </c>
      <c r="AY552" s="3" t="s">
        <v>7074</v>
      </c>
      <c r="AZ552" s="3" t="s">
        <v>75</v>
      </c>
      <c r="BC552" s="3" t="s">
        <v>7075</v>
      </c>
      <c r="BD552" s="3" t="s">
        <v>7076</v>
      </c>
    </row>
    <row r="553" spans="1:56" ht="48" customHeight="1" x14ac:dyDescent="0.25">
      <c r="A553" s="7" t="s">
        <v>59</v>
      </c>
      <c r="B553" s="2" t="s">
        <v>7077</v>
      </c>
      <c r="C553" s="2" t="s">
        <v>7078</v>
      </c>
      <c r="D553" s="2" t="s">
        <v>7079</v>
      </c>
      <c r="F553" s="3" t="s">
        <v>59</v>
      </c>
      <c r="G553" s="3" t="s">
        <v>60</v>
      </c>
      <c r="H553" s="3" t="s">
        <v>59</v>
      </c>
      <c r="I553" s="3" t="s">
        <v>59</v>
      </c>
      <c r="J553" s="3" t="s">
        <v>61</v>
      </c>
      <c r="K553" s="2" t="s">
        <v>7080</v>
      </c>
      <c r="L553" s="2" t="s">
        <v>7081</v>
      </c>
      <c r="M553" s="3" t="s">
        <v>872</v>
      </c>
      <c r="O553" s="3" t="s">
        <v>64</v>
      </c>
      <c r="P553" s="3" t="s">
        <v>1201</v>
      </c>
      <c r="R553" s="3" t="s">
        <v>67</v>
      </c>
      <c r="S553" s="4">
        <v>1</v>
      </c>
      <c r="T553" s="4">
        <v>1</v>
      </c>
      <c r="U553" s="5" t="s">
        <v>7070</v>
      </c>
      <c r="V553" s="5" t="s">
        <v>7070</v>
      </c>
      <c r="W553" s="5" t="s">
        <v>7082</v>
      </c>
      <c r="X553" s="5" t="s">
        <v>7082</v>
      </c>
      <c r="Y553" s="4">
        <v>282</v>
      </c>
      <c r="Z553" s="4">
        <v>193</v>
      </c>
      <c r="AA553" s="4">
        <v>216</v>
      </c>
      <c r="AB553" s="4">
        <v>3</v>
      </c>
      <c r="AC553" s="4">
        <v>3</v>
      </c>
      <c r="AD553" s="4">
        <v>6</v>
      </c>
      <c r="AE553" s="4">
        <v>7</v>
      </c>
      <c r="AF553" s="4">
        <v>0</v>
      </c>
      <c r="AG553" s="4">
        <v>1</v>
      </c>
      <c r="AH553" s="4">
        <v>2</v>
      </c>
      <c r="AI553" s="4">
        <v>2</v>
      </c>
      <c r="AJ553" s="4">
        <v>3</v>
      </c>
      <c r="AK553" s="4">
        <v>4</v>
      </c>
      <c r="AL553" s="4">
        <v>2</v>
      </c>
      <c r="AM553" s="4">
        <v>2</v>
      </c>
      <c r="AN553" s="4">
        <v>0</v>
      </c>
      <c r="AO553" s="4">
        <v>0</v>
      </c>
      <c r="AP553" s="3" t="s">
        <v>59</v>
      </c>
      <c r="AQ553" s="3" t="s">
        <v>70</v>
      </c>
      <c r="AR553" s="6" t="str">
        <f>HYPERLINK("http://catalog.hathitrust.org/Record/001555015","HathiTrust Record")</f>
        <v>HathiTrust Record</v>
      </c>
      <c r="AS553" s="6" t="str">
        <f>HYPERLINK("https://creighton-primo.hosted.exlibrisgroup.com/primo-explore/search?tab=default_tab&amp;search_scope=EVERYTHING&amp;vid=01CRU&amp;lang=en_US&amp;offset=0&amp;query=any,contains,991002802749702656","Catalog Record")</f>
        <v>Catalog Record</v>
      </c>
      <c r="AT553" s="6" t="str">
        <f>HYPERLINK("http://www.worldcat.org/oclc/448292","WorldCat Record")</f>
        <v>WorldCat Record</v>
      </c>
      <c r="AU553" s="3" t="s">
        <v>7083</v>
      </c>
      <c r="AV553" s="3" t="s">
        <v>7084</v>
      </c>
      <c r="AW553" s="3" t="s">
        <v>7085</v>
      </c>
      <c r="AX553" s="3" t="s">
        <v>7085</v>
      </c>
      <c r="AY553" s="3" t="s">
        <v>7086</v>
      </c>
      <c r="AZ553" s="3" t="s">
        <v>75</v>
      </c>
      <c r="BC553" s="3" t="s">
        <v>7087</v>
      </c>
      <c r="BD553" s="3" t="s">
        <v>7088</v>
      </c>
    </row>
    <row r="554" spans="1:56" ht="48" customHeight="1" x14ac:dyDescent="0.25">
      <c r="A554" s="7" t="s">
        <v>59</v>
      </c>
      <c r="B554" s="2" t="s">
        <v>7089</v>
      </c>
      <c r="C554" s="2" t="s">
        <v>7090</v>
      </c>
      <c r="D554" s="2" t="s">
        <v>7091</v>
      </c>
      <c r="F554" s="3" t="s">
        <v>59</v>
      </c>
      <c r="G554" s="3" t="s">
        <v>60</v>
      </c>
      <c r="H554" s="3" t="s">
        <v>59</v>
      </c>
      <c r="I554" s="3" t="s">
        <v>59</v>
      </c>
      <c r="J554" s="3" t="s">
        <v>61</v>
      </c>
      <c r="K554" s="2" t="s">
        <v>7092</v>
      </c>
      <c r="L554" s="2" t="s">
        <v>7093</v>
      </c>
      <c r="M554" s="3" t="s">
        <v>471</v>
      </c>
      <c r="O554" s="3" t="s">
        <v>64</v>
      </c>
      <c r="P554" s="3" t="s">
        <v>1201</v>
      </c>
      <c r="Q554" s="2" t="s">
        <v>7094</v>
      </c>
      <c r="R554" s="3" t="s">
        <v>67</v>
      </c>
      <c r="S554" s="4">
        <v>2</v>
      </c>
      <c r="T554" s="4">
        <v>2</v>
      </c>
      <c r="U554" s="5" t="s">
        <v>7095</v>
      </c>
      <c r="V554" s="5" t="s">
        <v>7095</v>
      </c>
      <c r="W554" s="5" t="s">
        <v>501</v>
      </c>
      <c r="X554" s="5" t="s">
        <v>501</v>
      </c>
      <c r="Y554" s="4">
        <v>224</v>
      </c>
      <c r="Z554" s="4">
        <v>164</v>
      </c>
      <c r="AA554" s="4">
        <v>186</v>
      </c>
      <c r="AB554" s="4">
        <v>3</v>
      </c>
      <c r="AC554" s="4">
        <v>3</v>
      </c>
      <c r="AD554" s="4">
        <v>9</v>
      </c>
      <c r="AE554" s="4">
        <v>10</v>
      </c>
      <c r="AF554" s="4">
        <v>3</v>
      </c>
      <c r="AG554" s="4">
        <v>4</v>
      </c>
      <c r="AH554" s="4">
        <v>3</v>
      </c>
      <c r="AI554" s="4">
        <v>3</v>
      </c>
      <c r="AJ554" s="4">
        <v>3</v>
      </c>
      <c r="AK554" s="4">
        <v>4</v>
      </c>
      <c r="AL554" s="4">
        <v>1</v>
      </c>
      <c r="AM554" s="4">
        <v>1</v>
      </c>
      <c r="AN554" s="4">
        <v>0</v>
      </c>
      <c r="AO554" s="4">
        <v>0</v>
      </c>
      <c r="AP554" s="3" t="s">
        <v>59</v>
      </c>
      <c r="AQ554" s="3" t="s">
        <v>70</v>
      </c>
      <c r="AR554" s="6" t="str">
        <f>HYPERLINK("http://catalog.hathitrust.org/Record/006257909","HathiTrust Record")</f>
        <v>HathiTrust Record</v>
      </c>
      <c r="AS554" s="6" t="str">
        <f>HYPERLINK("https://creighton-primo.hosted.exlibrisgroup.com/primo-explore/search?tab=default_tab&amp;search_scope=EVERYTHING&amp;vid=01CRU&amp;lang=en_US&amp;offset=0&amp;query=any,contains,991003409819702656","Catalog Record")</f>
        <v>Catalog Record</v>
      </c>
      <c r="AT554" s="6" t="str">
        <f>HYPERLINK("http://www.worldcat.org/oclc/948107","WorldCat Record")</f>
        <v>WorldCat Record</v>
      </c>
      <c r="AU554" s="3" t="s">
        <v>7096</v>
      </c>
      <c r="AV554" s="3" t="s">
        <v>7097</v>
      </c>
      <c r="AW554" s="3" t="s">
        <v>7098</v>
      </c>
      <c r="AX554" s="3" t="s">
        <v>7098</v>
      </c>
      <c r="AY554" s="3" t="s">
        <v>7099</v>
      </c>
      <c r="AZ554" s="3" t="s">
        <v>75</v>
      </c>
      <c r="BB554" s="3" t="s">
        <v>7100</v>
      </c>
      <c r="BC554" s="3" t="s">
        <v>7101</v>
      </c>
      <c r="BD554" s="3" t="s">
        <v>7102</v>
      </c>
    </row>
    <row r="555" spans="1:56" ht="48" customHeight="1" x14ac:dyDescent="0.25">
      <c r="A555" s="7" t="s">
        <v>59</v>
      </c>
      <c r="B555" s="2" t="s">
        <v>7103</v>
      </c>
      <c r="C555" s="2" t="s">
        <v>7104</v>
      </c>
      <c r="D555" s="2" t="s">
        <v>7105</v>
      </c>
      <c r="F555" s="3" t="s">
        <v>59</v>
      </c>
      <c r="G555" s="3" t="s">
        <v>60</v>
      </c>
      <c r="H555" s="3" t="s">
        <v>59</v>
      </c>
      <c r="I555" s="3" t="s">
        <v>59</v>
      </c>
      <c r="J555" s="3" t="s">
        <v>61</v>
      </c>
      <c r="L555" s="2" t="s">
        <v>7106</v>
      </c>
      <c r="M555" s="3" t="s">
        <v>417</v>
      </c>
      <c r="O555" s="3" t="s">
        <v>64</v>
      </c>
      <c r="P555" s="3" t="s">
        <v>84</v>
      </c>
      <c r="R555" s="3" t="s">
        <v>67</v>
      </c>
      <c r="S555" s="4">
        <v>4</v>
      </c>
      <c r="T555" s="4">
        <v>4</v>
      </c>
      <c r="U555" s="5" t="s">
        <v>7107</v>
      </c>
      <c r="V555" s="5" t="s">
        <v>7107</v>
      </c>
      <c r="W555" s="5" t="s">
        <v>6862</v>
      </c>
      <c r="X555" s="5" t="s">
        <v>6862</v>
      </c>
      <c r="Y555" s="4">
        <v>390</v>
      </c>
      <c r="Z555" s="4">
        <v>293</v>
      </c>
      <c r="AA555" s="4">
        <v>295</v>
      </c>
      <c r="AB555" s="4">
        <v>1</v>
      </c>
      <c r="AC555" s="4">
        <v>1</v>
      </c>
      <c r="AD555" s="4">
        <v>7</v>
      </c>
      <c r="AE555" s="4">
        <v>7</v>
      </c>
      <c r="AF555" s="4">
        <v>5</v>
      </c>
      <c r="AG555" s="4">
        <v>5</v>
      </c>
      <c r="AH555" s="4">
        <v>2</v>
      </c>
      <c r="AI555" s="4">
        <v>2</v>
      </c>
      <c r="AJ555" s="4">
        <v>2</v>
      </c>
      <c r="AK555" s="4">
        <v>2</v>
      </c>
      <c r="AL555" s="4">
        <v>0</v>
      </c>
      <c r="AM555" s="4">
        <v>0</v>
      </c>
      <c r="AN555" s="4">
        <v>0</v>
      </c>
      <c r="AO555" s="4">
        <v>0</v>
      </c>
      <c r="AP555" s="3" t="s">
        <v>59</v>
      </c>
      <c r="AQ555" s="3" t="s">
        <v>70</v>
      </c>
      <c r="AR555" s="6" t="str">
        <f>HYPERLINK("http://catalog.hathitrust.org/Record/000314563","HathiTrust Record")</f>
        <v>HathiTrust Record</v>
      </c>
      <c r="AS555" s="6" t="str">
        <f>HYPERLINK("https://creighton-primo.hosted.exlibrisgroup.com/primo-explore/search?tab=default_tab&amp;search_scope=EVERYTHING&amp;vid=01CRU&amp;lang=en_US&amp;offset=0&amp;query=any,contains,991000270899702656","Catalog Record")</f>
        <v>Catalog Record</v>
      </c>
      <c r="AT555" s="6" t="str">
        <f>HYPERLINK("http://www.worldcat.org/oclc/9854193","WorldCat Record")</f>
        <v>WorldCat Record</v>
      </c>
      <c r="AU555" s="3" t="s">
        <v>7108</v>
      </c>
      <c r="AV555" s="3" t="s">
        <v>7109</v>
      </c>
      <c r="AW555" s="3" t="s">
        <v>7110</v>
      </c>
      <c r="AX555" s="3" t="s">
        <v>7110</v>
      </c>
      <c r="AY555" s="3" t="s">
        <v>7111</v>
      </c>
      <c r="AZ555" s="3" t="s">
        <v>75</v>
      </c>
      <c r="BB555" s="3" t="s">
        <v>7112</v>
      </c>
      <c r="BC555" s="3" t="s">
        <v>7113</v>
      </c>
      <c r="BD555" s="3" t="s">
        <v>7114</v>
      </c>
    </row>
    <row r="556" spans="1:56" ht="48" customHeight="1" x14ac:dyDescent="0.25">
      <c r="A556" s="7" t="s">
        <v>59</v>
      </c>
      <c r="B556" s="2" t="s">
        <v>7115</v>
      </c>
      <c r="C556" s="2" t="s">
        <v>7116</v>
      </c>
      <c r="D556" s="2" t="s">
        <v>7117</v>
      </c>
      <c r="F556" s="3" t="s">
        <v>59</v>
      </c>
      <c r="G556" s="3" t="s">
        <v>60</v>
      </c>
      <c r="H556" s="3" t="s">
        <v>59</v>
      </c>
      <c r="I556" s="3" t="s">
        <v>59</v>
      </c>
      <c r="J556" s="3" t="s">
        <v>61</v>
      </c>
      <c r="K556" s="2" t="s">
        <v>7118</v>
      </c>
      <c r="L556" s="2" t="s">
        <v>7119</v>
      </c>
      <c r="M556" s="3" t="s">
        <v>590</v>
      </c>
      <c r="O556" s="3" t="s">
        <v>64</v>
      </c>
      <c r="P556" s="3" t="s">
        <v>674</v>
      </c>
      <c r="R556" s="3" t="s">
        <v>67</v>
      </c>
      <c r="S556" s="4">
        <v>3</v>
      </c>
      <c r="T556" s="4">
        <v>3</v>
      </c>
      <c r="U556" s="5" t="s">
        <v>7120</v>
      </c>
      <c r="V556" s="5" t="s">
        <v>7120</v>
      </c>
      <c r="W556" s="5" t="s">
        <v>7121</v>
      </c>
      <c r="X556" s="5" t="s">
        <v>7121</v>
      </c>
      <c r="Y556" s="4">
        <v>109</v>
      </c>
      <c r="Z556" s="4">
        <v>90</v>
      </c>
      <c r="AA556" s="4">
        <v>90</v>
      </c>
      <c r="AB556" s="4">
        <v>2</v>
      </c>
      <c r="AC556" s="4">
        <v>2</v>
      </c>
      <c r="AD556" s="4">
        <v>5</v>
      </c>
      <c r="AE556" s="4">
        <v>5</v>
      </c>
      <c r="AF556" s="4">
        <v>2</v>
      </c>
      <c r="AG556" s="4">
        <v>2</v>
      </c>
      <c r="AH556" s="4">
        <v>0</v>
      </c>
      <c r="AI556" s="4">
        <v>0</v>
      </c>
      <c r="AJ556" s="4">
        <v>3</v>
      </c>
      <c r="AK556" s="4">
        <v>3</v>
      </c>
      <c r="AL556" s="4">
        <v>1</v>
      </c>
      <c r="AM556" s="4">
        <v>1</v>
      </c>
      <c r="AN556" s="4">
        <v>0</v>
      </c>
      <c r="AO556" s="4">
        <v>0</v>
      </c>
      <c r="AP556" s="3" t="s">
        <v>59</v>
      </c>
      <c r="AQ556" s="3" t="s">
        <v>59</v>
      </c>
      <c r="AS556" s="6" t="str">
        <f>HYPERLINK("https://creighton-primo.hosted.exlibrisgroup.com/primo-explore/search?tab=default_tab&amp;search_scope=EVERYTHING&amp;vid=01CRU&amp;lang=en_US&amp;offset=0&amp;query=any,contains,991001463119702656","Catalog Record")</f>
        <v>Catalog Record</v>
      </c>
      <c r="AT556" s="6" t="str">
        <f>HYPERLINK("http://www.worldcat.org/oclc/19457617","WorldCat Record")</f>
        <v>WorldCat Record</v>
      </c>
      <c r="AU556" s="3" t="s">
        <v>7122</v>
      </c>
      <c r="AV556" s="3" t="s">
        <v>7123</v>
      </c>
      <c r="AW556" s="3" t="s">
        <v>7124</v>
      </c>
      <c r="AX556" s="3" t="s">
        <v>7124</v>
      </c>
      <c r="AY556" s="3" t="s">
        <v>7125</v>
      </c>
      <c r="AZ556" s="3" t="s">
        <v>75</v>
      </c>
      <c r="BB556" s="3" t="s">
        <v>7126</v>
      </c>
      <c r="BC556" s="3" t="s">
        <v>7127</v>
      </c>
      <c r="BD556" s="3" t="s">
        <v>7128</v>
      </c>
    </row>
    <row r="557" spans="1:56" ht="48" customHeight="1" x14ac:dyDescent="0.25">
      <c r="A557" s="7" t="s">
        <v>59</v>
      </c>
      <c r="B557" s="2" t="s">
        <v>7129</v>
      </c>
      <c r="C557" s="2" t="s">
        <v>7130</v>
      </c>
      <c r="D557" s="2" t="s">
        <v>7131</v>
      </c>
      <c r="F557" s="3" t="s">
        <v>59</v>
      </c>
      <c r="G557" s="3" t="s">
        <v>60</v>
      </c>
      <c r="H557" s="3" t="s">
        <v>59</v>
      </c>
      <c r="I557" s="3" t="s">
        <v>59</v>
      </c>
      <c r="J557" s="3" t="s">
        <v>61</v>
      </c>
      <c r="K557" s="2" t="s">
        <v>7132</v>
      </c>
      <c r="L557" s="2" t="s">
        <v>233</v>
      </c>
      <c r="M557" s="3" t="s">
        <v>234</v>
      </c>
      <c r="O557" s="3" t="s">
        <v>64</v>
      </c>
      <c r="P557" s="3" t="s">
        <v>130</v>
      </c>
      <c r="R557" s="3" t="s">
        <v>67</v>
      </c>
      <c r="S557" s="4">
        <v>12</v>
      </c>
      <c r="T557" s="4">
        <v>12</v>
      </c>
      <c r="U557" s="5" t="s">
        <v>7133</v>
      </c>
      <c r="V557" s="5" t="s">
        <v>7133</v>
      </c>
      <c r="W557" s="5" t="s">
        <v>7134</v>
      </c>
      <c r="X557" s="5" t="s">
        <v>7134</v>
      </c>
      <c r="Y557" s="4">
        <v>376</v>
      </c>
      <c r="Z557" s="4">
        <v>284</v>
      </c>
      <c r="AA557" s="4">
        <v>284</v>
      </c>
      <c r="AB557" s="4">
        <v>2</v>
      </c>
      <c r="AC557" s="4">
        <v>2</v>
      </c>
      <c r="AD557" s="4">
        <v>9</v>
      </c>
      <c r="AE557" s="4">
        <v>9</v>
      </c>
      <c r="AF557" s="4">
        <v>4</v>
      </c>
      <c r="AG557" s="4">
        <v>4</v>
      </c>
      <c r="AH557" s="4">
        <v>2</v>
      </c>
      <c r="AI557" s="4">
        <v>2</v>
      </c>
      <c r="AJ557" s="4">
        <v>5</v>
      </c>
      <c r="AK557" s="4">
        <v>5</v>
      </c>
      <c r="AL557" s="4">
        <v>1</v>
      </c>
      <c r="AM557" s="4">
        <v>1</v>
      </c>
      <c r="AN557" s="4">
        <v>0</v>
      </c>
      <c r="AO557" s="4">
        <v>0</v>
      </c>
      <c r="AP557" s="3" t="s">
        <v>59</v>
      </c>
      <c r="AQ557" s="3" t="s">
        <v>59</v>
      </c>
      <c r="AS557" s="6" t="str">
        <f>HYPERLINK("https://creighton-primo.hosted.exlibrisgroup.com/primo-explore/search?tab=default_tab&amp;search_scope=EVERYTHING&amp;vid=01CRU&amp;lang=en_US&amp;offset=0&amp;query=any,contains,991001419839702656","Catalog Record")</f>
        <v>Catalog Record</v>
      </c>
      <c r="AT557" s="6" t="str">
        <f>HYPERLINK("http://www.worldcat.org/oclc/18962393","WorldCat Record")</f>
        <v>WorldCat Record</v>
      </c>
      <c r="AU557" s="3" t="s">
        <v>7135</v>
      </c>
      <c r="AV557" s="3" t="s">
        <v>7136</v>
      </c>
      <c r="AW557" s="3" t="s">
        <v>7137</v>
      </c>
      <c r="AX557" s="3" t="s">
        <v>7137</v>
      </c>
      <c r="AY557" s="3" t="s">
        <v>7138</v>
      </c>
      <c r="AZ557" s="3" t="s">
        <v>75</v>
      </c>
      <c r="BB557" s="3" t="s">
        <v>7139</v>
      </c>
      <c r="BC557" s="3" t="s">
        <v>7140</v>
      </c>
      <c r="BD557" s="3" t="s">
        <v>7141</v>
      </c>
    </row>
    <row r="558" spans="1:56" ht="48" customHeight="1" x14ac:dyDescent="0.25">
      <c r="A558" s="7" t="s">
        <v>59</v>
      </c>
      <c r="B558" s="2" t="s">
        <v>7142</v>
      </c>
      <c r="C558" s="2" t="s">
        <v>7143</v>
      </c>
      <c r="D558" s="2" t="s">
        <v>7144</v>
      </c>
      <c r="F558" s="3" t="s">
        <v>59</v>
      </c>
      <c r="G558" s="3" t="s">
        <v>60</v>
      </c>
      <c r="H558" s="3" t="s">
        <v>59</v>
      </c>
      <c r="I558" s="3" t="s">
        <v>59</v>
      </c>
      <c r="J558" s="3" t="s">
        <v>61</v>
      </c>
      <c r="K558" s="2" t="s">
        <v>7145</v>
      </c>
      <c r="L558" s="2" t="s">
        <v>7146</v>
      </c>
      <c r="M558" s="3" t="s">
        <v>6695</v>
      </c>
      <c r="N558" s="2" t="s">
        <v>1285</v>
      </c>
      <c r="O558" s="3" t="s">
        <v>64</v>
      </c>
      <c r="P558" s="3" t="s">
        <v>84</v>
      </c>
      <c r="Q558" s="2" t="s">
        <v>7147</v>
      </c>
      <c r="R558" s="3" t="s">
        <v>67</v>
      </c>
      <c r="S558" s="4">
        <v>10</v>
      </c>
      <c r="T558" s="4">
        <v>10</v>
      </c>
      <c r="U558" s="5" t="s">
        <v>7148</v>
      </c>
      <c r="V558" s="5" t="s">
        <v>7148</v>
      </c>
      <c r="W558" s="5" t="s">
        <v>7149</v>
      </c>
      <c r="X558" s="5" t="s">
        <v>7149</v>
      </c>
      <c r="Y558" s="4">
        <v>403</v>
      </c>
      <c r="Z558" s="4">
        <v>273</v>
      </c>
      <c r="AA558" s="4">
        <v>333</v>
      </c>
      <c r="AB558" s="4">
        <v>6</v>
      </c>
      <c r="AC558" s="4">
        <v>6</v>
      </c>
      <c r="AD558" s="4">
        <v>16</v>
      </c>
      <c r="AE558" s="4">
        <v>18</v>
      </c>
      <c r="AF558" s="4">
        <v>5</v>
      </c>
      <c r="AG558" s="4">
        <v>7</v>
      </c>
      <c r="AH558" s="4">
        <v>2</v>
      </c>
      <c r="AI558" s="4">
        <v>3</v>
      </c>
      <c r="AJ558" s="4">
        <v>6</v>
      </c>
      <c r="AK558" s="4">
        <v>6</v>
      </c>
      <c r="AL558" s="4">
        <v>5</v>
      </c>
      <c r="AM558" s="4">
        <v>5</v>
      </c>
      <c r="AN558" s="4">
        <v>0</v>
      </c>
      <c r="AO558" s="4">
        <v>0</v>
      </c>
      <c r="AP558" s="3" t="s">
        <v>59</v>
      </c>
      <c r="AQ558" s="3" t="s">
        <v>70</v>
      </c>
      <c r="AR558" s="6" t="str">
        <f>HYPERLINK("http://catalog.hathitrust.org/Record/001555026","HathiTrust Record")</f>
        <v>HathiTrust Record</v>
      </c>
      <c r="AS558" s="6" t="str">
        <f>HYPERLINK("https://creighton-primo.hosted.exlibrisgroup.com/primo-explore/search?tab=default_tab&amp;search_scope=EVERYTHING&amp;vid=01CRU&amp;lang=en_US&amp;offset=0&amp;query=any,contains,991002662789702656","Catalog Record")</f>
        <v>Catalog Record</v>
      </c>
      <c r="AT558" s="6" t="str">
        <f>HYPERLINK("http://www.worldcat.org/oclc/392026","WorldCat Record")</f>
        <v>WorldCat Record</v>
      </c>
      <c r="AU558" s="3" t="s">
        <v>7150</v>
      </c>
      <c r="AV558" s="3" t="s">
        <v>7151</v>
      </c>
      <c r="AW558" s="3" t="s">
        <v>7152</v>
      </c>
      <c r="AX558" s="3" t="s">
        <v>7152</v>
      </c>
      <c r="AY558" s="3" t="s">
        <v>7153</v>
      </c>
      <c r="AZ558" s="3" t="s">
        <v>75</v>
      </c>
      <c r="BC558" s="3" t="s">
        <v>7154</v>
      </c>
      <c r="BD558" s="3" t="s">
        <v>7155</v>
      </c>
    </row>
    <row r="559" spans="1:56" ht="48" customHeight="1" x14ac:dyDescent="0.25">
      <c r="A559" s="7" t="s">
        <v>59</v>
      </c>
      <c r="B559" s="2" t="s">
        <v>7156</v>
      </c>
      <c r="C559" s="2" t="s">
        <v>7157</v>
      </c>
      <c r="D559" s="2" t="s">
        <v>7158</v>
      </c>
      <c r="F559" s="3" t="s">
        <v>59</v>
      </c>
      <c r="G559" s="3" t="s">
        <v>60</v>
      </c>
      <c r="H559" s="3" t="s">
        <v>59</v>
      </c>
      <c r="I559" s="3" t="s">
        <v>59</v>
      </c>
      <c r="J559" s="3" t="s">
        <v>61</v>
      </c>
      <c r="K559" s="2" t="s">
        <v>7159</v>
      </c>
      <c r="L559" s="2" t="s">
        <v>4634</v>
      </c>
      <c r="M559" s="3" t="s">
        <v>549</v>
      </c>
      <c r="O559" s="3" t="s">
        <v>64</v>
      </c>
      <c r="P559" s="3" t="s">
        <v>65</v>
      </c>
      <c r="R559" s="3" t="s">
        <v>67</v>
      </c>
      <c r="S559" s="4">
        <v>2</v>
      </c>
      <c r="T559" s="4">
        <v>2</v>
      </c>
      <c r="U559" s="5" t="s">
        <v>1776</v>
      </c>
      <c r="V559" s="5" t="s">
        <v>1776</v>
      </c>
      <c r="W559" s="5" t="s">
        <v>649</v>
      </c>
      <c r="X559" s="5" t="s">
        <v>649</v>
      </c>
      <c r="Y559" s="4">
        <v>423</v>
      </c>
      <c r="Z559" s="4">
        <v>347</v>
      </c>
      <c r="AA559" s="4">
        <v>349</v>
      </c>
      <c r="AB559" s="4">
        <v>3</v>
      </c>
      <c r="AC559" s="4">
        <v>3</v>
      </c>
      <c r="AD559" s="4">
        <v>13</v>
      </c>
      <c r="AE559" s="4">
        <v>13</v>
      </c>
      <c r="AF559" s="4">
        <v>5</v>
      </c>
      <c r="AG559" s="4">
        <v>5</v>
      </c>
      <c r="AH559" s="4">
        <v>4</v>
      </c>
      <c r="AI559" s="4">
        <v>4</v>
      </c>
      <c r="AJ559" s="4">
        <v>4</v>
      </c>
      <c r="AK559" s="4">
        <v>4</v>
      </c>
      <c r="AL559" s="4">
        <v>2</v>
      </c>
      <c r="AM559" s="4">
        <v>2</v>
      </c>
      <c r="AN559" s="4">
        <v>0</v>
      </c>
      <c r="AO559" s="4">
        <v>0</v>
      </c>
      <c r="AP559" s="3" t="s">
        <v>59</v>
      </c>
      <c r="AQ559" s="3" t="s">
        <v>70</v>
      </c>
      <c r="AR559" s="6" t="str">
        <f>HYPERLINK("http://catalog.hathitrust.org/Record/000723412","HathiTrust Record")</f>
        <v>HathiTrust Record</v>
      </c>
      <c r="AS559" s="6" t="str">
        <f>HYPERLINK("https://creighton-primo.hosted.exlibrisgroup.com/primo-explore/search?tab=default_tab&amp;search_scope=EVERYTHING&amp;vid=01CRU&amp;lang=en_US&amp;offset=0&amp;query=any,contains,991004009769702656","Catalog Record")</f>
        <v>Catalog Record</v>
      </c>
      <c r="AT559" s="6" t="str">
        <f>HYPERLINK("http://www.worldcat.org/oclc/2089747","WorldCat Record")</f>
        <v>WorldCat Record</v>
      </c>
      <c r="AU559" s="3" t="s">
        <v>7160</v>
      </c>
      <c r="AV559" s="3" t="s">
        <v>7161</v>
      </c>
      <c r="AW559" s="3" t="s">
        <v>7162</v>
      </c>
      <c r="AX559" s="3" t="s">
        <v>7162</v>
      </c>
      <c r="AY559" s="3" t="s">
        <v>7163</v>
      </c>
      <c r="AZ559" s="3" t="s">
        <v>75</v>
      </c>
      <c r="BB559" s="3" t="s">
        <v>7164</v>
      </c>
      <c r="BC559" s="3" t="s">
        <v>7165</v>
      </c>
      <c r="BD559" s="3" t="s">
        <v>7166</v>
      </c>
    </row>
    <row r="560" spans="1:56" ht="48" customHeight="1" x14ac:dyDescent="0.25">
      <c r="A560" s="7" t="s">
        <v>59</v>
      </c>
      <c r="B560" s="2" t="s">
        <v>7167</v>
      </c>
      <c r="C560" s="2" t="s">
        <v>7168</v>
      </c>
      <c r="D560" s="2" t="s">
        <v>7169</v>
      </c>
      <c r="F560" s="3" t="s">
        <v>59</v>
      </c>
      <c r="G560" s="3" t="s">
        <v>60</v>
      </c>
      <c r="H560" s="3" t="s">
        <v>59</v>
      </c>
      <c r="I560" s="3" t="s">
        <v>59</v>
      </c>
      <c r="J560" s="3" t="s">
        <v>61</v>
      </c>
      <c r="K560" s="2" t="s">
        <v>7170</v>
      </c>
      <c r="L560" s="2" t="s">
        <v>7171</v>
      </c>
      <c r="M560" s="3" t="s">
        <v>417</v>
      </c>
      <c r="O560" s="3" t="s">
        <v>64</v>
      </c>
      <c r="P560" s="3" t="s">
        <v>264</v>
      </c>
      <c r="R560" s="3" t="s">
        <v>67</v>
      </c>
      <c r="S560" s="4">
        <v>2</v>
      </c>
      <c r="T560" s="4">
        <v>2</v>
      </c>
      <c r="U560" s="5" t="s">
        <v>7120</v>
      </c>
      <c r="V560" s="5" t="s">
        <v>7120</v>
      </c>
      <c r="W560" s="5" t="s">
        <v>6862</v>
      </c>
      <c r="X560" s="5" t="s">
        <v>6862</v>
      </c>
      <c r="Y560" s="4">
        <v>553</v>
      </c>
      <c r="Z560" s="4">
        <v>451</v>
      </c>
      <c r="AA560" s="4">
        <v>459</v>
      </c>
      <c r="AB560" s="4">
        <v>5</v>
      </c>
      <c r="AC560" s="4">
        <v>5</v>
      </c>
      <c r="AD560" s="4">
        <v>21</v>
      </c>
      <c r="AE560" s="4">
        <v>21</v>
      </c>
      <c r="AF560" s="4">
        <v>7</v>
      </c>
      <c r="AG560" s="4">
        <v>7</v>
      </c>
      <c r="AH560" s="4">
        <v>5</v>
      </c>
      <c r="AI560" s="4">
        <v>5</v>
      </c>
      <c r="AJ560" s="4">
        <v>11</v>
      </c>
      <c r="AK560" s="4">
        <v>11</v>
      </c>
      <c r="AL560" s="4">
        <v>4</v>
      </c>
      <c r="AM560" s="4">
        <v>4</v>
      </c>
      <c r="AN560" s="4">
        <v>0</v>
      </c>
      <c r="AO560" s="4">
        <v>0</v>
      </c>
      <c r="AP560" s="3" t="s">
        <v>59</v>
      </c>
      <c r="AQ560" s="3" t="s">
        <v>59</v>
      </c>
      <c r="AS560" s="6" t="str">
        <f>HYPERLINK("https://creighton-primo.hosted.exlibrisgroup.com/primo-explore/search?tab=default_tab&amp;search_scope=EVERYTHING&amp;vid=01CRU&amp;lang=en_US&amp;offset=0&amp;query=any,contains,991000112319702656","Catalog Record")</f>
        <v>Catalog Record</v>
      </c>
      <c r="AT560" s="6" t="str">
        <f>HYPERLINK("http://www.worldcat.org/oclc/9016864","WorldCat Record")</f>
        <v>WorldCat Record</v>
      </c>
      <c r="AU560" s="3" t="s">
        <v>7172</v>
      </c>
      <c r="AV560" s="3" t="s">
        <v>7173</v>
      </c>
      <c r="AW560" s="3" t="s">
        <v>7174</v>
      </c>
      <c r="AX560" s="3" t="s">
        <v>7174</v>
      </c>
      <c r="AY560" s="3" t="s">
        <v>7175</v>
      </c>
      <c r="AZ560" s="3" t="s">
        <v>75</v>
      </c>
      <c r="BB560" s="3" t="s">
        <v>7176</v>
      </c>
      <c r="BC560" s="3" t="s">
        <v>7177</v>
      </c>
      <c r="BD560" s="3" t="s">
        <v>7178</v>
      </c>
    </row>
    <row r="561" spans="1:56" ht="48" customHeight="1" x14ac:dyDescent="0.25">
      <c r="A561" s="7" t="s">
        <v>59</v>
      </c>
      <c r="B561" s="2" t="s">
        <v>7179</v>
      </c>
      <c r="C561" s="2" t="s">
        <v>7180</v>
      </c>
      <c r="D561" s="2" t="s">
        <v>7181</v>
      </c>
      <c r="F561" s="3" t="s">
        <v>59</v>
      </c>
      <c r="G561" s="3" t="s">
        <v>60</v>
      </c>
      <c r="H561" s="3" t="s">
        <v>59</v>
      </c>
      <c r="I561" s="3" t="s">
        <v>59</v>
      </c>
      <c r="J561" s="3" t="s">
        <v>61</v>
      </c>
      <c r="K561" s="2" t="s">
        <v>7182</v>
      </c>
      <c r="L561" s="2" t="s">
        <v>7183</v>
      </c>
      <c r="M561" s="3" t="s">
        <v>7184</v>
      </c>
      <c r="O561" s="3" t="s">
        <v>64</v>
      </c>
      <c r="P561" s="3" t="s">
        <v>130</v>
      </c>
      <c r="R561" s="3" t="s">
        <v>67</v>
      </c>
      <c r="S561" s="4">
        <v>3</v>
      </c>
      <c r="T561" s="4">
        <v>3</v>
      </c>
      <c r="U561" s="5" t="s">
        <v>7185</v>
      </c>
      <c r="V561" s="5" t="s">
        <v>7185</v>
      </c>
      <c r="W561" s="5" t="s">
        <v>3301</v>
      </c>
      <c r="X561" s="5" t="s">
        <v>3301</v>
      </c>
      <c r="Y561" s="4">
        <v>511</v>
      </c>
      <c r="Z561" s="4">
        <v>438</v>
      </c>
      <c r="AA561" s="4">
        <v>501</v>
      </c>
      <c r="AB561" s="4">
        <v>5</v>
      </c>
      <c r="AC561" s="4">
        <v>5</v>
      </c>
      <c r="AD561" s="4">
        <v>17</v>
      </c>
      <c r="AE561" s="4">
        <v>19</v>
      </c>
      <c r="AF561" s="4">
        <v>7</v>
      </c>
      <c r="AG561" s="4">
        <v>8</v>
      </c>
      <c r="AH561" s="4">
        <v>1</v>
      </c>
      <c r="AI561" s="4">
        <v>1</v>
      </c>
      <c r="AJ561" s="4">
        <v>7</v>
      </c>
      <c r="AK561" s="4">
        <v>8</v>
      </c>
      <c r="AL561" s="4">
        <v>4</v>
      </c>
      <c r="AM561" s="4">
        <v>4</v>
      </c>
      <c r="AN561" s="4">
        <v>0</v>
      </c>
      <c r="AO561" s="4">
        <v>0</v>
      </c>
      <c r="AP561" s="3" t="s">
        <v>59</v>
      </c>
      <c r="AQ561" s="3" t="s">
        <v>70</v>
      </c>
      <c r="AR561" s="6" t="str">
        <f>HYPERLINK("http://catalog.hathitrust.org/Record/001555030","HathiTrust Record")</f>
        <v>HathiTrust Record</v>
      </c>
      <c r="AS561" s="6" t="str">
        <f>HYPERLINK("https://creighton-primo.hosted.exlibrisgroup.com/primo-explore/search?tab=default_tab&amp;search_scope=EVERYTHING&amp;vid=01CRU&amp;lang=en_US&amp;offset=0&amp;query=any,contains,991002996599702656","Catalog Record")</f>
        <v>Catalog Record</v>
      </c>
      <c r="AT561" s="6" t="str">
        <f>HYPERLINK("http://www.worldcat.org/oclc/565037","WorldCat Record")</f>
        <v>WorldCat Record</v>
      </c>
      <c r="AU561" s="3" t="s">
        <v>7186</v>
      </c>
      <c r="AV561" s="3" t="s">
        <v>7187</v>
      </c>
      <c r="AW561" s="3" t="s">
        <v>7188</v>
      </c>
      <c r="AX561" s="3" t="s">
        <v>7188</v>
      </c>
      <c r="AY561" s="3" t="s">
        <v>7189</v>
      </c>
      <c r="AZ561" s="3" t="s">
        <v>75</v>
      </c>
      <c r="BC561" s="3" t="s">
        <v>7190</v>
      </c>
      <c r="BD561" s="3" t="s">
        <v>7191</v>
      </c>
    </row>
    <row r="562" spans="1:56" ht="48" customHeight="1" x14ac:dyDescent="0.25">
      <c r="A562" s="7" t="s">
        <v>59</v>
      </c>
      <c r="B562" s="2" t="s">
        <v>7192</v>
      </c>
      <c r="C562" s="2" t="s">
        <v>7193</v>
      </c>
      <c r="D562" s="2" t="s">
        <v>7194</v>
      </c>
      <c r="F562" s="3" t="s">
        <v>59</v>
      </c>
      <c r="G562" s="3" t="s">
        <v>60</v>
      </c>
      <c r="H562" s="3" t="s">
        <v>59</v>
      </c>
      <c r="I562" s="3" t="s">
        <v>59</v>
      </c>
      <c r="J562" s="3" t="s">
        <v>61</v>
      </c>
      <c r="K562" s="2" t="s">
        <v>7182</v>
      </c>
      <c r="L562" s="2" t="s">
        <v>7195</v>
      </c>
      <c r="M562" s="3" t="s">
        <v>6695</v>
      </c>
      <c r="O562" s="3" t="s">
        <v>64</v>
      </c>
      <c r="P562" s="3" t="s">
        <v>130</v>
      </c>
      <c r="Q562" s="2" t="s">
        <v>5703</v>
      </c>
      <c r="R562" s="3" t="s">
        <v>67</v>
      </c>
      <c r="S562" s="4">
        <v>15</v>
      </c>
      <c r="T562" s="4">
        <v>15</v>
      </c>
      <c r="U562" s="5" t="s">
        <v>7196</v>
      </c>
      <c r="V562" s="5" t="s">
        <v>7196</v>
      </c>
      <c r="W562" s="5" t="s">
        <v>649</v>
      </c>
      <c r="X562" s="5" t="s">
        <v>649</v>
      </c>
      <c r="Y562" s="4">
        <v>1188</v>
      </c>
      <c r="Z562" s="4">
        <v>1106</v>
      </c>
      <c r="AA562" s="4">
        <v>1385</v>
      </c>
      <c r="AB562" s="4">
        <v>13</v>
      </c>
      <c r="AC562" s="4">
        <v>16</v>
      </c>
      <c r="AD562" s="4">
        <v>23</v>
      </c>
      <c r="AE562" s="4">
        <v>29</v>
      </c>
      <c r="AF562" s="4">
        <v>6</v>
      </c>
      <c r="AG562" s="4">
        <v>8</v>
      </c>
      <c r="AH562" s="4">
        <v>2</v>
      </c>
      <c r="AI562" s="4">
        <v>3</v>
      </c>
      <c r="AJ562" s="4">
        <v>13</v>
      </c>
      <c r="AK562" s="4">
        <v>16</v>
      </c>
      <c r="AL562" s="4">
        <v>7</v>
      </c>
      <c r="AM562" s="4">
        <v>8</v>
      </c>
      <c r="AN562" s="4">
        <v>0</v>
      </c>
      <c r="AO562" s="4">
        <v>0</v>
      </c>
      <c r="AP562" s="3" t="s">
        <v>59</v>
      </c>
      <c r="AQ562" s="3" t="s">
        <v>70</v>
      </c>
      <c r="AR562" s="6" t="str">
        <f>HYPERLINK("http://catalog.hathitrust.org/Record/004419219","HathiTrust Record")</f>
        <v>HathiTrust Record</v>
      </c>
      <c r="AS562" s="6" t="str">
        <f>HYPERLINK("https://creighton-primo.hosted.exlibrisgroup.com/primo-explore/search?tab=default_tab&amp;search_scope=EVERYTHING&amp;vid=01CRU&amp;lang=en_US&amp;offset=0&amp;query=any,contains,991005264719702656","Catalog Record")</f>
        <v>Catalog Record</v>
      </c>
      <c r="AT562" s="6" t="str">
        <f>HYPERLINK("http://www.worldcat.org/oclc/505471","WorldCat Record")</f>
        <v>WorldCat Record</v>
      </c>
      <c r="AU562" s="3" t="s">
        <v>7197</v>
      </c>
      <c r="AV562" s="3" t="s">
        <v>7198</v>
      </c>
      <c r="AW562" s="3" t="s">
        <v>7199</v>
      </c>
      <c r="AX562" s="3" t="s">
        <v>7199</v>
      </c>
      <c r="AY562" s="3" t="s">
        <v>7200</v>
      </c>
      <c r="AZ562" s="3" t="s">
        <v>75</v>
      </c>
      <c r="BC562" s="3" t="s">
        <v>7201</v>
      </c>
      <c r="BD562" s="3" t="s">
        <v>7202</v>
      </c>
    </row>
    <row r="563" spans="1:56" ht="48" customHeight="1" x14ac:dyDescent="0.25">
      <c r="A563" s="7" t="s">
        <v>59</v>
      </c>
      <c r="B563" s="2" t="s">
        <v>7203</v>
      </c>
      <c r="C563" s="2" t="s">
        <v>7204</v>
      </c>
      <c r="D563" s="2" t="s">
        <v>7205</v>
      </c>
      <c r="F563" s="3" t="s">
        <v>59</v>
      </c>
      <c r="G563" s="3" t="s">
        <v>60</v>
      </c>
      <c r="H563" s="3" t="s">
        <v>59</v>
      </c>
      <c r="I563" s="3" t="s">
        <v>59</v>
      </c>
      <c r="J563" s="3" t="s">
        <v>61</v>
      </c>
      <c r="K563" s="2" t="s">
        <v>7206</v>
      </c>
      <c r="L563" s="2" t="s">
        <v>7207</v>
      </c>
      <c r="M563" s="3" t="s">
        <v>872</v>
      </c>
      <c r="O563" s="3" t="s">
        <v>64</v>
      </c>
      <c r="P563" s="3" t="s">
        <v>264</v>
      </c>
      <c r="R563" s="3" t="s">
        <v>67</v>
      </c>
      <c r="S563" s="4">
        <v>3</v>
      </c>
      <c r="T563" s="4">
        <v>3</v>
      </c>
      <c r="U563" s="5" t="s">
        <v>7208</v>
      </c>
      <c r="V563" s="5" t="s">
        <v>7208</v>
      </c>
      <c r="W563" s="5" t="s">
        <v>1776</v>
      </c>
      <c r="X563" s="5" t="s">
        <v>1776</v>
      </c>
      <c r="Y563" s="4">
        <v>216</v>
      </c>
      <c r="Z563" s="4">
        <v>203</v>
      </c>
      <c r="AA563" s="4">
        <v>331</v>
      </c>
      <c r="AB563" s="4">
        <v>3</v>
      </c>
      <c r="AC563" s="4">
        <v>5</v>
      </c>
      <c r="AD563" s="4">
        <v>9</v>
      </c>
      <c r="AE563" s="4">
        <v>11</v>
      </c>
      <c r="AF563" s="4">
        <v>4</v>
      </c>
      <c r="AG563" s="4">
        <v>5</v>
      </c>
      <c r="AH563" s="4">
        <v>2</v>
      </c>
      <c r="AI563" s="4">
        <v>2</v>
      </c>
      <c r="AJ563" s="4">
        <v>3</v>
      </c>
      <c r="AK563" s="4">
        <v>4</v>
      </c>
      <c r="AL563" s="4">
        <v>1</v>
      </c>
      <c r="AM563" s="4">
        <v>2</v>
      </c>
      <c r="AN563" s="4">
        <v>0</v>
      </c>
      <c r="AO563" s="4">
        <v>0</v>
      </c>
      <c r="AP563" s="3" t="s">
        <v>59</v>
      </c>
      <c r="AQ563" s="3" t="s">
        <v>70</v>
      </c>
      <c r="AR563" s="6" t="str">
        <f>HYPERLINK("http://catalog.hathitrust.org/Record/001555032","HathiTrust Record")</f>
        <v>HathiTrust Record</v>
      </c>
      <c r="AS563" s="6" t="str">
        <f>HYPERLINK("https://creighton-primo.hosted.exlibrisgroup.com/primo-explore/search?tab=default_tab&amp;search_scope=EVERYTHING&amp;vid=01CRU&amp;lang=en_US&amp;offset=0&amp;query=any,contains,991005264729702656","Catalog Record")</f>
        <v>Catalog Record</v>
      </c>
      <c r="AT563" s="6" t="str">
        <f>HYPERLINK("http://www.worldcat.org/oclc/434708","WorldCat Record")</f>
        <v>WorldCat Record</v>
      </c>
      <c r="AU563" s="3" t="s">
        <v>7209</v>
      </c>
      <c r="AV563" s="3" t="s">
        <v>7210</v>
      </c>
      <c r="AW563" s="3" t="s">
        <v>7211</v>
      </c>
      <c r="AX563" s="3" t="s">
        <v>7211</v>
      </c>
      <c r="AY563" s="3" t="s">
        <v>7212</v>
      </c>
      <c r="AZ563" s="3" t="s">
        <v>75</v>
      </c>
      <c r="BB563" s="3" t="s">
        <v>7213</v>
      </c>
      <c r="BC563" s="3" t="s">
        <v>7214</v>
      </c>
      <c r="BD563" s="3" t="s">
        <v>7215</v>
      </c>
    </row>
    <row r="564" spans="1:56" ht="48" customHeight="1" x14ac:dyDescent="0.25">
      <c r="A564" s="7" t="s">
        <v>59</v>
      </c>
      <c r="B564" s="2" t="s">
        <v>7216</v>
      </c>
      <c r="C564" s="2" t="s">
        <v>7217</v>
      </c>
      <c r="D564" s="2" t="s">
        <v>7218</v>
      </c>
      <c r="F564" s="3" t="s">
        <v>59</v>
      </c>
      <c r="G564" s="3" t="s">
        <v>3645</v>
      </c>
      <c r="H564" s="3" t="s">
        <v>59</v>
      </c>
      <c r="I564" s="3" t="s">
        <v>59</v>
      </c>
      <c r="J564" s="3" t="s">
        <v>61</v>
      </c>
      <c r="K564" s="2" t="s">
        <v>7219</v>
      </c>
      <c r="L564" s="2" t="s">
        <v>7220</v>
      </c>
      <c r="M564" s="3" t="s">
        <v>5740</v>
      </c>
      <c r="N564" s="2" t="s">
        <v>5678</v>
      </c>
      <c r="O564" s="3" t="s">
        <v>64</v>
      </c>
      <c r="P564" s="3" t="s">
        <v>130</v>
      </c>
      <c r="Q564" s="2" t="s">
        <v>7221</v>
      </c>
      <c r="R564" s="3" t="s">
        <v>67</v>
      </c>
      <c r="S564" s="4">
        <v>4</v>
      </c>
      <c r="T564" s="4">
        <v>4</v>
      </c>
      <c r="U564" s="5" t="s">
        <v>7208</v>
      </c>
      <c r="V564" s="5" t="s">
        <v>7208</v>
      </c>
      <c r="W564" s="5" t="s">
        <v>7222</v>
      </c>
      <c r="X564" s="5" t="s">
        <v>7222</v>
      </c>
      <c r="Y564" s="4">
        <v>821</v>
      </c>
      <c r="Z564" s="4">
        <v>740</v>
      </c>
      <c r="AA564" s="4">
        <v>770</v>
      </c>
      <c r="AB564" s="4">
        <v>10</v>
      </c>
      <c r="AC564" s="4">
        <v>10</v>
      </c>
      <c r="AD564" s="4">
        <v>28</v>
      </c>
      <c r="AE564" s="4">
        <v>28</v>
      </c>
      <c r="AF564" s="4">
        <v>11</v>
      </c>
      <c r="AG564" s="4">
        <v>11</v>
      </c>
      <c r="AH564" s="4">
        <v>3</v>
      </c>
      <c r="AI564" s="4">
        <v>3</v>
      </c>
      <c r="AJ564" s="4">
        <v>12</v>
      </c>
      <c r="AK564" s="4">
        <v>12</v>
      </c>
      <c r="AL564" s="4">
        <v>7</v>
      </c>
      <c r="AM564" s="4">
        <v>7</v>
      </c>
      <c r="AN564" s="4">
        <v>0</v>
      </c>
      <c r="AO564" s="4">
        <v>0</v>
      </c>
      <c r="AP564" s="3" t="s">
        <v>59</v>
      </c>
      <c r="AQ564" s="3" t="s">
        <v>70</v>
      </c>
      <c r="AR564" s="6" t="str">
        <f>HYPERLINK("http://catalog.hathitrust.org/Record/001555033","HathiTrust Record")</f>
        <v>HathiTrust Record</v>
      </c>
      <c r="AS564" s="6" t="str">
        <f>HYPERLINK("https://creighton-primo.hosted.exlibrisgroup.com/primo-explore/search?tab=default_tab&amp;search_scope=EVERYTHING&amp;vid=01CRU&amp;lang=en_US&amp;offset=0&amp;query=any,contains,991001331489702656","Catalog Record")</f>
        <v>Catalog Record</v>
      </c>
      <c r="AT564" s="6" t="str">
        <f>HYPERLINK("http://www.worldcat.org/oclc/221097","WorldCat Record")</f>
        <v>WorldCat Record</v>
      </c>
      <c r="AU564" s="3" t="s">
        <v>7223</v>
      </c>
      <c r="AV564" s="3" t="s">
        <v>7224</v>
      </c>
      <c r="AW564" s="3" t="s">
        <v>7225</v>
      </c>
      <c r="AX564" s="3" t="s">
        <v>7225</v>
      </c>
      <c r="AY564" s="3" t="s">
        <v>7226</v>
      </c>
      <c r="AZ564" s="3" t="s">
        <v>75</v>
      </c>
      <c r="BC564" s="3" t="s">
        <v>7227</v>
      </c>
      <c r="BD564" s="3" t="s">
        <v>7228</v>
      </c>
    </row>
    <row r="565" spans="1:56" ht="48" customHeight="1" x14ac:dyDescent="0.25">
      <c r="A565" s="7" t="s">
        <v>59</v>
      </c>
      <c r="B565" s="2" t="s">
        <v>7229</v>
      </c>
      <c r="C565" s="2" t="s">
        <v>7230</v>
      </c>
      <c r="D565" s="2" t="s">
        <v>7231</v>
      </c>
      <c r="F565" s="3" t="s">
        <v>59</v>
      </c>
      <c r="G565" s="3" t="s">
        <v>60</v>
      </c>
      <c r="H565" s="3" t="s">
        <v>59</v>
      </c>
      <c r="I565" s="3" t="s">
        <v>59</v>
      </c>
      <c r="J565" s="3" t="s">
        <v>61</v>
      </c>
      <c r="K565" s="2" t="s">
        <v>7232</v>
      </c>
      <c r="L565" s="2" t="s">
        <v>7233</v>
      </c>
      <c r="M565" s="3" t="s">
        <v>63</v>
      </c>
      <c r="N565" s="2" t="s">
        <v>7234</v>
      </c>
      <c r="O565" s="3" t="s">
        <v>64</v>
      </c>
      <c r="P565" s="3" t="s">
        <v>1201</v>
      </c>
      <c r="Q565" s="2" t="s">
        <v>7235</v>
      </c>
      <c r="R565" s="3" t="s">
        <v>67</v>
      </c>
      <c r="S565" s="4">
        <v>5</v>
      </c>
      <c r="T565" s="4">
        <v>5</v>
      </c>
      <c r="U565" s="5" t="s">
        <v>1776</v>
      </c>
      <c r="V565" s="5" t="s">
        <v>1776</v>
      </c>
      <c r="W565" s="5" t="s">
        <v>6862</v>
      </c>
      <c r="X565" s="5" t="s">
        <v>6862</v>
      </c>
      <c r="Y565" s="4">
        <v>197</v>
      </c>
      <c r="Z565" s="4">
        <v>135</v>
      </c>
      <c r="AA565" s="4">
        <v>138</v>
      </c>
      <c r="AB565" s="4">
        <v>3</v>
      </c>
      <c r="AC565" s="4">
        <v>3</v>
      </c>
      <c r="AD565" s="4">
        <v>4</v>
      </c>
      <c r="AE565" s="4">
        <v>4</v>
      </c>
      <c r="AF565" s="4">
        <v>1</v>
      </c>
      <c r="AG565" s="4">
        <v>1</v>
      </c>
      <c r="AH565" s="4">
        <v>2</v>
      </c>
      <c r="AI565" s="4">
        <v>2</v>
      </c>
      <c r="AJ565" s="4">
        <v>1</v>
      </c>
      <c r="AK565" s="4">
        <v>1</v>
      </c>
      <c r="AL565" s="4">
        <v>1</v>
      </c>
      <c r="AM565" s="4">
        <v>1</v>
      </c>
      <c r="AN565" s="4">
        <v>0</v>
      </c>
      <c r="AO565" s="4">
        <v>0</v>
      </c>
      <c r="AP565" s="3" t="s">
        <v>59</v>
      </c>
      <c r="AQ565" s="3" t="s">
        <v>70</v>
      </c>
      <c r="AR565" s="6" t="str">
        <f>HYPERLINK("http://catalog.hathitrust.org/Record/000751899","HathiTrust Record")</f>
        <v>HathiTrust Record</v>
      </c>
      <c r="AS565" s="6" t="str">
        <f>HYPERLINK("https://creighton-primo.hosted.exlibrisgroup.com/primo-explore/search?tab=default_tab&amp;search_scope=EVERYTHING&amp;vid=01CRU&amp;lang=en_US&amp;offset=0&amp;query=any,contains,991004429069702656","Catalog Record")</f>
        <v>Catalog Record</v>
      </c>
      <c r="AT565" s="6" t="str">
        <f>HYPERLINK("http://www.worldcat.org/oclc/3414632","WorldCat Record")</f>
        <v>WorldCat Record</v>
      </c>
      <c r="AU565" s="3" t="s">
        <v>7236</v>
      </c>
      <c r="AV565" s="3" t="s">
        <v>7237</v>
      </c>
      <c r="AW565" s="3" t="s">
        <v>7238</v>
      </c>
      <c r="AX565" s="3" t="s">
        <v>7238</v>
      </c>
      <c r="AY565" s="3" t="s">
        <v>7239</v>
      </c>
      <c r="AZ565" s="3" t="s">
        <v>75</v>
      </c>
      <c r="BB565" s="3" t="s">
        <v>7240</v>
      </c>
      <c r="BC565" s="3" t="s">
        <v>7241</v>
      </c>
      <c r="BD565" s="3" t="s">
        <v>7242</v>
      </c>
    </row>
    <row r="566" spans="1:56" ht="48" customHeight="1" x14ac:dyDescent="0.25">
      <c r="A566" s="7" t="s">
        <v>59</v>
      </c>
      <c r="B566" s="2" t="s">
        <v>7243</v>
      </c>
      <c r="C566" s="2" t="s">
        <v>7244</v>
      </c>
      <c r="D566" s="2" t="s">
        <v>7245</v>
      </c>
      <c r="F566" s="3" t="s">
        <v>59</v>
      </c>
      <c r="G566" s="3" t="s">
        <v>60</v>
      </c>
      <c r="H566" s="3" t="s">
        <v>59</v>
      </c>
      <c r="I566" s="3" t="s">
        <v>59</v>
      </c>
      <c r="J566" s="3" t="s">
        <v>61</v>
      </c>
      <c r="K566" s="2" t="s">
        <v>7246</v>
      </c>
      <c r="L566" s="2" t="s">
        <v>7247</v>
      </c>
      <c r="M566" s="3" t="s">
        <v>7248</v>
      </c>
      <c r="N566" s="2" t="s">
        <v>5678</v>
      </c>
      <c r="O566" s="3" t="s">
        <v>64</v>
      </c>
      <c r="P566" s="3" t="s">
        <v>130</v>
      </c>
      <c r="Q566" s="2" t="s">
        <v>7249</v>
      </c>
      <c r="R566" s="3" t="s">
        <v>67</v>
      </c>
      <c r="S566" s="4">
        <v>5</v>
      </c>
      <c r="T566" s="4">
        <v>5</v>
      </c>
      <c r="U566" s="5" t="s">
        <v>3684</v>
      </c>
      <c r="V566" s="5" t="s">
        <v>3684</v>
      </c>
      <c r="W566" s="5" t="s">
        <v>501</v>
      </c>
      <c r="X566" s="5" t="s">
        <v>501</v>
      </c>
      <c r="Y566" s="4">
        <v>855</v>
      </c>
      <c r="Z566" s="4">
        <v>792</v>
      </c>
      <c r="AA566" s="4">
        <v>832</v>
      </c>
      <c r="AB566" s="4">
        <v>7</v>
      </c>
      <c r="AC566" s="4">
        <v>7</v>
      </c>
      <c r="AD566" s="4">
        <v>27</v>
      </c>
      <c r="AE566" s="4">
        <v>27</v>
      </c>
      <c r="AF566" s="4">
        <v>11</v>
      </c>
      <c r="AG566" s="4">
        <v>11</v>
      </c>
      <c r="AH566" s="4">
        <v>3</v>
      </c>
      <c r="AI566" s="4">
        <v>3</v>
      </c>
      <c r="AJ566" s="4">
        <v>12</v>
      </c>
      <c r="AK566" s="4">
        <v>12</v>
      </c>
      <c r="AL566" s="4">
        <v>6</v>
      </c>
      <c r="AM566" s="4">
        <v>6</v>
      </c>
      <c r="AN566" s="4">
        <v>0</v>
      </c>
      <c r="AO566" s="4">
        <v>0</v>
      </c>
      <c r="AP566" s="3" t="s">
        <v>59</v>
      </c>
      <c r="AQ566" s="3" t="s">
        <v>59</v>
      </c>
      <c r="AR566" s="6" t="str">
        <f>HYPERLINK("http://catalog.hathitrust.org/Record/001555045","HathiTrust Record")</f>
        <v>HathiTrust Record</v>
      </c>
      <c r="AS566" s="6" t="str">
        <f>HYPERLINK("https://creighton-primo.hosted.exlibrisgroup.com/primo-explore/search?tab=default_tab&amp;search_scope=EVERYTHING&amp;vid=01CRU&amp;lang=en_US&amp;offset=0&amp;query=any,contains,991002991629702656","Catalog Record")</f>
        <v>Catalog Record</v>
      </c>
      <c r="AT566" s="6" t="str">
        <f>HYPERLINK("http://www.worldcat.org/oclc/561052","WorldCat Record")</f>
        <v>WorldCat Record</v>
      </c>
      <c r="AU566" s="3" t="s">
        <v>7250</v>
      </c>
      <c r="AV566" s="3" t="s">
        <v>7251</v>
      </c>
      <c r="AW566" s="3" t="s">
        <v>7252</v>
      </c>
      <c r="AX566" s="3" t="s">
        <v>7252</v>
      </c>
      <c r="AY566" s="3" t="s">
        <v>7253</v>
      </c>
      <c r="AZ566" s="3" t="s">
        <v>75</v>
      </c>
      <c r="BC566" s="3" t="s">
        <v>7254</v>
      </c>
      <c r="BD566" s="3" t="s">
        <v>7255</v>
      </c>
    </row>
    <row r="567" spans="1:56" ht="48" customHeight="1" x14ac:dyDescent="0.25">
      <c r="A567" s="7" t="s">
        <v>59</v>
      </c>
      <c r="B567" s="2" t="s">
        <v>7256</v>
      </c>
      <c r="C567" s="2" t="s">
        <v>7257</v>
      </c>
      <c r="D567" s="2" t="s">
        <v>7258</v>
      </c>
      <c r="F567" s="3" t="s">
        <v>59</v>
      </c>
      <c r="G567" s="3" t="s">
        <v>60</v>
      </c>
      <c r="H567" s="3" t="s">
        <v>59</v>
      </c>
      <c r="I567" s="3" t="s">
        <v>59</v>
      </c>
      <c r="J567" s="3" t="s">
        <v>61</v>
      </c>
      <c r="K567" s="2" t="s">
        <v>7259</v>
      </c>
      <c r="L567" s="2" t="s">
        <v>801</v>
      </c>
      <c r="M567" s="3" t="s">
        <v>161</v>
      </c>
      <c r="O567" s="3" t="s">
        <v>64</v>
      </c>
      <c r="P567" s="3" t="s">
        <v>130</v>
      </c>
      <c r="Q567" s="2" t="s">
        <v>7260</v>
      </c>
      <c r="R567" s="3" t="s">
        <v>67</v>
      </c>
      <c r="S567" s="4">
        <v>6</v>
      </c>
      <c r="T567" s="4">
        <v>6</v>
      </c>
      <c r="U567" s="5" t="s">
        <v>3684</v>
      </c>
      <c r="V567" s="5" t="s">
        <v>3684</v>
      </c>
      <c r="W567" s="5" t="s">
        <v>6862</v>
      </c>
      <c r="X567" s="5" t="s">
        <v>6862</v>
      </c>
      <c r="Y567" s="4">
        <v>308</v>
      </c>
      <c r="Z567" s="4">
        <v>208</v>
      </c>
      <c r="AA567" s="4">
        <v>224</v>
      </c>
      <c r="AB567" s="4">
        <v>3</v>
      </c>
      <c r="AC567" s="4">
        <v>3</v>
      </c>
      <c r="AD567" s="4">
        <v>3</v>
      </c>
      <c r="AE567" s="4">
        <v>4</v>
      </c>
      <c r="AF567" s="4">
        <v>0</v>
      </c>
      <c r="AG567" s="4">
        <v>1</v>
      </c>
      <c r="AH567" s="4">
        <v>0</v>
      </c>
      <c r="AI567" s="4">
        <v>0</v>
      </c>
      <c r="AJ567" s="4">
        <v>2</v>
      </c>
      <c r="AK567" s="4">
        <v>3</v>
      </c>
      <c r="AL567" s="4">
        <v>1</v>
      </c>
      <c r="AM567" s="4">
        <v>1</v>
      </c>
      <c r="AN567" s="4">
        <v>0</v>
      </c>
      <c r="AO567" s="4">
        <v>0</v>
      </c>
      <c r="AP567" s="3" t="s">
        <v>59</v>
      </c>
      <c r="AQ567" s="3" t="s">
        <v>70</v>
      </c>
      <c r="AR567" s="6" t="str">
        <f>HYPERLINK("http://catalog.hathitrust.org/Record/000714454","HathiTrust Record")</f>
        <v>HathiTrust Record</v>
      </c>
      <c r="AS567" s="6" t="str">
        <f>HYPERLINK("https://creighton-primo.hosted.exlibrisgroup.com/primo-explore/search?tab=default_tab&amp;search_scope=EVERYTHING&amp;vid=01CRU&amp;lang=en_US&amp;offset=0&amp;query=any,contains,991004846869702656","Catalog Record")</f>
        <v>Catalog Record</v>
      </c>
      <c r="AT567" s="6" t="str">
        <f>HYPERLINK("http://www.worldcat.org/oclc/5564956","WorldCat Record")</f>
        <v>WorldCat Record</v>
      </c>
      <c r="AU567" s="3" t="s">
        <v>7261</v>
      </c>
      <c r="AV567" s="3" t="s">
        <v>7262</v>
      </c>
      <c r="AW567" s="3" t="s">
        <v>7263</v>
      </c>
      <c r="AX567" s="3" t="s">
        <v>7263</v>
      </c>
      <c r="AY567" s="3" t="s">
        <v>7264</v>
      </c>
      <c r="AZ567" s="3" t="s">
        <v>75</v>
      </c>
      <c r="BB567" s="3" t="s">
        <v>7265</v>
      </c>
      <c r="BC567" s="3" t="s">
        <v>7266</v>
      </c>
      <c r="BD567" s="3" t="s">
        <v>7267</v>
      </c>
    </row>
    <row r="568" spans="1:56" ht="48" customHeight="1" x14ac:dyDescent="0.25">
      <c r="A568" s="7" t="s">
        <v>59</v>
      </c>
      <c r="B568" s="2" t="s">
        <v>7268</v>
      </c>
      <c r="C568" s="2" t="s">
        <v>7269</v>
      </c>
      <c r="D568" s="2" t="s">
        <v>7270</v>
      </c>
      <c r="F568" s="3" t="s">
        <v>59</v>
      </c>
      <c r="G568" s="3" t="s">
        <v>60</v>
      </c>
      <c r="H568" s="3" t="s">
        <v>59</v>
      </c>
      <c r="I568" s="3" t="s">
        <v>59</v>
      </c>
      <c r="J568" s="3" t="s">
        <v>61</v>
      </c>
      <c r="L568" s="2" t="s">
        <v>686</v>
      </c>
      <c r="M568" s="3" t="s">
        <v>485</v>
      </c>
      <c r="O568" s="3" t="s">
        <v>64</v>
      </c>
      <c r="P568" s="3" t="s">
        <v>130</v>
      </c>
      <c r="R568" s="3" t="s">
        <v>67</v>
      </c>
      <c r="S568" s="4">
        <v>5</v>
      </c>
      <c r="T568" s="4">
        <v>5</v>
      </c>
      <c r="U568" s="5" t="s">
        <v>815</v>
      </c>
      <c r="V568" s="5" t="s">
        <v>815</v>
      </c>
      <c r="W568" s="5" t="s">
        <v>6862</v>
      </c>
      <c r="X568" s="5" t="s">
        <v>6862</v>
      </c>
      <c r="Y568" s="4">
        <v>241</v>
      </c>
      <c r="Z568" s="4">
        <v>176</v>
      </c>
      <c r="AA568" s="4">
        <v>181</v>
      </c>
      <c r="AB568" s="4">
        <v>3</v>
      </c>
      <c r="AC568" s="4">
        <v>3</v>
      </c>
      <c r="AD568" s="4">
        <v>5</v>
      </c>
      <c r="AE568" s="4">
        <v>5</v>
      </c>
      <c r="AF568" s="4">
        <v>1</v>
      </c>
      <c r="AG568" s="4">
        <v>1</v>
      </c>
      <c r="AH568" s="4">
        <v>1</v>
      </c>
      <c r="AI568" s="4">
        <v>1</v>
      </c>
      <c r="AJ568" s="4">
        <v>1</v>
      </c>
      <c r="AK568" s="4">
        <v>1</v>
      </c>
      <c r="AL568" s="4">
        <v>2</v>
      </c>
      <c r="AM568" s="4">
        <v>2</v>
      </c>
      <c r="AN568" s="4">
        <v>0</v>
      </c>
      <c r="AO568" s="4">
        <v>0</v>
      </c>
      <c r="AP568" s="3" t="s">
        <v>59</v>
      </c>
      <c r="AQ568" s="3" t="s">
        <v>59</v>
      </c>
      <c r="AS568" s="6" t="str">
        <f>HYPERLINK("https://creighton-primo.hosted.exlibrisgroup.com/primo-explore/search?tab=default_tab&amp;search_scope=EVERYTHING&amp;vid=01CRU&amp;lang=en_US&amp;offset=0&amp;query=any,contains,991004666209702656","Catalog Record")</f>
        <v>Catalog Record</v>
      </c>
      <c r="AT568" s="6" t="str">
        <f>HYPERLINK("http://www.worldcat.org/oclc/4504156","WorldCat Record")</f>
        <v>WorldCat Record</v>
      </c>
      <c r="AU568" s="3" t="s">
        <v>7271</v>
      </c>
      <c r="AV568" s="3" t="s">
        <v>7272</v>
      </c>
      <c r="AW568" s="3" t="s">
        <v>7273</v>
      </c>
      <c r="AX568" s="3" t="s">
        <v>7273</v>
      </c>
      <c r="AY568" s="3" t="s">
        <v>7274</v>
      </c>
      <c r="AZ568" s="3" t="s">
        <v>75</v>
      </c>
      <c r="BB568" s="3" t="s">
        <v>7275</v>
      </c>
      <c r="BC568" s="3" t="s">
        <v>7276</v>
      </c>
      <c r="BD568" s="3" t="s">
        <v>7277</v>
      </c>
    </row>
    <row r="569" spans="1:56" ht="48" customHeight="1" x14ac:dyDescent="0.25">
      <c r="A569" s="7" t="s">
        <v>59</v>
      </c>
      <c r="B569" s="2" t="s">
        <v>7278</v>
      </c>
      <c r="C569" s="2" t="s">
        <v>7279</v>
      </c>
      <c r="D569" s="2" t="s">
        <v>7280</v>
      </c>
      <c r="F569" s="3" t="s">
        <v>59</v>
      </c>
      <c r="G569" s="3" t="s">
        <v>60</v>
      </c>
      <c r="H569" s="3" t="s">
        <v>59</v>
      </c>
      <c r="I569" s="3" t="s">
        <v>59</v>
      </c>
      <c r="J569" s="3" t="s">
        <v>61</v>
      </c>
      <c r="K569" s="2" t="s">
        <v>7281</v>
      </c>
      <c r="L569" s="2" t="s">
        <v>7282</v>
      </c>
      <c r="M569" s="3" t="s">
        <v>263</v>
      </c>
      <c r="O569" s="3" t="s">
        <v>64</v>
      </c>
      <c r="P569" s="3" t="s">
        <v>130</v>
      </c>
      <c r="Q569" s="2" t="s">
        <v>7283</v>
      </c>
      <c r="R569" s="3" t="s">
        <v>67</v>
      </c>
      <c r="S569" s="4">
        <v>9</v>
      </c>
      <c r="T569" s="4">
        <v>9</v>
      </c>
      <c r="U569" s="5" t="s">
        <v>7284</v>
      </c>
      <c r="V569" s="5" t="s">
        <v>7284</v>
      </c>
      <c r="W569" s="5" t="s">
        <v>1217</v>
      </c>
      <c r="X569" s="5" t="s">
        <v>1217</v>
      </c>
      <c r="Y569" s="4">
        <v>198</v>
      </c>
      <c r="Z569" s="4">
        <v>186</v>
      </c>
      <c r="AA569" s="4">
        <v>248</v>
      </c>
      <c r="AB569" s="4">
        <v>1</v>
      </c>
      <c r="AC569" s="4">
        <v>1</v>
      </c>
      <c r="AD569" s="4">
        <v>5</v>
      </c>
      <c r="AE569" s="4">
        <v>6</v>
      </c>
      <c r="AF569" s="4">
        <v>2</v>
      </c>
      <c r="AG569" s="4">
        <v>3</v>
      </c>
      <c r="AH569" s="4">
        <v>0</v>
      </c>
      <c r="AI569" s="4">
        <v>0</v>
      </c>
      <c r="AJ569" s="4">
        <v>4</v>
      </c>
      <c r="AK569" s="4">
        <v>4</v>
      </c>
      <c r="AL569" s="4">
        <v>0</v>
      </c>
      <c r="AM569" s="4">
        <v>0</v>
      </c>
      <c r="AN569" s="4">
        <v>0</v>
      </c>
      <c r="AO569" s="4">
        <v>0</v>
      </c>
      <c r="AP569" s="3" t="s">
        <v>59</v>
      </c>
      <c r="AQ569" s="3" t="s">
        <v>59</v>
      </c>
      <c r="AR569" s="6" t="str">
        <f>HYPERLINK("http://catalog.hathitrust.org/Record/102055795","HathiTrust Record")</f>
        <v>HathiTrust Record</v>
      </c>
      <c r="AS569" s="6" t="str">
        <f>HYPERLINK("https://creighton-primo.hosted.exlibrisgroup.com/primo-explore/search?tab=default_tab&amp;search_scope=EVERYTHING&amp;vid=01CRU&amp;lang=en_US&amp;offset=0&amp;query=any,contains,991003664179702656","Catalog Record")</f>
        <v>Catalog Record</v>
      </c>
      <c r="AT569" s="6" t="str">
        <f>HYPERLINK("http://www.worldcat.org/oclc/1276733","WorldCat Record")</f>
        <v>WorldCat Record</v>
      </c>
      <c r="AU569" s="3" t="s">
        <v>7285</v>
      </c>
      <c r="AV569" s="3" t="s">
        <v>7286</v>
      </c>
      <c r="AW569" s="3" t="s">
        <v>7287</v>
      </c>
      <c r="AX569" s="3" t="s">
        <v>7287</v>
      </c>
      <c r="AY569" s="3" t="s">
        <v>7288</v>
      </c>
      <c r="AZ569" s="3" t="s">
        <v>75</v>
      </c>
      <c r="BC569" s="3" t="s">
        <v>7289</v>
      </c>
      <c r="BD569" s="3" t="s">
        <v>7290</v>
      </c>
    </row>
    <row r="570" spans="1:56" ht="48" customHeight="1" x14ac:dyDescent="0.25">
      <c r="A570" s="7" t="s">
        <v>59</v>
      </c>
      <c r="B570" s="2" t="s">
        <v>7291</v>
      </c>
      <c r="C570" s="2" t="s">
        <v>7292</v>
      </c>
      <c r="D570" s="2" t="s">
        <v>7293</v>
      </c>
      <c r="F570" s="3" t="s">
        <v>59</v>
      </c>
      <c r="G570" s="3" t="s">
        <v>60</v>
      </c>
      <c r="H570" s="3" t="s">
        <v>59</v>
      </c>
      <c r="I570" s="3" t="s">
        <v>59</v>
      </c>
      <c r="J570" s="3" t="s">
        <v>61</v>
      </c>
      <c r="K570" s="2" t="s">
        <v>7294</v>
      </c>
      <c r="L570" s="2" t="s">
        <v>7295</v>
      </c>
      <c r="M570" s="3" t="s">
        <v>2389</v>
      </c>
      <c r="N570" s="2" t="s">
        <v>5678</v>
      </c>
      <c r="O570" s="3" t="s">
        <v>64</v>
      </c>
      <c r="P570" s="3" t="s">
        <v>130</v>
      </c>
      <c r="R570" s="3" t="s">
        <v>67</v>
      </c>
      <c r="S570" s="4">
        <v>12</v>
      </c>
      <c r="T570" s="4">
        <v>12</v>
      </c>
      <c r="U570" s="5" t="s">
        <v>5791</v>
      </c>
      <c r="V570" s="5" t="s">
        <v>5791</v>
      </c>
      <c r="W570" s="5" t="s">
        <v>7296</v>
      </c>
      <c r="X570" s="5" t="s">
        <v>7296</v>
      </c>
      <c r="Y570" s="4">
        <v>438</v>
      </c>
      <c r="Z570" s="4">
        <v>403</v>
      </c>
      <c r="AA570" s="4">
        <v>455</v>
      </c>
      <c r="AB570" s="4">
        <v>3</v>
      </c>
      <c r="AC570" s="4">
        <v>3</v>
      </c>
      <c r="AD570" s="4">
        <v>10</v>
      </c>
      <c r="AE570" s="4">
        <v>12</v>
      </c>
      <c r="AF570" s="4">
        <v>3</v>
      </c>
      <c r="AG570" s="4">
        <v>4</v>
      </c>
      <c r="AH570" s="4">
        <v>3</v>
      </c>
      <c r="AI570" s="4">
        <v>3</v>
      </c>
      <c r="AJ570" s="4">
        <v>5</v>
      </c>
      <c r="AK570" s="4">
        <v>6</v>
      </c>
      <c r="AL570" s="4">
        <v>2</v>
      </c>
      <c r="AM570" s="4">
        <v>2</v>
      </c>
      <c r="AN570" s="4">
        <v>0</v>
      </c>
      <c r="AO570" s="4">
        <v>0</v>
      </c>
      <c r="AP570" s="3" t="s">
        <v>59</v>
      </c>
      <c r="AQ570" s="3" t="s">
        <v>70</v>
      </c>
      <c r="AR570" s="6" t="str">
        <f>HYPERLINK("http://catalog.hathitrust.org/Record/001555054","HathiTrust Record")</f>
        <v>HathiTrust Record</v>
      </c>
      <c r="AS570" s="6" t="str">
        <f>HYPERLINK("https://creighton-primo.hosted.exlibrisgroup.com/primo-explore/search?tab=default_tab&amp;search_scope=EVERYTHING&amp;vid=01CRU&amp;lang=en_US&amp;offset=0&amp;query=any,contains,991000003729702656","Catalog Record")</f>
        <v>Catalog Record</v>
      </c>
      <c r="AT570" s="6" t="str">
        <f>HYPERLINK("http://www.worldcat.org/oclc/12310","WorldCat Record")</f>
        <v>WorldCat Record</v>
      </c>
      <c r="AU570" s="3" t="s">
        <v>7297</v>
      </c>
      <c r="AV570" s="3" t="s">
        <v>7298</v>
      </c>
      <c r="AW570" s="3" t="s">
        <v>7299</v>
      </c>
      <c r="AX570" s="3" t="s">
        <v>7299</v>
      </c>
      <c r="AY570" s="3" t="s">
        <v>7300</v>
      </c>
      <c r="AZ570" s="3" t="s">
        <v>75</v>
      </c>
      <c r="BC570" s="3" t="s">
        <v>7301</v>
      </c>
      <c r="BD570" s="3" t="s">
        <v>7302</v>
      </c>
    </row>
    <row r="571" spans="1:56" ht="48" customHeight="1" x14ac:dyDescent="0.25">
      <c r="A571" s="7" t="s">
        <v>59</v>
      </c>
      <c r="B571" s="2" t="s">
        <v>7303</v>
      </c>
      <c r="C571" s="2" t="s">
        <v>7304</v>
      </c>
      <c r="D571" s="2" t="s">
        <v>7305</v>
      </c>
      <c r="F571" s="3" t="s">
        <v>59</v>
      </c>
      <c r="G571" s="3" t="s">
        <v>60</v>
      </c>
      <c r="H571" s="3" t="s">
        <v>59</v>
      </c>
      <c r="I571" s="3" t="s">
        <v>59</v>
      </c>
      <c r="J571" s="3" t="s">
        <v>61</v>
      </c>
      <c r="K571" s="2" t="s">
        <v>7306</v>
      </c>
      <c r="L571" s="2" t="s">
        <v>7307</v>
      </c>
      <c r="M571" s="3" t="s">
        <v>248</v>
      </c>
      <c r="O571" s="3" t="s">
        <v>64</v>
      </c>
      <c r="P571" s="3" t="s">
        <v>84</v>
      </c>
      <c r="Q571" s="2" t="s">
        <v>7308</v>
      </c>
      <c r="R571" s="3" t="s">
        <v>67</v>
      </c>
      <c r="S571" s="4">
        <v>10</v>
      </c>
      <c r="T571" s="4">
        <v>10</v>
      </c>
      <c r="U571" s="5" t="s">
        <v>2311</v>
      </c>
      <c r="V571" s="5" t="s">
        <v>2311</v>
      </c>
      <c r="W571" s="5" t="s">
        <v>133</v>
      </c>
      <c r="X571" s="5" t="s">
        <v>133</v>
      </c>
      <c r="Y571" s="4">
        <v>321</v>
      </c>
      <c r="Z571" s="4">
        <v>215</v>
      </c>
      <c r="AA571" s="4">
        <v>253</v>
      </c>
      <c r="AB571" s="4">
        <v>2</v>
      </c>
      <c r="AC571" s="4">
        <v>3</v>
      </c>
      <c r="AD571" s="4">
        <v>6</v>
      </c>
      <c r="AE571" s="4">
        <v>10</v>
      </c>
      <c r="AF571" s="4">
        <v>1</v>
      </c>
      <c r="AG571" s="4">
        <v>3</v>
      </c>
      <c r="AH571" s="4">
        <v>2</v>
      </c>
      <c r="AI571" s="4">
        <v>4</v>
      </c>
      <c r="AJ571" s="4">
        <v>5</v>
      </c>
      <c r="AK571" s="4">
        <v>5</v>
      </c>
      <c r="AL571" s="4">
        <v>1</v>
      </c>
      <c r="AM571" s="4">
        <v>2</v>
      </c>
      <c r="AN571" s="4">
        <v>0</v>
      </c>
      <c r="AO571" s="4">
        <v>0</v>
      </c>
      <c r="AP571" s="3" t="s">
        <v>59</v>
      </c>
      <c r="AQ571" s="3" t="s">
        <v>70</v>
      </c>
      <c r="AR571" s="6" t="str">
        <f>HYPERLINK("http://catalog.hathitrust.org/Record/000097906","HathiTrust Record")</f>
        <v>HathiTrust Record</v>
      </c>
      <c r="AS571" s="6" t="str">
        <f>HYPERLINK("https://creighton-primo.hosted.exlibrisgroup.com/primo-explore/search?tab=default_tab&amp;search_scope=EVERYTHING&amp;vid=01CRU&amp;lang=en_US&amp;offset=0&amp;query=any,contains,991004970589702656","Catalog Record")</f>
        <v>Catalog Record</v>
      </c>
      <c r="AT571" s="6" t="str">
        <f>HYPERLINK("http://www.worldcat.org/oclc/6357478","WorldCat Record")</f>
        <v>WorldCat Record</v>
      </c>
      <c r="AU571" s="3" t="s">
        <v>7309</v>
      </c>
      <c r="AV571" s="3" t="s">
        <v>7310</v>
      </c>
      <c r="AW571" s="3" t="s">
        <v>7311</v>
      </c>
      <c r="AX571" s="3" t="s">
        <v>7311</v>
      </c>
      <c r="AY571" s="3" t="s">
        <v>7312</v>
      </c>
      <c r="AZ571" s="3" t="s">
        <v>75</v>
      </c>
      <c r="BB571" s="3" t="s">
        <v>7313</v>
      </c>
      <c r="BC571" s="3" t="s">
        <v>7314</v>
      </c>
      <c r="BD571" s="3" t="s">
        <v>7315</v>
      </c>
    </row>
    <row r="572" spans="1:56" ht="48" customHeight="1" x14ac:dyDescent="0.25">
      <c r="A572" s="7" t="s">
        <v>59</v>
      </c>
      <c r="B572" s="2" t="s">
        <v>7316</v>
      </c>
      <c r="C572" s="2" t="s">
        <v>7317</v>
      </c>
      <c r="D572" s="2" t="s">
        <v>7318</v>
      </c>
      <c r="F572" s="3" t="s">
        <v>59</v>
      </c>
      <c r="G572" s="3" t="s">
        <v>60</v>
      </c>
      <c r="H572" s="3" t="s">
        <v>59</v>
      </c>
      <c r="I572" s="3" t="s">
        <v>59</v>
      </c>
      <c r="J572" s="3" t="s">
        <v>61</v>
      </c>
      <c r="K572" s="2" t="s">
        <v>7319</v>
      </c>
      <c r="L572" s="2" t="s">
        <v>7320</v>
      </c>
      <c r="M572" s="3" t="s">
        <v>376</v>
      </c>
      <c r="N572" s="2" t="s">
        <v>2577</v>
      </c>
      <c r="O572" s="3" t="s">
        <v>64</v>
      </c>
      <c r="P572" s="3" t="s">
        <v>130</v>
      </c>
      <c r="R572" s="3" t="s">
        <v>67</v>
      </c>
      <c r="S572" s="4">
        <v>13</v>
      </c>
      <c r="T572" s="4">
        <v>13</v>
      </c>
      <c r="U572" s="5" t="s">
        <v>7321</v>
      </c>
      <c r="V572" s="5" t="s">
        <v>7321</v>
      </c>
      <c r="W572" s="5" t="s">
        <v>7322</v>
      </c>
      <c r="X572" s="5" t="s">
        <v>7322</v>
      </c>
      <c r="Y572" s="4">
        <v>227</v>
      </c>
      <c r="Z572" s="4">
        <v>210</v>
      </c>
      <c r="AA572" s="4">
        <v>480</v>
      </c>
      <c r="AB572" s="4">
        <v>3</v>
      </c>
      <c r="AC572" s="4">
        <v>5</v>
      </c>
      <c r="AD572" s="4">
        <v>5</v>
      </c>
      <c r="AE572" s="4">
        <v>17</v>
      </c>
      <c r="AF572" s="4">
        <v>1</v>
      </c>
      <c r="AG572" s="4">
        <v>5</v>
      </c>
      <c r="AH572" s="4">
        <v>1</v>
      </c>
      <c r="AI572" s="4">
        <v>6</v>
      </c>
      <c r="AJ572" s="4">
        <v>2</v>
      </c>
      <c r="AK572" s="4">
        <v>8</v>
      </c>
      <c r="AL572" s="4">
        <v>1</v>
      </c>
      <c r="AM572" s="4">
        <v>3</v>
      </c>
      <c r="AN572" s="4">
        <v>0</v>
      </c>
      <c r="AO572" s="4">
        <v>0</v>
      </c>
      <c r="AP572" s="3" t="s">
        <v>59</v>
      </c>
      <c r="AQ572" s="3" t="s">
        <v>70</v>
      </c>
      <c r="AR572" s="6" t="str">
        <f>HYPERLINK("http://catalog.hathitrust.org/Record/000004758","HathiTrust Record")</f>
        <v>HathiTrust Record</v>
      </c>
      <c r="AS572" s="6" t="str">
        <f>HYPERLINK("https://creighton-primo.hosted.exlibrisgroup.com/primo-explore/search?tab=default_tab&amp;search_scope=EVERYTHING&amp;vid=01CRU&amp;lang=en_US&amp;offset=0&amp;query=any,contains,991005257709702656","Catalog Record")</f>
        <v>Catalog Record</v>
      </c>
      <c r="AT572" s="6" t="str">
        <f>HYPERLINK("http://www.worldcat.org/oclc/329558","WorldCat Record")</f>
        <v>WorldCat Record</v>
      </c>
      <c r="AU572" s="3" t="s">
        <v>7323</v>
      </c>
      <c r="AV572" s="3" t="s">
        <v>7324</v>
      </c>
      <c r="AW572" s="3" t="s">
        <v>7325</v>
      </c>
      <c r="AX572" s="3" t="s">
        <v>7325</v>
      </c>
      <c r="AY572" s="3" t="s">
        <v>7326</v>
      </c>
      <c r="AZ572" s="3" t="s">
        <v>75</v>
      </c>
      <c r="BB572" s="3" t="s">
        <v>7327</v>
      </c>
      <c r="BC572" s="3" t="s">
        <v>7328</v>
      </c>
      <c r="BD572" s="3" t="s">
        <v>7329</v>
      </c>
    </row>
    <row r="573" spans="1:56" ht="48" customHeight="1" x14ac:dyDescent="0.25">
      <c r="A573" s="7" t="s">
        <v>59</v>
      </c>
      <c r="B573" s="2" t="s">
        <v>7330</v>
      </c>
      <c r="C573" s="2" t="s">
        <v>7331</v>
      </c>
      <c r="D573" s="2" t="s">
        <v>7332</v>
      </c>
      <c r="F573" s="3" t="s">
        <v>59</v>
      </c>
      <c r="G573" s="3" t="s">
        <v>60</v>
      </c>
      <c r="H573" s="3" t="s">
        <v>70</v>
      </c>
      <c r="I573" s="3" t="s">
        <v>59</v>
      </c>
      <c r="J573" s="3" t="s">
        <v>61</v>
      </c>
      <c r="L573" s="2" t="s">
        <v>7333</v>
      </c>
      <c r="M573" s="3" t="s">
        <v>2389</v>
      </c>
      <c r="N573" s="2" t="s">
        <v>1945</v>
      </c>
      <c r="O573" s="3" t="s">
        <v>64</v>
      </c>
      <c r="P573" s="3" t="s">
        <v>130</v>
      </c>
      <c r="R573" s="3" t="s">
        <v>67</v>
      </c>
      <c r="S573" s="4">
        <v>10</v>
      </c>
      <c r="T573" s="4">
        <v>27</v>
      </c>
      <c r="U573" s="5" t="s">
        <v>4624</v>
      </c>
      <c r="V573" s="5" t="s">
        <v>4624</v>
      </c>
      <c r="W573" s="5" t="s">
        <v>7334</v>
      </c>
      <c r="X573" s="5" t="s">
        <v>7334</v>
      </c>
      <c r="Y573" s="4">
        <v>413</v>
      </c>
      <c r="Z573" s="4">
        <v>341</v>
      </c>
      <c r="AA573" s="4">
        <v>437</v>
      </c>
      <c r="AB573" s="4">
        <v>3</v>
      </c>
      <c r="AC573" s="4">
        <v>3</v>
      </c>
      <c r="AD573" s="4">
        <v>12</v>
      </c>
      <c r="AE573" s="4">
        <v>16</v>
      </c>
      <c r="AF573" s="4">
        <v>3</v>
      </c>
      <c r="AG573" s="4">
        <v>5</v>
      </c>
      <c r="AH573" s="4">
        <v>6</v>
      </c>
      <c r="AI573" s="4">
        <v>8</v>
      </c>
      <c r="AJ573" s="4">
        <v>4</v>
      </c>
      <c r="AK573" s="4">
        <v>6</v>
      </c>
      <c r="AL573" s="4">
        <v>2</v>
      </c>
      <c r="AM573" s="4">
        <v>2</v>
      </c>
      <c r="AN573" s="4">
        <v>0</v>
      </c>
      <c r="AO573" s="4">
        <v>0</v>
      </c>
      <c r="AP573" s="3" t="s">
        <v>59</v>
      </c>
      <c r="AQ573" s="3" t="s">
        <v>70</v>
      </c>
      <c r="AR573" s="6" t="str">
        <f>HYPERLINK("http://catalog.hathitrust.org/Record/000279918","HathiTrust Record")</f>
        <v>HathiTrust Record</v>
      </c>
      <c r="AS573" s="6" t="str">
        <f>HYPERLINK("https://creighton-primo.hosted.exlibrisgroup.com/primo-explore/search?tab=default_tab&amp;search_scope=EVERYTHING&amp;vid=01CRU&amp;lang=en_US&amp;offset=0&amp;query=any,contains,991000001629702656","Catalog Record")</f>
        <v>Catalog Record</v>
      </c>
      <c r="AT573" s="6" t="str">
        <f>HYPERLINK("http://www.worldcat.org/oclc/10512","WorldCat Record")</f>
        <v>WorldCat Record</v>
      </c>
      <c r="AU573" s="3" t="s">
        <v>7335</v>
      </c>
      <c r="AV573" s="3" t="s">
        <v>7336</v>
      </c>
      <c r="AW573" s="3" t="s">
        <v>7337</v>
      </c>
      <c r="AX573" s="3" t="s">
        <v>7337</v>
      </c>
      <c r="AY573" s="3" t="s">
        <v>7338</v>
      </c>
      <c r="AZ573" s="3" t="s">
        <v>75</v>
      </c>
      <c r="BB573" s="3" t="s">
        <v>7339</v>
      </c>
      <c r="BC573" s="3" t="s">
        <v>7340</v>
      </c>
      <c r="BD573" s="3" t="s">
        <v>7341</v>
      </c>
    </row>
    <row r="574" spans="1:56" ht="48" customHeight="1" x14ac:dyDescent="0.25">
      <c r="A574" s="7" t="s">
        <v>59</v>
      </c>
      <c r="B574" s="2" t="s">
        <v>7342</v>
      </c>
      <c r="C574" s="2" t="s">
        <v>7343</v>
      </c>
      <c r="D574" s="2" t="s">
        <v>7332</v>
      </c>
      <c r="E574" s="3" t="s">
        <v>7344</v>
      </c>
      <c r="F574" s="3" t="s">
        <v>59</v>
      </c>
      <c r="G574" s="3" t="s">
        <v>60</v>
      </c>
      <c r="H574" s="3" t="s">
        <v>59</v>
      </c>
      <c r="I574" s="3" t="s">
        <v>59</v>
      </c>
      <c r="J574" s="3" t="s">
        <v>61</v>
      </c>
      <c r="L574" s="2" t="s">
        <v>7333</v>
      </c>
      <c r="M574" s="3" t="s">
        <v>2389</v>
      </c>
      <c r="N574" s="2" t="s">
        <v>1945</v>
      </c>
      <c r="O574" s="3" t="s">
        <v>64</v>
      </c>
      <c r="P574" s="3" t="s">
        <v>130</v>
      </c>
      <c r="R574" s="3" t="s">
        <v>67</v>
      </c>
      <c r="S574" s="4">
        <v>17</v>
      </c>
      <c r="T574" s="4">
        <v>27</v>
      </c>
      <c r="U574" s="5" t="s">
        <v>7345</v>
      </c>
      <c r="V574" s="5" t="s">
        <v>4624</v>
      </c>
      <c r="W574" s="5" t="s">
        <v>133</v>
      </c>
      <c r="X574" s="5" t="s">
        <v>7334</v>
      </c>
      <c r="Y574" s="4">
        <v>413</v>
      </c>
      <c r="Z574" s="4">
        <v>341</v>
      </c>
      <c r="AA574" s="4">
        <v>437</v>
      </c>
      <c r="AB574" s="4">
        <v>3</v>
      </c>
      <c r="AC574" s="4">
        <v>3</v>
      </c>
      <c r="AD574" s="4">
        <v>12</v>
      </c>
      <c r="AE574" s="4">
        <v>16</v>
      </c>
      <c r="AF574" s="4">
        <v>3</v>
      </c>
      <c r="AG574" s="4">
        <v>5</v>
      </c>
      <c r="AH574" s="4">
        <v>6</v>
      </c>
      <c r="AI574" s="4">
        <v>8</v>
      </c>
      <c r="AJ574" s="4">
        <v>4</v>
      </c>
      <c r="AK574" s="4">
        <v>6</v>
      </c>
      <c r="AL574" s="4">
        <v>2</v>
      </c>
      <c r="AM574" s="4">
        <v>2</v>
      </c>
      <c r="AN574" s="4">
        <v>0</v>
      </c>
      <c r="AO574" s="4">
        <v>0</v>
      </c>
      <c r="AP574" s="3" t="s">
        <v>59</v>
      </c>
      <c r="AQ574" s="3" t="s">
        <v>70</v>
      </c>
      <c r="AR574" s="6" t="str">
        <f>HYPERLINK("http://catalog.hathitrust.org/Record/000279918","HathiTrust Record")</f>
        <v>HathiTrust Record</v>
      </c>
      <c r="AS574" s="6" t="str">
        <f>HYPERLINK("https://creighton-primo.hosted.exlibrisgroup.com/primo-explore/search?tab=default_tab&amp;search_scope=EVERYTHING&amp;vid=01CRU&amp;lang=en_US&amp;offset=0&amp;query=any,contains,991000001629702656","Catalog Record")</f>
        <v>Catalog Record</v>
      </c>
      <c r="AT574" s="6" t="str">
        <f>HYPERLINK("http://www.worldcat.org/oclc/10512","WorldCat Record")</f>
        <v>WorldCat Record</v>
      </c>
      <c r="AU574" s="3" t="s">
        <v>7335</v>
      </c>
      <c r="AV574" s="3" t="s">
        <v>7336</v>
      </c>
      <c r="AW574" s="3" t="s">
        <v>7337</v>
      </c>
      <c r="AX574" s="3" t="s">
        <v>7337</v>
      </c>
      <c r="AY574" s="3" t="s">
        <v>7338</v>
      </c>
      <c r="AZ574" s="3" t="s">
        <v>75</v>
      </c>
      <c r="BB574" s="3" t="s">
        <v>7339</v>
      </c>
      <c r="BC574" s="3" t="s">
        <v>7346</v>
      </c>
      <c r="BD574" s="3" t="s">
        <v>7347</v>
      </c>
    </row>
    <row r="575" spans="1:56" ht="48" customHeight="1" x14ac:dyDescent="0.25">
      <c r="A575" s="7" t="s">
        <v>59</v>
      </c>
      <c r="B575" s="2" t="s">
        <v>7348</v>
      </c>
      <c r="C575" s="2" t="s">
        <v>7349</v>
      </c>
      <c r="D575" s="2" t="s">
        <v>7350</v>
      </c>
      <c r="F575" s="3" t="s">
        <v>59</v>
      </c>
      <c r="G575" s="3" t="s">
        <v>60</v>
      </c>
      <c r="H575" s="3" t="s">
        <v>59</v>
      </c>
      <c r="I575" s="3" t="s">
        <v>59</v>
      </c>
      <c r="J575" s="3" t="s">
        <v>61</v>
      </c>
      <c r="K575" s="2" t="s">
        <v>7351</v>
      </c>
      <c r="L575" s="2" t="s">
        <v>7352</v>
      </c>
      <c r="M575" s="3" t="s">
        <v>6695</v>
      </c>
      <c r="O575" s="3" t="s">
        <v>64</v>
      </c>
      <c r="P575" s="3" t="s">
        <v>130</v>
      </c>
      <c r="R575" s="3" t="s">
        <v>67</v>
      </c>
      <c r="S575" s="4">
        <v>11</v>
      </c>
      <c r="T575" s="4">
        <v>11</v>
      </c>
      <c r="U575" s="5" t="s">
        <v>7353</v>
      </c>
      <c r="V575" s="5" t="s">
        <v>7353</v>
      </c>
      <c r="W575" s="5" t="s">
        <v>7354</v>
      </c>
      <c r="X575" s="5" t="s">
        <v>7354</v>
      </c>
      <c r="Y575" s="4">
        <v>829</v>
      </c>
      <c r="Z575" s="4">
        <v>649</v>
      </c>
      <c r="AA575" s="4">
        <v>659</v>
      </c>
      <c r="AB575" s="4">
        <v>5</v>
      </c>
      <c r="AC575" s="4">
        <v>5</v>
      </c>
      <c r="AD575" s="4">
        <v>26</v>
      </c>
      <c r="AE575" s="4">
        <v>26</v>
      </c>
      <c r="AF575" s="4">
        <v>9</v>
      </c>
      <c r="AG575" s="4">
        <v>9</v>
      </c>
      <c r="AH575" s="4">
        <v>7</v>
      </c>
      <c r="AI575" s="4">
        <v>7</v>
      </c>
      <c r="AJ575" s="4">
        <v>12</v>
      </c>
      <c r="AK575" s="4">
        <v>12</v>
      </c>
      <c r="AL575" s="4">
        <v>4</v>
      </c>
      <c r="AM575" s="4">
        <v>4</v>
      </c>
      <c r="AN575" s="4">
        <v>0</v>
      </c>
      <c r="AO575" s="4">
        <v>0</v>
      </c>
      <c r="AP575" s="3" t="s">
        <v>59</v>
      </c>
      <c r="AQ575" s="3" t="s">
        <v>70</v>
      </c>
      <c r="AR575" s="6" t="str">
        <f>HYPERLINK("http://catalog.hathitrust.org/Record/001555059","HathiTrust Record")</f>
        <v>HathiTrust Record</v>
      </c>
      <c r="AS575" s="6" t="str">
        <f>HYPERLINK("https://creighton-primo.hosted.exlibrisgroup.com/primo-explore/search?tab=default_tab&amp;search_scope=EVERYTHING&amp;vid=01CRU&amp;lang=en_US&amp;offset=0&amp;query=any,contains,991002989299702656","Catalog Record")</f>
        <v>Catalog Record</v>
      </c>
      <c r="AT575" s="6" t="str">
        <f>HYPERLINK("http://www.worldcat.org/oclc/559625","WorldCat Record")</f>
        <v>WorldCat Record</v>
      </c>
      <c r="AU575" s="3" t="s">
        <v>7355</v>
      </c>
      <c r="AV575" s="3" t="s">
        <v>7356</v>
      </c>
      <c r="AW575" s="3" t="s">
        <v>7357</v>
      </c>
      <c r="AX575" s="3" t="s">
        <v>7357</v>
      </c>
      <c r="AY575" s="3" t="s">
        <v>7358</v>
      </c>
      <c r="AZ575" s="3" t="s">
        <v>75</v>
      </c>
      <c r="BC575" s="3" t="s">
        <v>7359</v>
      </c>
      <c r="BD575" s="3" t="s">
        <v>7360</v>
      </c>
    </row>
    <row r="576" spans="1:56" ht="48" customHeight="1" x14ac:dyDescent="0.25">
      <c r="A576" s="7" t="s">
        <v>59</v>
      </c>
      <c r="B576" s="2" t="s">
        <v>7361</v>
      </c>
      <c r="C576" s="2" t="s">
        <v>7362</v>
      </c>
      <c r="D576" s="2" t="s">
        <v>7363</v>
      </c>
      <c r="E576" s="3" t="s">
        <v>7364</v>
      </c>
      <c r="F576" s="3" t="s">
        <v>70</v>
      </c>
      <c r="G576" s="3" t="s">
        <v>60</v>
      </c>
      <c r="H576" s="3" t="s">
        <v>59</v>
      </c>
      <c r="I576" s="3" t="s">
        <v>59</v>
      </c>
      <c r="J576" s="3" t="s">
        <v>61</v>
      </c>
      <c r="K576" s="2" t="s">
        <v>7365</v>
      </c>
      <c r="L576" s="2" t="s">
        <v>7366</v>
      </c>
      <c r="M576" s="3" t="s">
        <v>992</v>
      </c>
      <c r="O576" s="3" t="s">
        <v>64</v>
      </c>
      <c r="P576" s="3" t="s">
        <v>130</v>
      </c>
      <c r="R576" s="3" t="s">
        <v>67</v>
      </c>
      <c r="S576" s="4">
        <v>5</v>
      </c>
      <c r="T576" s="4">
        <v>10</v>
      </c>
      <c r="U576" s="5" t="s">
        <v>7367</v>
      </c>
      <c r="V576" s="5" t="s">
        <v>7367</v>
      </c>
      <c r="W576" s="5" t="s">
        <v>1217</v>
      </c>
      <c r="X576" s="5" t="s">
        <v>6862</v>
      </c>
      <c r="Y576" s="4">
        <v>511</v>
      </c>
      <c r="Z576" s="4">
        <v>442</v>
      </c>
      <c r="AA576" s="4">
        <v>462</v>
      </c>
      <c r="AB576" s="4">
        <v>3</v>
      </c>
      <c r="AC576" s="4">
        <v>3</v>
      </c>
      <c r="AD576" s="4">
        <v>20</v>
      </c>
      <c r="AE576" s="4">
        <v>20</v>
      </c>
      <c r="AF576" s="4">
        <v>6</v>
      </c>
      <c r="AG576" s="4">
        <v>6</v>
      </c>
      <c r="AH576" s="4">
        <v>3</v>
      </c>
      <c r="AI576" s="4">
        <v>3</v>
      </c>
      <c r="AJ576" s="4">
        <v>9</v>
      </c>
      <c r="AK576" s="4">
        <v>9</v>
      </c>
      <c r="AL576" s="4">
        <v>2</v>
      </c>
      <c r="AM576" s="4">
        <v>2</v>
      </c>
      <c r="AN576" s="4">
        <v>1</v>
      </c>
      <c r="AO576" s="4">
        <v>1</v>
      </c>
      <c r="AP576" s="3" t="s">
        <v>59</v>
      </c>
      <c r="AQ576" s="3" t="s">
        <v>70</v>
      </c>
      <c r="AR576" s="6" t="str">
        <f>HYPERLINK("http://catalog.hathitrust.org/Record/001555064","HathiTrust Record")</f>
        <v>HathiTrust Record</v>
      </c>
      <c r="AS576" s="6" t="str">
        <f>HYPERLINK("https://creighton-primo.hosted.exlibrisgroup.com/primo-explore/search?tab=default_tab&amp;search_scope=EVERYTHING&amp;vid=01CRU&amp;lang=en_US&amp;offset=0&amp;query=any,contains,991002914079702656","Catalog Record")</f>
        <v>Catalog Record</v>
      </c>
      <c r="AT576" s="6" t="str">
        <f>HYPERLINK("http://www.worldcat.org/oclc/523553","WorldCat Record")</f>
        <v>WorldCat Record</v>
      </c>
      <c r="AU576" s="3" t="s">
        <v>7368</v>
      </c>
      <c r="AV576" s="3" t="s">
        <v>7369</v>
      </c>
      <c r="AW576" s="3" t="s">
        <v>7370</v>
      </c>
      <c r="AX576" s="3" t="s">
        <v>7370</v>
      </c>
      <c r="AY576" s="3" t="s">
        <v>7371</v>
      </c>
      <c r="AZ576" s="3" t="s">
        <v>75</v>
      </c>
      <c r="BC576" s="3" t="s">
        <v>7372</v>
      </c>
      <c r="BD576" s="3" t="s">
        <v>7373</v>
      </c>
    </row>
    <row r="577" spans="1:56" ht="48" customHeight="1" x14ac:dyDescent="0.25">
      <c r="A577" s="7" t="s">
        <v>59</v>
      </c>
      <c r="B577" s="2" t="s">
        <v>7361</v>
      </c>
      <c r="C577" s="2" t="s">
        <v>7362</v>
      </c>
      <c r="D577" s="2" t="s">
        <v>7363</v>
      </c>
      <c r="E577" s="3" t="s">
        <v>1470</v>
      </c>
      <c r="F577" s="3" t="s">
        <v>70</v>
      </c>
      <c r="G577" s="3" t="s">
        <v>60</v>
      </c>
      <c r="H577" s="3" t="s">
        <v>59</v>
      </c>
      <c r="I577" s="3" t="s">
        <v>59</v>
      </c>
      <c r="J577" s="3" t="s">
        <v>61</v>
      </c>
      <c r="K577" s="2" t="s">
        <v>7365</v>
      </c>
      <c r="L577" s="2" t="s">
        <v>7366</v>
      </c>
      <c r="M577" s="3" t="s">
        <v>992</v>
      </c>
      <c r="O577" s="3" t="s">
        <v>64</v>
      </c>
      <c r="P577" s="3" t="s">
        <v>130</v>
      </c>
      <c r="R577" s="3" t="s">
        <v>67</v>
      </c>
      <c r="S577" s="4">
        <v>5</v>
      </c>
      <c r="T577" s="4">
        <v>10</v>
      </c>
      <c r="U577" s="5" t="s">
        <v>7367</v>
      </c>
      <c r="V577" s="5" t="s">
        <v>7367</v>
      </c>
      <c r="W577" s="5" t="s">
        <v>6862</v>
      </c>
      <c r="X577" s="5" t="s">
        <v>6862</v>
      </c>
      <c r="Y577" s="4">
        <v>511</v>
      </c>
      <c r="Z577" s="4">
        <v>442</v>
      </c>
      <c r="AA577" s="4">
        <v>462</v>
      </c>
      <c r="AB577" s="4">
        <v>3</v>
      </c>
      <c r="AC577" s="4">
        <v>3</v>
      </c>
      <c r="AD577" s="4">
        <v>20</v>
      </c>
      <c r="AE577" s="4">
        <v>20</v>
      </c>
      <c r="AF577" s="4">
        <v>6</v>
      </c>
      <c r="AG577" s="4">
        <v>6</v>
      </c>
      <c r="AH577" s="4">
        <v>3</v>
      </c>
      <c r="AI577" s="4">
        <v>3</v>
      </c>
      <c r="AJ577" s="4">
        <v>9</v>
      </c>
      <c r="AK577" s="4">
        <v>9</v>
      </c>
      <c r="AL577" s="4">
        <v>2</v>
      </c>
      <c r="AM577" s="4">
        <v>2</v>
      </c>
      <c r="AN577" s="4">
        <v>1</v>
      </c>
      <c r="AO577" s="4">
        <v>1</v>
      </c>
      <c r="AP577" s="3" t="s">
        <v>59</v>
      </c>
      <c r="AQ577" s="3" t="s">
        <v>70</v>
      </c>
      <c r="AR577" s="6" t="str">
        <f>HYPERLINK("http://catalog.hathitrust.org/Record/001555064","HathiTrust Record")</f>
        <v>HathiTrust Record</v>
      </c>
      <c r="AS577" s="6" t="str">
        <f>HYPERLINK("https://creighton-primo.hosted.exlibrisgroup.com/primo-explore/search?tab=default_tab&amp;search_scope=EVERYTHING&amp;vid=01CRU&amp;lang=en_US&amp;offset=0&amp;query=any,contains,991002914079702656","Catalog Record")</f>
        <v>Catalog Record</v>
      </c>
      <c r="AT577" s="6" t="str">
        <f>HYPERLINK("http://www.worldcat.org/oclc/523553","WorldCat Record")</f>
        <v>WorldCat Record</v>
      </c>
      <c r="AU577" s="3" t="s">
        <v>7368</v>
      </c>
      <c r="AV577" s="3" t="s">
        <v>7369</v>
      </c>
      <c r="AW577" s="3" t="s">
        <v>7370</v>
      </c>
      <c r="AX577" s="3" t="s">
        <v>7370</v>
      </c>
      <c r="AY577" s="3" t="s">
        <v>7371</v>
      </c>
      <c r="AZ577" s="3" t="s">
        <v>75</v>
      </c>
      <c r="BC577" s="3" t="s">
        <v>7374</v>
      </c>
      <c r="BD577" s="3" t="s">
        <v>7375</v>
      </c>
    </row>
    <row r="578" spans="1:56" ht="48" customHeight="1" x14ac:dyDescent="0.25">
      <c r="A578" s="7" t="s">
        <v>59</v>
      </c>
      <c r="B578" s="2" t="s">
        <v>7376</v>
      </c>
      <c r="C578" s="2" t="s">
        <v>7377</v>
      </c>
      <c r="D578" s="2" t="s">
        <v>7378</v>
      </c>
      <c r="F578" s="3" t="s">
        <v>59</v>
      </c>
      <c r="G578" s="3" t="s">
        <v>60</v>
      </c>
      <c r="H578" s="3" t="s">
        <v>59</v>
      </c>
      <c r="I578" s="3" t="s">
        <v>59</v>
      </c>
      <c r="J578" s="3" t="s">
        <v>61</v>
      </c>
      <c r="K578" s="2" t="s">
        <v>5788</v>
      </c>
      <c r="L578" s="2" t="s">
        <v>7379</v>
      </c>
      <c r="M578" s="3" t="s">
        <v>4596</v>
      </c>
      <c r="O578" s="3" t="s">
        <v>64</v>
      </c>
      <c r="P578" s="3" t="s">
        <v>130</v>
      </c>
      <c r="R578" s="3" t="s">
        <v>67</v>
      </c>
      <c r="S578" s="4">
        <v>4</v>
      </c>
      <c r="T578" s="4">
        <v>4</v>
      </c>
      <c r="U578" s="5" t="s">
        <v>7321</v>
      </c>
      <c r="V578" s="5" t="s">
        <v>7321</v>
      </c>
      <c r="W578" s="5" t="s">
        <v>7380</v>
      </c>
      <c r="X578" s="5" t="s">
        <v>7380</v>
      </c>
      <c r="Y578" s="4">
        <v>416</v>
      </c>
      <c r="Z578" s="4">
        <v>318</v>
      </c>
      <c r="AA578" s="4">
        <v>862</v>
      </c>
      <c r="AB578" s="4">
        <v>2</v>
      </c>
      <c r="AC578" s="4">
        <v>14</v>
      </c>
      <c r="AD578" s="4">
        <v>10</v>
      </c>
      <c r="AE578" s="4">
        <v>36</v>
      </c>
      <c r="AF578" s="4">
        <v>3</v>
      </c>
      <c r="AG578" s="4">
        <v>10</v>
      </c>
      <c r="AH578" s="4">
        <v>3</v>
      </c>
      <c r="AI578" s="4">
        <v>9</v>
      </c>
      <c r="AJ578" s="4">
        <v>5</v>
      </c>
      <c r="AK578" s="4">
        <v>9</v>
      </c>
      <c r="AL578" s="4">
        <v>1</v>
      </c>
      <c r="AM578" s="4">
        <v>11</v>
      </c>
      <c r="AN578" s="4">
        <v>0</v>
      </c>
      <c r="AO578" s="4">
        <v>1</v>
      </c>
      <c r="AP578" s="3" t="s">
        <v>59</v>
      </c>
      <c r="AQ578" s="3" t="s">
        <v>70</v>
      </c>
      <c r="AR578" s="6" t="str">
        <f>HYPERLINK("http://catalog.hathitrust.org/Record/004920815","HathiTrust Record")</f>
        <v>HathiTrust Record</v>
      </c>
      <c r="AS578" s="6" t="str">
        <f>HYPERLINK("https://creighton-primo.hosted.exlibrisgroup.com/primo-explore/search?tab=default_tab&amp;search_scope=EVERYTHING&amp;vid=01CRU&amp;lang=en_US&amp;offset=0&amp;query=any,contains,991004629829702656","Catalog Record")</f>
        <v>Catalog Record</v>
      </c>
      <c r="AT578" s="6" t="str">
        <f>HYPERLINK("http://www.worldcat.org/oclc/55055487","WorldCat Record")</f>
        <v>WorldCat Record</v>
      </c>
      <c r="AU578" s="3" t="s">
        <v>7381</v>
      </c>
      <c r="AV578" s="3" t="s">
        <v>7382</v>
      </c>
      <c r="AW578" s="3" t="s">
        <v>7383</v>
      </c>
      <c r="AX578" s="3" t="s">
        <v>7383</v>
      </c>
      <c r="AY578" s="3" t="s">
        <v>7384</v>
      </c>
      <c r="AZ578" s="3" t="s">
        <v>75</v>
      </c>
      <c r="BB578" s="3" t="s">
        <v>7385</v>
      </c>
      <c r="BC578" s="3" t="s">
        <v>7386</v>
      </c>
      <c r="BD578" s="3" t="s">
        <v>7387</v>
      </c>
    </row>
    <row r="579" spans="1:56" ht="48" customHeight="1" x14ac:dyDescent="0.25">
      <c r="A579" s="7" t="s">
        <v>59</v>
      </c>
      <c r="B579" s="2" t="s">
        <v>7388</v>
      </c>
      <c r="C579" s="2" t="s">
        <v>7389</v>
      </c>
      <c r="D579" s="2" t="s">
        <v>7390</v>
      </c>
      <c r="F579" s="3" t="s">
        <v>59</v>
      </c>
      <c r="G579" s="3" t="s">
        <v>60</v>
      </c>
      <c r="H579" s="3" t="s">
        <v>59</v>
      </c>
      <c r="I579" s="3" t="s">
        <v>59</v>
      </c>
      <c r="J579" s="3" t="s">
        <v>61</v>
      </c>
      <c r="K579" s="2" t="s">
        <v>7391</v>
      </c>
      <c r="L579" s="2" t="s">
        <v>4223</v>
      </c>
      <c r="M579" s="3" t="s">
        <v>161</v>
      </c>
      <c r="O579" s="3" t="s">
        <v>64</v>
      </c>
      <c r="P579" s="3" t="s">
        <v>1201</v>
      </c>
      <c r="Q579" s="2" t="s">
        <v>7392</v>
      </c>
      <c r="R579" s="3" t="s">
        <v>67</v>
      </c>
      <c r="S579" s="4">
        <v>9</v>
      </c>
      <c r="T579" s="4">
        <v>9</v>
      </c>
      <c r="U579" s="5" t="s">
        <v>7393</v>
      </c>
      <c r="V579" s="5" t="s">
        <v>7393</v>
      </c>
      <c r="W579" s="5" t="s">
        <v>7394</v>
      </c>
      <c r="X579" s="5" t="s">
        <v>7394</v>
      </c>
      <c r="Y579" s="4">
        <v>219</v>
      </c>
      <c r="Z579" s="4">
        <v>125</v>
      </c>
      <c r="AA579" s="4">
        <v>140</v>
      </c>
      <c r="AB579" s="4">
        <v>2</v>
      </c>
      <c r="AC579" s="4">
        <v>2</v>
      </c>
      <c r="AD579" s="4">
        <v>4</v>
      </c>
      <c r="AE579" s="4">
        <v>4</v>
      </c>
      <c r="AF579" s="4">
        <v>1</v>
      </c>
      <c r="AG579" s="4">
        <v>1</v>
      </c>
      <c r="AH579" s="4">
        <v>1</v>
      </c>
      <c r="AI579" s="4">
        <v>1</v>
      </c>
      <c r="AJ579" s="4">
        <v>2</v>
      </c>
      <c r="AK579" s="4">
        <v>2</v>
      </c>
      <c r="AL579" s="4">
        <v>1</v>
      </c>
      <c r="AM579" s="4">
        <v>1</v>
      </c>
      <c r="AN579" s="4">
        <v>0</v>
      </c>
      <c r="AO579" s="4">
        <v>0</v>
      </c>
      <c r="AP579" s="3" t="s">
        <v>59</v>
      </c>
      <c r="AQ579" s="3" t="s">
        <v>70</v>
      </c>
      <c r="AR579" s="6" t="str">
        <f>HYPERLINK("http://catalog.hathitrust.org/Record/006710917","HathiTrust Record")</f>
        <v>HathiTrust Record</v>
      </c>
      <c r="AS579" s="6" t="str">
        <f>HYPERLINK("https://creighton-primo.hosted.exlibrisgroup.com/primo-explore/search?tab=default_tab&amp;search_scope=EVERYTHING&amp;vid=01CRU&amp;lang=en_US&amp;offset=0&amp;query=any,contains,991004943839702656","Catalog Record")</f>
        <v>Catalog Record</v>
      </c>
      <c r="AT579" s="6" t="str">
        <f>HYPERLINK("http://www.worldcat.org/oclc/6196709","WorldCat Record")</f>
        <v>WorldCat Record</v>
      </c>
      <c r="AU579" s="3" t="s">
        <v>7395</v>
      </c>
      <c r="AV579" s="3" t="s">
        <v>7396</v>
      </c>
      <c r="AW579" s="3" t="s">
        <v>7397</v>
      </c>
      <c r="AX579" s="3" t="s">
        <v>7397</v>
      </c>
      <c r="AY579" s="3" t="s">
        <v>7398</v>
      </c>
      <c r="AZ579" s="3" t="s">
        <v>75</v>
      </c>
      <c r="BB579" s="3" t="s">
        <v>7399</v>
      </c>
      <c r="BC579" s="3" t="s">
        <v>7400</v>
      </c>
      <c r="BD579" s="3" t="s">
        <v>7401</v>
      </c>
    </row>
    <row r="580" spans="1:56" ht="48" customHeight="1" x14ac:dyDescent="0.25">
      <c r="A580" s="7" t="s">
        <v>59</v>
      </c>
      <c r="B580" s="2" t="s">
        <v>7402</v>
      </c>
      <c r="C580" s="2" t="s">
        <v>7403</v>
      </c>
      <c r="D580" s="2" t="s">
        <v>7404</v>
      </c>
      <c r="F580" s="3" t="s">
        <v>59</v>
      </c>
      <c r="G580" s="3" t="s">
        <v>60</v>
      </c>
      <c r="H580" s="3" t="s">
        <v>59</v>
      </c>
      <c r="I580" s="3" t="s">
        <v>59</v>
      </c>
      <c r="J580" s="3" t="s">
        <v>61</v>
      </c>
      <c r="K580" s="2" t="s">
        <v>7391</v>
      </c>
      <c r="L580" s="2" t="s">
        <v>7405</v>
      </c>
      <c r="M580" s="3" t="s">
        <v>872</v>
      </c>
      <c r="N580" s="2" t="s">
        <v>7406</v>
      </c>
      <c r="O580" s="3" t="s">
        <v>64</v>
      </c>
      <c r="P580" s="3" t="s">
        <v>84</v>
      </c>
      <c r="R580" s="3" t="s">
        <v>67</v>
      </c>
      <c r="S580" s="4">
        <v>2</v>
      </c>
      <c r="T580" s="4">
        <v>2</v>
      </c>
      <c r="U580" s="5" t="s">
        <v>7407</v>
      </c>
      <c r="V580" s="5" t="s">
        <v>7407</v>
      </c>
      <c r="W580" s="5" t="s">
        <v>7322</v>
      </c>
      <c r="X580" s="5" t="s">
        <v>7322</v>
      </c>
      <c r="Y580" s="4">
        <v>501</v>
      </c>
      <c r="Z580" s="4">
        <v>394</v>
      </c>
      <c r="AA580" s="4">
        <v>568</v>
      </c>
      <c r="AB580" s="4">
        <v>4</v>
      </c>
      <c r="AC580" s="4">
        <v>5</v>
      </c>
      <c r="AD580" s="4">
        <v>18</v>
      </c>
      <c r="AE580" s="4">
        <v>28</v>
      </c>
      <c r="AF580" s="4">
        <v>4</v>
      </c>
      <c r="AG580" s="4">
        <v>8</v>
      </c>
      <c r="AH580" s="4">
        <v>5</v>
      </c>
      <c r="AI580" s="4">
        <v>6</v>
      </c>
      <c r="AJ580" s="4">
        <v>10</v>
      </c>
      <c r="AK580" s="4">
        <v>15</v>
      </c>
      <c r="AL580" s="4">
        <v>3</v>
      </c>
      <c r="AM580" s="4">
        <v>4</v>
      </c>
      <c r="AN580" s="4">
        <v>0</v>
      </c>
      <c r="AO580" s="4">
        <v>0</v>
      </c>
      <c r="AP580" s="3" t="s">
        <v>59</v>
      </c>
      <c r="AQ580" s="3" t="s">
        <v>70</v>
      </c>
      <c r="AR580" s="6" t="str">
        <f>HYPERLINK("http://catalog.hathitrust.org/Record/001555072","HathiTrust Record")</f>
        <v>HathiTrust Record</v>
      </c>
      <c r="AS580" s="6" t="str">
        <f>HYPERLINK("https://creighton-primo.hosted.exlibrisgroup.com/primo-explore/search?tab=default_tab&amp;search_scope=EVERYTHING&amp;vid=01CRU&amp;lang=en_US&amp;offset=0&amp;query=any,contains,991002811399702656","Catalog Record")</f>
        <v>Catalog Record</v>
      </c>
      <c r="AT580" s="6" t="str">
        <f>HYPERLINK("http://www.worldcat.org/oclc/455533","WorldCat Record")</f>
        <v>WorldCat Record</v>
      </c>
      <c r="AU580" s="3" t="s">
        <v>7408</v>
      </c>
      <c r="AV580" s="3" t="s">
        <v>7409</v>
      </c>
      <c r="AW580" s="3" t="s">
        <v>7410</v>
      </c>
      <c r="AX580" s="3" t="s">
        <v>7410</v>
      </c>
      <c r="AY580" s="3" t="s">
        <v>7411</v>
      </c>
      <c r="AZ580" s="3" t="s">
        <v>75</v>
      </c>
      <c r="BC580" s="3" t="s">
        <v>7412</v>
      </c>
      <c r="BD580" s="3" t="s">
        <v>7413</v>
      </c>
    </row>
    <row r="581" spans="1:56" ht="48" customHeight="1" x14ac:dyDescent="0.25">
      <c r="A581" s="7" t="s">
        <v>59</v>
      </c>
      <c r="B581" s="2" t="s">
        <v>7414</v>
      </c>
      <c r="C581" s="2" t="s">
        <v>7415</v>
      </c>
      <c r="D581" s="2" t="s">
        <v>7416</v>
      </c>
      <c r="F581" s="3" t="s">
        <v>59</v>
      </c>
      <c r="G581" s="3" t="s">
        <v>60</v>
      </c>
      <c r="H581" s="3" t="s">
        <v>59</v>
      </c>
      <c r="I581" s="3" t="s">
        <v>59</v>
      </c>
      <c r="J581" s="3" t="s">
        <v>61</v>
      </c>
      <c r="K581" s="2" t="s">
        <v>7417</v>
      </c>
      <c r="L581" s="2" t="s">
        <v>7418</v>
      </c>
      <c r="M581" s="3" t="s">
        <v>7419</v>
      </c>
      <c r="O581" s="3" t="s">
        <v>64</v>
      </c>
      <c r="P581" s="3" t="s">
        <v>1973</v>
      </c>
      <c r="R581" s="3" t="s">
        <v>67</v>
      </c>
      <c r="S581" s="4">
        <v>4</v>
      </c>
      <c r="T581" s="4">
        <v>4</v>
      </c>
      <c r="U581" s="5" t="s">
        <v>7035</v>
      </c>
      <c r="V581" s="5" t="s">
        <v>7035</v>
      </c>
      <c r="W581" s="5" t="s">
        <v>7420</v>
      </c>
      <c r="X581" s="5" t="s">
        <v>7420</v>
      </c>
      <c r="Y581" s="4">
        <v>272</v>
      </c>
      <c r="Z581" s="4">
        <v>235</v>
      </c>
      <c r="AA581" s="4">
        <v>244</v>
      </c>
      <c r="AB581" s="4">
        <v>4</v>
      </c>
      <c r="AC581" s="4">
        <v>4</v>
      </c>
      <c r="AD581" s="4">
        <v>8</v>
      </c>
      <c r="AE581" s="4">
        <v>8</v>
      </c>
      <c r="AF581" s="4">
        <v>2</v>
      </c>
      <c r="AG581" s="4">
        <v>2</v>
      </c>
      <c r="AH581" s="4">
        <v>1</v>
      </c>
      <c r="AI581" s="4">
        <v>1</v>
      </c>
      <c r="AJ581" s="4">
        <v>3</v>
      </c>
      <c r="AK581" s="4">
        <v>3</v>
      </c>
      <c r="AL581" s="4">
        <v>3</v>
      </c>
      <c r="AM581" s="4">
        <v>3</v>
      </c>
      <c r="AN581" s="4">
        <v>0</v>
      </c>
      <c r="AO581" s="4">
        <v>0</v>
      </c>
      <c r="AP581" s="3" t="s">
        <v>59</v>
      </c>
      <c r="AQ581" s="3" t="s">
        <v>70</v>
      </c>
      <c r="AR581" s="6" t="str">
        <f>HYPERLINK("http://catalog.hathitrust.org/Record/001555073","HathiTrust Record")</f>
        <v>HathiTrust Record</v>
      </c>
      <c r="AS581" s="6" t="str">
        <f>HYPERLINK("https://creighton-primo.hosted.exlibrisgroup.com/primo-explore/search?tab=default_tab&amp;search_scope=EVERYTHING&amp;vid=01CRU&amp;lang=en_US&amp;offset=0&amp;query=any,contains,991003437129702656","Catalog Record")</f>
        <v>Catalog Record</v>
      </c>
      <c r="AT581" s="6" t="str">
        <f>HYPERLINK("http://www.worldcat.org/oclc/972756","WorldCat Record")</f>
        <v>WorldCat Record</v>
      </c>
      <c r="AU581" s="3" t="s">
        <v>7421</v>
      </c>
      <c r="AV581" s="3" t="s">
        <v>7422</v>
      </c>
      <c r="AW581" s="3" t="s">
        <v>7423</v>
      </c>
      <c r="AX581" s="3" t="s">
        <v>7423</v>
      </c>
      <c r="AY581" s="3" t="s">
        <v>7424</v>
      </c>
      <c r="AZ581" s="3" t="s">
        <v>75</v>
      </c>
      <c r="BC581" s="3" t="s">
        <v>7425</v>
      </c>
      <c r="BD581" s="3" t="s">
        <v>7426</v>
      </c>
    </row>
    <row r="582" spans="1:56" ht="48" customHeight="1" x14ac:dyDescent="0.25">
      <c r="A582" s="7" t="s">
        <v>59</v>
      </c>
      <c r="B582" s="2" t="s">
        <v>7427</v>
      </c>
      <c r="C582" s="2" t="s">
        <v>7428</v>
      </c>
      <c r="D582" s="2" t="s">
        <v>7429</v>
      </c>
      <c r="F582" s="3" t="s">
        <v>59</v>
      </c>
      <c r="G582" s="3" t="s">
        <v>60</v>
      </c>
      <c r="H582" s="3" t="s">
        <v>59</v>
      </c>
      <c r="I582" s="3" t="s">
        <v>59</v>
      </c>
      <c r="J582" s="3" t="s">
        <v>61</v>
      </c>
      <c r="K582" s="2" t="s">
        <v>7430</v>
      </c>
      <c r="L582" s="2" t="s">
        <v>7431</v>
      </c>
      <c r="M582" s="3" t="s">
        <v>485</v>
      </c>
      <c r="O582" s="3" t="s">
        <v>64</v>
      </c>
      <c r="P582" s="3" t="s">
        <v>84</v>
      </c>
      <c r="R582" s="3" t="s">
        <v>67</v>
      </c>
      <c r="S582" s="4">
        <v>4</v>
      </c>
      <c r="T582" s="4">
        <v>4</v>
      </c>
      <c r="U582" s="5" t="s">
        <v>7432</v>
      </c>
      <c r="V582" s="5" t="s">
        <v>7432</v>
      </c>
      <c r="W582" s="5" t="s">
        <v>7433</v>
      </c>
      <c r="X582" s="5" t="s">
        <v>7433</v>
      </c>
      <c r="Y582" s="4">
        <v>376</v>
      </c>
      <c r="Z582" s="4">
        <v>275</v>
      </c>
      <c r="AA582" s="4">
        <v>286</v>
      </c>
      <c r="AB582" s="4">
        <v>3</v>
      </c>
      <c r="AC582" s="4">
        <v>3</v>
      </c>
      <c r="AD582" s="4">
        <v>7</v>
      </c>
      <c r="AE582" s="4">
        <v>7</v>
      </c>
      <c r="AF582" s="4">
        <v>1</v>
      </c>
      <c r="AG582" s="4">
        <v>1</v>
      </c>
      <c r="AH582" s="4">
        <v>2</v>
      </c>
      <c r="AI582" s="4">
        <v>2</v>
      </c>
      <c r="AJ582" s="4">
        <v>4</v>
      </c>
      <c r="AK582" s="4">
        <v>4</v>
      </c>
      <c r="AL582" s="4">
        <v>2</v>
      </c>
      <c r="AM582" s="4">
        <v>2</v>
      </c>
      <c r="AN582" s="4">
        <v>0</v>
      </c>
      <c r="AO582" s="4">
        <v>0</v>
      </c>
      <c r="AP582" s="3" t="s">
        <v>59</v>
      </c>
      <c r="AQ582" s="3" t="s">
        <v>70</v>
      </c>
      <c r="AR582" s="6" t="str">
        <f>HYPERLINK("http://catalog.hathitrust.org/Record/008331317","HathiTrust Record")</f>
        <v>HathiTrust Record</v>
      </c>
      <c r="AS582" s="6" t="str">
        <f>HYPERLINK("https://creighton-primo.hosted.exlibrisgroup.com/primo-explore/search?tab=default_tab&amp;search_scope=EVERYTHING&amp;vid=01CRU&amp;lang=en_US&amp;offset=0&amp;query=any,contains,991004722619702656","Catalog Record")</f>
        <v>Catalog Record</v>
      </c>
      <c r="AT582" s="6" t="str">
        <f>HYPERLINK("http://www.worldcat.org/oclc/4804801","WorldCat Record")</f>
        <v>WorldCat Record</v>
      </c>
      <c r="AU582" s="3" t="s">
        <v>7434</v>
      </c>
      <c r="AV582" s="3" t="s">
        <v>7435</v>
      </c>
      <c r="AW582" s="3" t="s">
        <v>7436</v>
      </c>
      <c r="AX582" s="3" t="s">
        <v>7436</v>
      </c>
      <c r="AY582" s="3" t="s">
        <v>7437</v>
      </c>
      <c r="AZ582" s="3" t="s">
        <v>75</v>
      </c>
      <c r="BB582" s="3" t="s">
        <v>7438</v>
      </c>
      <c r="BC582" s="3" t="s">
        <v>7439</v>
      </c>
      <c r="BD582" s="3" t="s">
        <v>7440</v>
      </c>
    </row>
    <row r="583" spans="1:56" ht="48" customHeight="1" x14ac:dyDescent="0.25">
      <c r="A583" s="7" t="s">
        <v>59</v>
      </c>
      <c r="B583" s="2" t="s">
        <v>7441</v>
      </c>
      <c r="C583" s="2" t="s">
        <v>7442</v>
      </c>
      <c r="D583" s="2" t="s">
        <v>7443</v>
      </c>
      <c r="F583" s="3" t="s">
        <v>59</v>
      </c>
      <c r="G583" s="3" t="s">
        <v>60</v>
      </c>
      <c r="H583" s="3" t="s">
        <v>59</v>
      </c>
      <c r="I583" s="3" t="s">
        <v>59</v>
      </c>
      <c r="J583" s="3" t="s">
        <v>61</v>
      </c>
      <c r="K583" s="2" t="s">
        <v>7444</v>
      </c>
      <c r="L583" s="2" t="s">
        <v>7445</v>
      </c>
      <c r="M583" s="3" t="s">
        <v>175</v>
      </c>
      <c r="O583" s="3" t="s">
        <v>64</v>
      </c>
      <c r="P583" s="3" t="s">
        <v>264</v>
      </c>
      <c r="R583" s="3" t="s">
        <v>67</v>
      </c>
      <c r="S583" s="4">
        <v>4</v>
      </c>
      <c r="T583" s="4">
        <v>4</v>
      </c>
      <c r="U583" s="5" t="s">
        <v>7446</v>
      </c>
      <c r="V583" s="5" t="s">
        <v>7446</v>
      </c>
      <c r="W583" s="5" t="s">
        <v>7447</v>
      </c>
      <c r="X583" s="5" t="s">
        <v>7447</v>
      </c>
      <c r="Y583" s="4">
        <v>469</v>
      </c>
      <c r="Z583" s="4">
        <v>304</v>
      </c>
      <c r="AA583" s="4">
        <v>1237</v>
      </c>
      <c r="AB583" s="4">
        <v>3</v>
      </c>
      <c r="AC583" s="4">
        <v>5</v>
      </c>
      <c r="AD583" s="4">
        <v>11</v>
      </c>
      <c r="AE583" s="4">
        <v>30</v>
      </c>
      <c r="AF583" s="4">
        <v>2</v>
      </c>
      <c r="AG583" s="4">
        <v>15</v>
      </c>
      <c r="AH583" s="4">
        <v>2</v>
      </c>
      <c r="AI583" s="4">
        <v>5</v>
      </c>
      <c r="AJ583" s="4">
        <v>8</v>
      </c>
      <c r="AK583" s="4">
        <v>15</v>
      </c>
      <c r="AL583" s="4">
        <v>2</v>
      </c>
      <c r="AM583" s="4">
        <v>3</v>
      </c>
      <c r="AN583" s="4">
        <v>0</v>
      </c>
      <c r="AO583" s="4">
        <v>0</v>
      </c>
      <c r="AP583" s="3" t="s">
        <v>59</v>
      </c>
      <c r="AQ583" s="3" t="s">
        <v>59</v>
      </c>
      <c r="AS583" s="6" t="str">
        <f>HYPERLINK("https://creighton-primo.hosted.exlibrisgroup.com/primo-explore/search?tab=default_tab&amp;search_scope=EVERYTHING&amp;vid=01CRU&amp;lang=en_US&amp;offset=0&amp;query=any,contains,991004170219702656","Catalog Record")</f>
        <v>Catalog Record</v>
      </c>
      <c r="AT583" s="6" t="str">
        <f>HYPERLINK("http://www.worldcat.org/oclc/40610519","WorldCat Record")</f>
        <v>WorldCat Record</v>
      </c>
      <c r="AU583" s="3" t="s">
        <v>7448</v>
      </c>
      <c r="AV583" s="3" t="s">
        <v>7449</v>
      </c>
      <c r="AW583" s="3" t="s">
        <v>7450</v>
      </c>
      <c r="AX583" s="3" t="s">
        <v>7450</v>
      </c>
      <c r="AY583" s="3" t="s">
        <v>7451</v>
      </c>
      <c r="AZ583" s="3" t="s">
        <v>75</v>
      </c>
      <c r="BB583" s="3" t="s">
        <v>7452</v>
      </c>
      <c r="BC583" s="3" t="s">
        <v>7453</v>
      </c>
      <c r="BD583" s="3" t="s">
        <v>7454</v>
      </c>
    </row>
    <row r="584" spans="1:56" ht="48" customHeight="1" x14ac:dyDescent="0.25">
      <c r="A584" s="7" t="s">
        <v>59</v>
      </c>
      <c r="B584" s="2" t="s">
        <v>7455</v>
      </c>
      <c r="C584" s="2" t="s">
        <v>7456</v>
      </c>
      <c r="D584" s="2" t="s">
        <v>7457</v>
      </c>
      <c r="F584" s="3" t="s">
        <v>59</v>
      </c>
      <c r="G584" s="3" t="s">
        <v>60</v>
      </c>
      <c r="H584" s="3" t="s">
        <v>59</v>
      </c>
      <c r="I584" s="3" t="s">
        <v>59</v>
      </c>
      <c r="J584" s="3" t="s">
        <v>61</v>
      </c>
      <c r="K584" s="2" t="s">
        <v>7458</v>
      </c>
      <c r="L584" s="2" t="s">
        <v>7459</v>
      </c>
      <c r="M584" s="3" t="s">
        <v>925</v>
      </c>
      <c r="O584" s="3" t="s">
        <v>64</v>
      </c>
      <c r="P584" s="3" t="s">
        <v>912</v>
      </c>
      <c r="R584" s="3" t="s">
        <v>67</v>
      </c>
      <c r="S584" s="4">
        <v>3</v>
      </c>
      <c r="T584" s="4">
        <v>3</v>
      </c>
      <c r="U584" s="5" t="s">
        <v>7460</v>
      </c>
      <c r="V584" s="5" t="s">
        <v>7460</v>
      </c>
      <c r="W584" s="5" t="s">
        <v>2935</v>
      </c>
      <c r="X584" s="5" t="s">
        <v>2935</v>
      </c>
      <c r="Y584" s="4">
        <v>151</v>
      </c>
      <c r="Z584" s="4">
        <v>93</v>
      </c>
      <c r="AA584" s="4">
        <v>95</v>
      </c>
      <c r="AB584" s="4">
        <v>1</v>
      </c>
      <c r="AC584" s="4">
        <v>1</v>
      </c>
      <c r="AD584" s="4">
        <v>0</v>
      </c>
      <c r="AE584" s="4">
        <v>0</v>
      </c>
      <c r="AF584" s="4">
        <v>0</v>
      </c>
      <c r="AG584" s="4">
        <v>0</v>
      </c>
      <c r="AH584" s="4">
        <v>0</v>
      </c>
      <c r="AI584" s="4">
        <v>0</v>
      </c>
      <c r="AJ584" s="4">
        <v>0</v>
      </c>
      <c r="AK584" s="4">
        <v>0</v>
      </c>
      <c r="AL584" s="4">
        <v>0</v>
      </c>
      <c r="AM584" s="4">
        <v>0</v>
      </c>
      <c r="AN584" s="4">
        <v>0</v>
      </c>
      <c r="AO584" s="4">
        <v>0</v>
      </c>
      <c r="AP584" s="3" t="s">
        <v>59</v>
      </c>
      <c r="AQ584" s="3" t="s">
        <v>59</v>
      </c>
      <c r="AS584" s="6" t="str">
        <f>HYPERLINK("https://creighton-primo.hosted.exlibrisgroup.com/primo-explore/search?tab=default_tab&amp;search_scope=EVERYTHING&amp;vid=01CRU&amp;lang=en_US&amp;offset=0&amp;query=any,contains,991002826669702656","Catalog Record")</f>
        <v>Catalog Record</v>
      </c>
      <c r="AT584" s="6" t="str">
        <f>HYPERLINK("http://www.worldcat.org/oclc/37213957","WorldCat Record")</f>
        <v>WorldCat Record</v>
      </c>
      <c r="AU584" s="3" t="s">
        <v>7461</v>
      </c>
      <c r="AV584" s="3" t="s">
        <v>7462</v>
      </c>
      <c r="AW584" s="3" t="s">
        <v>7463</v>
      </c>
      <c r="AX584" s="3" t="s">
        <v>7463</v>
      </c>
      <c r="AY584" s="3" t="s">
        <v>7464</v>
      </c>
      <c r="AZ584" s="3" t="s">
        <v>75</v>
      </c>
      <c r="BB584" s="3" t="s">
        <v>7465</v>
      </c>
      <c r="BC584" s="3" t="s">
        <v>7466</v>
      </c>
      <c r="BD584" s="3" t="s">
        <v>7467</v>
      </c>
    </row>
    <row r="585" spans="1:56" ht="48" customHeight="1" x14ac:dyDescent="0.25">
      <c r="A585" s="7" t="s">
        <v>59</v>
      </c>
      <c r="B585" s="2" t="s">
        <v>7468</v>
      </c>
      <c r="C585" s="2" t="s">
        <v>7469</v>
      </c>
      <c r="D585" s="2" t="s">
        <v>7470</v>
      </c>
      <c r="F585" s="3" t="s">
        <v>59</v>
      </c>
      <c r="G585" s="3" t="s">
        <v>60</v>
      </c>
      <c r="H585" s="3" t="s">
        <v>59</v>
      </c>
      <c r="I585" s="3" t="s">
        <v>59</v>
      </c>
      <c r="J585" s="3" t="s">
        <v>61</v>
      </c>
      <c r="L585" s="2" t="s">
        <v>7471</v>
      </c>
      <c r="M585" s="3" t="s">
        <v>219</v>
      </c>
      <c r="O585" s="3" t="s">
        <v>64</v>
      </c>
      <c r="P585" s="3" t="s">
        <v>130</v>
      </c>
      <c r="R585" s="3" t="s">
        <v>67</v>
      </c>
      <c r="S585" s="4">
        <v>6</v>
      </c>
      <c r="T585" s="4">
        <v>6</v>
      </c>
      <c r="U585" s="5" t="s">
        <v>7472</v>
      </c>
      <c r="V585" s="5" t="s">
        <v>7472</v>
      </c>
      <c r="W585" s="5" t="s">
        <v>7473</v>
      </c>
      <c r="X585" s="5" t="s">
        <v>7473</v>
      </c>
      <c r="Y585" s="4">
        <v>268</v>
      </c>
      <c r="Z585" s="4">
        <v>174</v>
      </c>
      <c r="AA585" s="4">
        <v>174</v>
      </c>
      <c r="AB585" s="4">
        <v>1</v>
      </c>
      <c r="AC585" s="4">
        <v>1</v>
      </c>
      <c r="AD585" s="4">
        <v>6</v>
      </c>
      <c r="AE585" s="4">
        <v>6</v>
      </c>
      <c r="AF585" s="4">
        <v>2</v>
      </c>
      <c r="AG585" s="4">
        <v>2</v>
      </c>
      <c r="AH585" s="4">
        <v>2</v>
      </c>
      <c r="AI585" s="4">
        <v>2</v>
      </c>
      <c r="AJ585" s="4">
        <v>4</v>
      </c>
      <c r="AK585" s="4">
        <v>4</v>
      </c>
      <c r="AL585" s="4">
        <v>0</v>
      </c>
      <c r="AM585" s="4">
        <v>0</v>
      </c>
      <c r="AN585" s="4">
        <v>0</v>
      </c>
      <c r="AO585" s="4">
        <v>0</v>
      </c>
      <c r="AP585" s="3" t="s">
        <v>59</v>
      </c>
      <c r="AQ585" s="3" t="s">
        <v>59</v>
      </c>
      <c r="AS585" s="6" t="str">
        <f>HYPERLINK("https://creighton-primo.hosted.exlibrisgroup.com/primo-explore/search?tab=default_tab&amp;search_scope=EVERYTHING&amp;vid=01CRU&amp;lang=en_US&amp;offset=0&amp;query=any,contains,991001543199702656","Catalog Record")</f>
        <v>Catalog Record</v>
      </c>
      <c r="AT585" s="6" t="str">
        <f>HYPERLINK("http://www.worldcat.org/oclc/20133558","WorldCat Record")</f>
        <v>WorldCat Record</v>
      </c>
      <c r="AU585" s="3" t="s">
        <v>7474</v>
      </c>
      <c r="AV585" s="3" t="s">
        <v>7475</v>
      </c>
      <c r="AW585" s="3" t="s">
        <v>7476</v>
      </c>
      <c r="AX585" s="3" t="s">
        <v>7476</v>
      </c>
      <c r="AY585" s="3" t="s">
        <v>7477</v>
      </c>
      <c r="AZ585" s="3" t="s">
        <v>75</v>
      </c>
      <c r="BB585" s="3" t="s">
        <v>7478</v>
      </c>
      <c r="BC585" s="3" t="s">
        <v>7479</v>
      </c>
      <c r="BD585" s="3" t="s">
        <v>7480</v>
      </c>
    </row>
    <row r="586" spans="1:56" ht="48" customHeight="1" x14ac:dyDescent="0.25">
      <c r="A586" s="7" t="s">
        <v>59</v>
      </c>
      <c r="B586" s="2" t="s">
        <v>7481</v>
      </c>
      <c r="C586" s="2" t="s">
        <v>7482</v>
      </c>
      <c r="D586" s="2" t="s">
        <v>7483</v>
      </c>
      <c r="F586" s="3" t="s">
        <v>59</v>
      </c>
      <c r="G586" s="3" t="s">
        <v>60</v>
      </c>
      <c r="H586" s="3" t="s">
        <v>59</v>
      </c>
      <c r="I586" s="3" t="s">
        <v>59</v>
      </c>
      <c r="J586" s="3" t="s">
        <v>61</v>
      </c>
      <c r="K586" s="2" t="s">
        <v>7484</v>
      </c>
      <c r="L586" s="2" t="s">
        <v>7485</v>
      </c>
      <c r="M586" s="3" t="s">
        <v>83</v>
      </c>
      <c r="O586" s="3" t="s">
        <v>64</v>
      </c>
      <c r="P586" s="3" t="s">
        <v>84</v>
      </c>
      <c r="R586" s="3" t="s">
        <v>67</v>
      </c>
      <c r="S586" s="4">
        <v>7</v>
      </c>
      <c r="T586" s="4">
        <v>7</v>
      </c>
      <c r="U586" s="5" t="s">
        <v>7095</v>
      </c>
      <c r="V586" s="5" t="s">
        <v>7095</v>
      </c>
      <c r="W586" s="5" t="s">
        <v>7486</v>
      </c>
      <c r="X586" s="5" t="s">
        <v>7486</v>
      </c>
      <c r="Y586" s="4">
        <v>314</v>
      </c>
      <c r="Z586" s="4">
        <v>209</v>
      </c>
      <c r="AA586" s="4">
        <v>229</v>
      </c>
      <c r="AB586" s="4">
        <v>1</v>
      </c>
      <c r="AC586" s="4">
        <v>1</v>
      </c>
      <c r="AD586" s="4">
        <v>7</v>
      </c>
      <c r="AE586" s="4">
        <v>7</v>
      </c>
      <c r="AF586" s="4">
        <v>1</v>
      </c>
      <c r="AG586" s="4">
        <v>1</v>
      </c>
      <c r="AH586" s="4">
        <v>2</v>
      </c>
      <c r="AI586" s="4">
        <v>2</v>
      </c>
      <c r="AJ586" s="4">
        <v>6</v>
      </c>
      <c r="AK586" s="4">
        <v>6</v>
      </c>
      <c r="AL586" s="4">
        <v>0</v>
      </c>
      <c r="AM586" s="4">
        <v>0</v>
      </c>
      <c r="AN586" s="4">
        <v>0</v>
      </c>
      <c r="AO586" s="4">
        <v>0</v>
      </c>
      <c r="AP586" s="3" t="s">
        <v>59</v>
      </c>
      <c r="AQ586" s="3" t="s">
        <v>59</v>
      </c>
      <c r="AS586" s="6" t="str">
        <f>HYPERLINK("https://creighton-primo.hosted.exlibrisgroup.com/primo-explore/search?tab=default_tab&amp;search_scope=EVERYTHING&amp;vid=01CRU&amp;lang=en_US&amp;offset=0&amp;query=any,contains,991002660439702656","Catalog Record")</f>
        <v>Catalog Record</v>
      </c>
      <c r="AT586" s="6" t="str">
        <f>HYPERLINK("http://www.worldcat.org/oclc/34772297","WorldCat Record")</f>
        <v>WorldCat Record</v>
      </c>
      <c r="AU586" s="3" t="s">
        <v>7487</v>
      </c>
      <c r="AV586" s="3" t="s">
        <v>7488</v>
      </c>
      <c r="AW586" s="3" t="s">
        <v>7489</v>
      </c>
      <c r="AX586" s="3" t="s">
        <v>7489</v>
      </c>
      <c r="AY586" s="3" t="s">
        <v>7490</v>
      </c>
      <c r="AZ586" s="3" t="s">
        <v>75</v>
      </c>
      <c r="BB586" s="3" t="s">
        <v>7491</v>
      </c>
      <c r="BC586" s="3" t="s">
        <v>7492</v>
      </c>
      <c r="BD586" s="3" t="s">
        <v>7493</v>
      </c>
    </row>
    <row r="587" spans="1:56" ht="48" customHeight="1" x14ac:dyDescent="0.25">
      <c r="A587" s="7" t="s">
        <v>59</v>
      </c>
      <c r="B587" s="2" t="s">
        <v>7494</v>
      </c>
      <c r="C587" s="2" t="s">
        <v>7495</v>
      </c>
      <c r="D587" s="2" t="s">
        <v>7496</v>
      </c>
      <c r="F587" s="3" t="s">
        <v>59</v>
      </c>
      <c r="G587" s="3" t="s">
        <v>60</v>
      </c>
      <c r="H587" s="3" t="s">
        <v>59</v>
      </c>
      <c r="I587" s="3" t="s">
        <v>59</v>
      </c>
      <c r="J587" s="3" t="s">
        <v>61</v>
      </c>
      <c r="K587" s="2" t="s">
        <v>7497</v>
      </c>
      <c r="L587" s="2" t="s">
        <v>7498</v>
      </c>
      <c r="M587" s="3" t="s">
        <v>2962</v>
      </c>
      <c r="O587" s="3" t="s">
        <v>64</v>
      </c>
      <c r="P587" s="3" t="s">
        <v>130</v>
      </c>
      <c r="R587" s="3" t="s">
        <v>67</v>
      </c>
      <c r="S587" s="4">
        <v>8</v>
      </c>
      <c r="T587" s="4">
        <v>8</v>
      </c>
      <c r="U587" s="5" t="s">
        <v>7499</v>
      </c>
      <c r="V587" s="5" t="s">
        <v>7499</v>
      </c>
      <c r="W587" s="5" t="s">
        <v>7500</v>
      </c>
      <c r="X587" s="5" t="s">
        <v>7500</v>
      </c>
      <c r="Y587" s="4">
        <v>175</v>
      </c>
      <c r="Z587" s="4">
        <v>160</v>
      </c>
      <c r="AA587" s="4">
        <v>331</v>
      </c>
      <c r="AB587" s="4">
        <v>4</v>
      </c>
      <c r="AC587" s="4">
        <v>4</v>
      </c>
      <c r="AD587" s="4">
        <v>12</v>
      </c>
      <c r="AE587" s="4">
        <v>15</v>
      </c>
      <c r="AF587" s="4">
        <v>3</v>
      </c>
      <c r="AG587" s="4">
        <v>4</v>
      </c>
      <c r="AH587" s="4">
        <v>1</v>
      </c>
      <c r="AI587" s="4">
        <v>2</v>
      </c>
      <c r="AJ587" s="4">
        <v>7</v>
      </c>
      <c r="AK587" s="4">
        <v>9</v>
      </c>
      <c r="AL587" s="4">
        <v>3</v>
      </c>
      <c r="AM587" s="4">
        <v>3</v>
      </c>
      <c r="AN587" s="4">
        <v>0</v>
      </c>
      <c r="AO587" s="4">
        <v>0</v>
      </c>
      <c r="AP587" s="3" t="s">
        <v>59</v>
      </c>
      <c r="AQ587" s="3" t="s">
        <v>70</v>
      </c>
      <c r="AR587" s="6" t="str">
        <f>HYPERLINK("http://catalog.hathitrust.org/Record/001555089","HathiTrust Record")</f>
        <v>HathiTrust Record</v>
      </c>
      <c r="AS587" s="6" t="str">
        <f>HYPERLINK("https://creighton-primo.hosted.exlibrisgroup.com/primo-explore/search?tab=default_tab&amp;search_scope=EVERYTHING&amp;vid=01CRU&amp;lang=en_US&amp;offset=0&amp;query=any,contains,991002989599702656","Catalog Record")</f>
        <v>Catalog Record</v>
      </c>
      <c r="AT587" s="6" t="str">
        <f>HYPERLINK("http://www.worldcat.org/oclc/14617205","WorldCat Record")</f>
        <v>WorldCat Record</v>
      </c>
      <c r="AU587" s="3" t="s">
        <v>7501</v>
      </c>
      <c r="AV587" s="3" t="s">
        <v>7502</v>
      </c>
      <c r="AW587" s="3" t="s">
        <v>7503</v>
      </c>
      <c r="AX587" s="3" t="s">
        <v>7503</v>
      </c>
      <c r="AY587" s="3" t="s">
        <v>7504</v>
      </c>
      <c r="AZ587" s="3" t="s">
        <v>75</v>
      </c>
      <c r="BC587" s="3" t="s">
        <v>7505</v>
      </c>
      <c r="BD587" s="3" t="s">
        <v>7506</v>
      </c>
    </row>
    <row r="588" spans="1:56" ht="48" customHeight="1" x14ac:dyDescent="0.25">
      <c r="A588" s="7" t="s">
        <v>59</v>
      </c>
      <c r="B588" s="2" t="s">
        <v>7507</v>
      </c>
      <c r="C588" s="2" t="s">
        <v>7508</v>
      </c>
      <c r="D588" s="2" t="s">
        <v>7509</v>
      </c>
      <c r="F588" s="3" t="s">
        <v>59</v>
      </c>
      <c r="G588" s="3" t="s">
        <v>60</v>
      </c>
      <c r="H588" s="3" t="s">
        <v>59</v>
      </c>
      <c r="I588" s="3" t="s">
        <v>59</v>
      </c>
      <c r="J588" s="3" t="s">
        <v>61</v>
      </c>
      <c r="K588" s="2" t="s">
        <v>7510</v>
      </c>
      <c r="L588" s="2" t="s">
        <v>7511</v>
      </c>
      <c r="M588" s="3" t="s">
        <v>925</v>
      </c>
      <c r="O588" s="3" t="s">
        <v>64</v>
      </c>
      <c r="P588" s="3" t="s">
        <v>264</v>
      </c>
      <c r="R588" s="3" t="s">
        <v>67</v>
      </c>
      <c r="S588" s="4">
        <v>5</v>
      </c>
      <c r="T588" s="4">
        <v>5</v>
      </c>
      <c r="U588" s="5" t="s">
        <v>7512</v>
      </c>
      <c r="V588" s="5" t="s">
        <v>7512</v>
      </c>
      <c r="W588" s="5" t="s">
        <v>4516</v>
      </c>
      <c r="X588" s="5" t="s">
        <v>4516</v>
      </c>
      <c r="Y588" s="4">
        <v>601</v>
      </c>
      <c r="Z588" s="4">
        <v>455</v>
      </c>
      <c r="AA588" s="4">
        <v>991</v>
      </c>
      <c r="AB588" s="4">
        <v>3</v>
      </c>
      <c r="AC588" s="4">
        <v>3</v>
      </c>
      <c r="AD588" s="4">
        <v>17</v>
      </c>
      <c r="AE588" s="4">
        <v>20</v>
      </c>
      <c r="AF588" s="4">
        <v>4</v>
      </c>
      <c r="AG588" s="4">
        <v>7</v>
      </c>
      <c r="AH588" s="4">
        <v>4</v>
      </c>
      <c r="AI588" s="4">
        <v>4</v>
      </c>
      <c r="AJ588" s="4">
        <v>13</v>
      </c>
      <c r="AK588" s="4">
        <v>13</v>
      </c>
      <c r="AL588" s="4">
        <v>2</v>
      </c>
      <c r="AM588" s="4">
        <v>2</v>
      </c>
      <c r="AN588" s="4">
        <v>0</v>
      </c>
      <c r="AO588" s="4">
        <v>0</v>
      </c>
      <c r="AP588" s="3" t="s">
        <v>59</v>
      </c>
      <c r="AQ588" s="3" t="s">
        <v>59</v>
      </c>
      <c r="AS588" s="6" t="str">
        <f>HYPERLINK("https://creighton-primo.hosted.exlibrisgroup.com/primo-explore/search?tab=default_tab&amp;search_scope=EVERYTHING&amp;vid=01CRU&amp;lang=en_US&amp;offset=0&amp;query=any,contains,991002829009702656","Catalog Record")</f>
        <v>Catalog Record</v>
      </c>
      <c r="AT588" s="6" t="str">
        <f>HYPERLINK("http://www.worldcat.org/oclc/37246567","WorldCat Record")</f>
        <v>WorldCat Record</v>
      </c>
      <c r="AU588" s="3" t="s">
        <v>7513</v>
      </c>
      <c r="AV588" s="3" t="s">
        <v>7514</v>
      </c>
      <c r="AW588" s="3" t="s">
        <v>7515</v>
      </c>
      <c r="AX588" s="3" t="s">
        <v>7515</v>
      </c>
      <c r="AY588" s="3" t="s">
        <v>7516</v>
      </c>
      <c r="AZ588" s="3" t="s">
        <v>75</v>
      </c>
      <c r="BB588" s="3" t="s">
        <v>7517</v>
      </c>
      <c r="BC588" s="3" t="s">
        <v>7518</v>
      </c>
      <c r="BD588" s="3" t="s">
        <v>7519</v>
      </c>
    </row>
    <row r="589" spans="1:56" ht="48" customHeight="1" x14ac:dyDescent="0.25">
      <c r="A589" s="7" t="s">
        <v>59</v>
      </c>
      <c r="B589" s="2" t="s">
        <v>7520</v>
      </c>
      <c r="C589" s="2" t="s">
        <v>7521</v>
      </c>
      <c r="D589" s="2" t="s">
        <v>7522</v>
      </c>
      <c r="F589" s="3" t="s">
        <v>59</v>
      </c>
      <c r="G589" s="3" t="s">
        <v>60</v>
      </c>
      <c r="H589" s="3" t="s">
        <v>59</v>
      </c>
      <c r="I589" s="3" t="s">
        <v>59</v>
      </c>
      <c r="J589" s="3" t="s">
        <v>61</v>
      </c>
      <c r="K589" s="2" t="s">
        <v>7523</v>
      </c>
      <c r="L589" s="2" t="s">
        <v>7524</v>
      </c>
      <c r="M589" s="3" t="s">
        <v>535</v>
      </c>
      <c r="N589" s="2" t="s">
        <v>1285</v>
      </c>
      <c r="O589" s="3" t="s">
        <v>64</v>
      </c>
      <c r="P589" s="3" t="s">
        <v>84</v>
      </c>
      <c r="Q589" s="2" t="s">
        <v>7525</v>
      </c>
      <c r="R589" s="3" t="s">
        <v>67</v>
      </c>
      <c r="S589" s="4">
        <v>4</v>
      </c>
      <c r="T589" s="4">
        <v>4</v>
      </c>
      <c r="U589" s="5" t="s">
        <v>7526</v>
      </c>
      <c r="V589" s="5" t="s">
        <v>7526</v>
      </c>
      <c r="W589" s="5" t="s">
        <v>7527</v>
      </c>
      <c r="X589" s="5" t="s">
        <v>7527</v>
      </c>
      <c r="Y589" s="4">
        <v>328</v>
      </c>
      <c r="Z589" s="4">
        <v>253</v>
      </c>
      <c r="AA589" s="4">
        <v>257</v>
      </c>
      <c r="AB589" s="4">
        <v>5</v>
      </c>
      <c r="AC589" s="4">
        <v>5</v>
      </c>
      <c r="AD589" s="4">
        <v>9</v>
      </c>
      <c r="AE589" s="4">
        <v>9</v>
      </c>
      <c r="AF589" s="4">
        <v>3</v>
      </c>
      <c r="AG589" s="4">
        <v>3</v>
      </c>
      <c r="AH589" s="4">
        <v>1</v>
      </c>
      <c r="AI589" s="4">
        <v>1</v>
      </c>
      <c r="AJ589" s="4">
        <v>2</v>
      </c>
      <c r="AK589" s="4">
        <v>2</v>
      </c>
      <c r="AL589" s="4">
        <v>4</v>
      </c>
      <c r="AM589" s="4">
        <v>4</v>
      </c>
      <c r="AN589" s="4">
        <v>0</v>
      </c>
      <c r="AO589" s="4">
        <v>0</v>
      </c>
      <c r="AP589" s="3" t="s">
        <v>59</v>
      </c>
      <c r="AQ589" s="3" t="s">
        <v>70</v>
      </c>
      <c r="AR589" s="6" t="str">
        <f>HYPERLINK("http://catalog.hathitrust.org/Record/000853058","HathiTrust Record")</f>
        <v>HathiTrust Record</v>
      </c>
      <c r="AS589" s="6" t="str">
        <f>HYPERLINK("https://creighton-primo.hosted.exlibrisgroup.com/primo-explore/search?tab=default_tab&amp;search_scope=EVERYTHING&amp;vid=01CRU&amp;lang=en_US&amp;offset=0&amp;query=any,contains,991003664199702656","Catalog Record")</f>
        <v>Catalog Record</v>
      </c>
      <c r="AT589" s="6" t="str">
        <f>HYPERLINK("http://www.worldcat.org/oclc/1276758","WorldCat Record")</f>
        <v>WorldCat Record</v>
      </c>
      <c r="AU589" s="3" t="s">
        <v>7528</v>
      </c>
      <c r="AV589" s="3" t="s">
        <v>7529</v>
      </c>
      <c r="AW589" s="3" t="s">
        <v>7530</v>
      </c>
      <c r="AX589" s="3" t="s">
        <v>7530</v>
      </c>
      <c r="AY589" s="3" t="s">
        <v>7531</v>
      </c>
      <c r="AZ589" s="3" t="s">
        <v>75</v>
      </c>
      <c r="BC589" s="3" t="s">
        <v>7532</v>
      </c>
      <c r="BD589" s="3" t="s">
        <v>7533</v>
      </c>
    </row>
    <row r="590" spans="1:56" ht="48" customHeight="1" x14ac:dyDescent="0.25">
      <c r="A590" s="7" t="s">
        <v>59</v>
      </c>
      <c r="B590" s="2" t="s">
        <v>7534</v>
      </c>
      <c r="C590" s="2" t="s">
        <v>7535</v>
      </c>
      <c r="D590" s="2" t="s">
        <v>7536</v>
      </c>
      <c r="F590" s="3" t="s">
        <v>59</v>
      </c>
      <c r="G590" s="3" t="s">
        <v>60</v>
      </c>
      <c r="H590" s="3" t="s">
        <v>59</v>
      </c>
      <c r="I590" s="3" t="s">
        <v>59</v>
      </c>
      <c r="J590" s="3" t="s">
        <v>61</v>
      </c>
      <c r="K590" s="2" t="s">
        <v>7537</v>
      </c>
      <c r="L590" s="2" t="s">
        <v>7538</v>
      </c>
      <c r="M590" s="3" t="s">
        <v>535</v>
      </c>
      <c r="O590" s="3" t="s">
        <v>64</v>
      </c>
      <c r="P590" s="3" t="s">
        <v>130</v>
      </c>
      <c r="Q590" s="2" t="s">
        <v>5703</v>
      </c>
      <c r="R590" s="3" t="s">
        <v>67</v>
      </c>
      <c r="S590" s="4">
        <v>4</v>
      </c>
      <c r="T590" s="4">
        <v>4</v>
      </c>
      <c r="U590" s="5" t="s">
        <v>7539</v>
      </c>
      <c r="V590" s="5" t="s">
        <v>7539</v>
      </c>
      <c r="W590" s="5" t="s">
        <v>7527</v>
      </c>
      <c r="X590" s="5" t="s">
        <v>7527</v>
      </c>
      <c r="Y590" s="4">
        <v>1342</v>
      </c>
      <c r="Z590" s="4">
        <v>1234</v>
      </c>
      <c r="AA590" s="4">
        <v>1277</v>
      </c>
      <c r="AB590" s="4">
        <v>11</v>
      </c>
      <c r="AC590" s="4">
        <v>11</v>
      </c>
      <c r="AD590" s="4">
        <v>25</v>
      </c>
      <c r="AE590" s="4">
        <v>27</v>
      </c>
      <c r="AF590" s="4">
        <v>11</v>
      </c>
      <c r="AG590" s="4">
        <v>12</v>
      </c>
      <c r="AH590" s="4">
        <v>3</v>
      </c>
      <c r="AI590" s="4">
        <v>4</v>
      </c>
      <c r="AJ590" s="4">
        <v>15</v>
      </c>
      <c r="AK590" s="4">
        <v>15</v>
      </c>
      <c r="AL590" s="4">
        <v>4</v>
      </c>
      <c r="AM590" s="4">
        <v>4</v>
      </c>
      <c r="AN590" s="4">
        <v>0</v>
      </c>
      <c r="AO590" s="4">
        <v>0</v>
      </c>
      <c r="AP590" s="3" t="s">
        <v>59</v>
      </c>
      <c r="AQ590" s="3" t="s">
        <v>70</v>
      </c>
      <c r="AR590" s="6" t="str">
        <f>HYPERLINK("http://catalog.hathitrust.org/Record/001555092","HathiTrust Record")</f>
        <v>HathiTrust Record</v>
      </c>
      <c r="AS590" s="6" t="str">
        <f>HYPERLINK("https://creighton-primo.hosted.exlibrisgroup.com/primo-explore/search?tab=default_tab&amp;search_scope=EVERYTHING&amp;vid=01CRU&amp;lang=en_US&amp;offset=0&amp;query=any,contains,991002878239702656","Catalog Record")</f>
        <v>Catalog Record</v>
      </c>
      <c r="AT590" s="6" t="str">
        <f>HYPERLINK("http://www.worldcat.org/oclc/504077","WorldCat Record")</f>
        <v>WorldCat Record</v>
      </c>
      <c r="AU590" s="3" t="s">
        <v>7540</v>
      </c>
      <c r="AV590" s="3" t="s">
        <v>7541</v>
      </c>
      <c r="AW590" s="3" t="s">
        <v>7542</v>
      </c>
      <c r="AX590" s="3" t="s">
        <v>7542</v>
      </c>
      <c r="AY590" s="3" t="s">
        <v>7543</v>
      </c>
      <c r="AZ590" s="3" t="s">
        <v>75</v>
      </c>
      <c r="BC590" s="3" t="s">
        <v>7544</v>
      </c>
      <c r="BD590" s="3" t="s">
        <v>7545</v>
      </c>
    </row>
    <row r="591" spans="1:56" ht="48" customHeight="1" x14ac:dyDescent="0.25">
      <c r="A591" s="7" t="s">
        <v>59</v>
      </c>
      <c r="B591" s="2" t="s">
        <v>7546</v>
      </c>
      <c r="C591" s="2" t="s">
        <v>7547</v>
      </c>
      <c r="D591" s="2" t="s">
        <v>7548</v>
      </c>
      <c r="F591" s="3" t="s">
        <v>59</v>
      </c>
      <c r="G591" s="3" t="s">
        <v>60</v>
      </c>
      <c r="H591" s="3" t="s">
        <v>59</v>
      </c>
      <c r="I591" s="3" t="s">
        <v>59</v>
      </c>
      <c r="J591" s="3" t="s">
        <v>61</v>
      </c>
      <c r="K591" s="2" t="s">
        <v>7549</v>
      </c>
      <c r="L591" s="2" t="s">
        <v>7550</v>
      </c>
      <c r="M591" s="3" t="s">
        <v>248</v>
      </c>
      <c r="O591" s="3" t="s">
        <v>64</v>
      </c>
      <c r="P591" s="3" t="s">
        <v>130</v>
      </c>
      <c r="R591" s="3" t="s">
        <v>67</v>
      </c>
      <c r="S591" s="4">
        <v>2</v>
      </c>
      <c r="T591" s="4">
        <v>2</v>
      </c>
      <c r="U591" s="5" t="s">
        <v>7035</v>
      </c>
      <c r="V591" s="5" t="s">
        <v>7035</v>
      </c>
      <c r="W591" s="5" t="s">
        <v>6862</v>
      </c>
      <c r="X591" s="5" t="s">
        <v>6862</v>
      </c>
      <c r="Y591" s="4">
        <v>142</v>
      </c>
      <c r="Z591" s="4">
        <v>124</v>
      </c>
      <c r="AA591" s="4">
        <v>125</v>
      </c>
      <c r="AB591" s="4">
        <v>2</v>
      </c>
      <c r="AC591" s="4">
        <v>2</v>
      </c>
      <c r="AD591" s="4">
        <v>0</v>
      </c>
      <c r="AE591" s="4">
        <v>0</v>
      </c>
      <c r="AF591" s="4">
        <v>0</v>
      </c>
      <c r="AG591" s="4">
        <v>0</v>
      </c>
      <c r="AH591" s="4">
        <v>0</v>
      </c>
      <c r="AI591" s="4">
        <v>0</v>
      </c>
      <c r="AJ591" s="4">
        <v>0</v>
      </c>
      <c r="AK591" s="4">
        <v>0</v>
      </c>
      <c r="AL591" s="4">
        <v>0</v>
      </c>
      <c r="AM591" s="4">
        <v>0</v>
      </c>
      <c r="AN591" s="4">
        <v>0</v>
      </c>
      <c r="AO591" s="4">
        <v>0</v>
      </c>
      <c r="AP591" s="3" t="s">
        <v>59</v>
      </c>
      <c r="AQ591" s="3" t="s">
        <v>70</v>
      </c>
      <c r="AR591" s="6" t="str">
        <f>HYPERLINK("http://catalog.hathitrust.org/Record/101908326","HathiTrust Record")</f>
        <v>HathiTrust Record</v>
      </c>
      <c r="AS591" s="6" t="str">
        <f>HYPERLINK("https://creighton-primo.hosted.exlibrisgroup.com/primo-explore/search?tab=default_tab&amp;search_scope=EVERYTHING&amp;vid=01CRU&amp;lang=en_US&amp;offset=0&amp;query=any,contains,991005114619702656","Catalog Record")</f>
        <v>Catalog Record</v>
      </c>
      <c r="AT591" s="6" t="str">
        <f>HYPERLINK("http://www.worldcat.org/oclc/7461348","WorldCat Record")</f>
        <v>WorldCat Record</v>
      </c>
      <c r="AU591" s="3" t="s">
        <v>7551</v>
      </c>
      <c r="AV591" s="3" t="s">
        <v>7552</v>
      </c>
      <c r="AW591" s="3" t="s">
        <v>7553</v>
      </c>
      <c r="AX591" s="3" t="s">
        <v>7553</v>
      </c>
      <c r="AY591" s="3" t="s">
        <v>7554</v>
      </c>
      <c r="AZ591" s="3" t="s">
        <v>75</v>
      </c>
      <c r="BB591" s="3" t="s">
        <v>7555</v>
      </c>
      <c r="BC591" s="3" t="s">
        <v>7556</v>
      </c>
      <c r="BD591" s="3" t="s">
        <v>7557</v>
      </c>
    </row>
    <row r="592" spans="1:56" ht="48" customHeight="1" x14ac:dyDescent="0.25">
      <c r="A592" s="7" t="s">
        <v>59</v>
      </c>
      <c r="B592" s="2" t="s">
        <v>7558</v>
      </c>
      <c r="C592" s="2" t="s">
        <v>7559</v>
      </c>
      <c r="D592" s="2" t="s">
        <v>7560</v>
      </c>
      <c r="F592" s="3" t="s">
        <v>59</v>
      </c>
      <c r="G592" s="3" t="s">
        <v>60</v>
      </c>
      <c r="H592" s="3" t="s">
        <v>59</v>
      </c>
      <c r="I592" s="3" t="s">
        <v>59</v>
      </c>
      <c r="J592" s="3" t="s">
        <v>61</v>
      </c>
      <c r="K592" s="2" t="s">
        <v>7561</v>
      </c>
      <c r="L592" s="2" t="s">
        <v>7562</v>
      </c>
      <c r="M592" s="3" t="s">
        <v>333</v>
      </c>
      <c r="O592" s="3" t="s">
        <v>64</v>
      </c>
      <c r="P592" s="3" t="s">
        <v>130</v>
      </c>
      <c r="R592" s="3" t="s">
        <v>67</v>
      </c>
      <c r="S592" s="4">
        <v>5</v>
      </c>
      <c r="T592" s="4">
        <v>5</v>
      </c>
      <c r="U592" s="5" t="s">
        <v>7321</v>
      </c>
      <c r="V592" s="5" t="s">
        <v>7321</v>
      </c>
      <c r="W592" s="5" t="s">
        <v>7563</v>
      </c>
      <c r="X592" s="5" t="s">
        <v>7563</v>
      </c>
      <c r="Y592" s="4">
        <v>722</v>
      </c>
      <c r="Z592" s="4">
        <v>674</v>
      </c>
      <c r="AA592" s="4">
        <v>701</v>
      </c>
      <c r="AB592" s="4">
        <v>5</v>
      </c>
      <c r="AC592" s="4">
        <v>5</v>
      </c>
      <c r="AD592" s="4">
        <v>5</v>
      </c>
      <c r="AE592" s="4">
        <v>5</v>
      </c>
      <c r="AF592" s="4">
        <v>3</v>
      </c>
      <c r="AG592" s="4">
        <v>3</v>
      </c>
      <c r="AH592" s="4">
        <v>0</v>
      </c>
      <c r="AI592" s="4">
        <v>0</v>
      </c>
      <c r="AJ592" s="4">
        <v>1</v>
      </c>
      <c r="AK592" s="4">
        <v>1</v>
      </c>
      <c r="AL592" s="4">
        <v>2</v>
      </c>
      <c r="AM592" s="4">
        <v>2</v>
      </c>
      <c r="AN592" s="4">
        <v>0</v>
      </c>
      <c r="AO592" s="4">
        <v>0</v>
      </c>
      <c r="AP592" s="3" t="s">
        <v>59</v>
      </c>
      <c r="AQ592" s="3" t="s">
        <v>59</v>
      </c>
      <c r="AS592" s="6" t="str">
        <f>HYPERLINK("https://creighton-primo.hosted.exlibrisgroup.com/primo-explore/search?tab=default_tab&amp;search_scope=EVERYTHING&amp;vid=01CRU&amp;lang=en_US&amp;offset=0&amp;query=any,contains,991000274839702656","Catalog Record")</f>
        <v>Catalog Record</v>
      </c>
      <c r="AT592" s="6" t="str">
        <f>HYPERLINK("http://www.worldcat.org/oclc/9894268","WorldCat Record")</f>
        <v>WorldCat Record</v>
      </c>
      <c r="AU592" s="3" t="s">
        <v>7564</v>
      </c>
      <c r="AV592" s="3" t="s">
        <v>7565</v>
      </c>
      <c r="AW592" s="3" t="s">
        <v>7566</v>
      </c>
      <c r="AX592" s="3" t="s">
        <v>7566</v>
      </c>
      <c r="AY592" s="3" t="s">
        <v>7567</v>
      </c>
      <c r="AZ592" s="3" t="s">
        <v>75</v>
      </c>
      <c r="BB592" s="3" t="s">
        <v>7568</v>
      </c>
      <c r="BC592" s="3" t="s">
        <v>7569</v>
      </c>
      <c r="BD592" s="3" t="s">
        <v>7570</v>
      </c>
    </row>
    <row r="593" spans="1:56" ht="48" customHeight="1" x14ac:dyDescent="0.25">
      <c r="A593" s="7" t="s">
        <v>59</v>
      </c>
      <c r="B593" s="2" t="s">
        <v>7571</v>
      </c>
      <c r="C593" s="2" t="s">
        <v>7572</v>
      </c>
      <c r="D593" s="2" t="s">
        <v>7573</v>
      </c>
      <c r="F593" s="3" t="s">
        <v>59</v>
      </c>
      <c r="G593" s="3" t="s">
        <v>60</v>
      </c>
      <c r="H593" s="3" t="s">
        <v>59</v>
      </c>
      <c r="I593" s="3" t="s">
        <v>59</v>
      </c>
      <c r="J593" s="3" t="s">
        <v>61</v>
      </c>
      <c r="K593" s="2" t="s">
        <v>7574</v>
      </c>
      <c r="L593" s="2" t="s">
        <v>7575</v>
      </c>
      <c r="M593" s="3" t="s">
        <v>319</v>
      </c>
      <c r="O593" s="3" t="s">
        <v>64</v>
      </c>
      <c r="P593" s="3" t="s">
        <v>130</v>
      </c>
      <c r="Q593" s="2" t="s">
        <v>1395</v>
      </c>
      <c r="R593" s="3" t="s">
        <v>67</v>
      </c>
      <c r="S593" s="4">
        <v>32</v>
      </c>
      <c r="T593" s="4">
        <v>32</v>
      </c>
      <c r="U593" s="5" t="s">
        <v>7576</v>
      </c>
      <c r="V593" s="5" t="s">
        <v>7576</v>
      </c>
      <c r="W593" s="5" t="s">
        <v>7527</v>
      </c>
      <c r="X593" s="5" t="s">
        <v>7527</v>
      </c>
      <c r="Y593" s="4">
        <v>329</v>
      </c>
      <c r="Z593" s="4">
        <v>303</v>
      </c>
      <c r="AA593" s="4">
        <v>1168</v>
      </c>
      <c r="AB593" s="4">
        <v>4</v>
      </c>
      <c r="AC593" s="4">
        <v>8</v>
      </c>
      <c r="AD593" s="4">
        <v>5</v>
      </c>
      <c r="AE593" s="4">
        <v>19</v>
      </c>
      <c r="AF593" s="4">
        <v>4</v>
      </c>
      <c r="AG593" s="4">
        <v>10</v>
      </c>
      <c r="AH593" s="4">
        <v>0</v>
      </c>
      <c r="AI593" s="4">
        <v>1</v>
      </c>
      <c r="AJ593" s="4">
        <v>2</v>
      </c>
      <c r="AK593" s="4">
        <v>10</v>
      </c>
      <c r="AL593" s="4">
        <v>1</v>
      </c>
      <c r="AM593" s="4">
        <v>3</v>
      </c>
      <c r="AN593" s="4">
        <v>0</v>
      </c>
      <c r="AO593" s="4">
        <v>0</v>
      </c>
      <c r="AP593" s="3" t="s">
        <v>59</v>
      </c>
      <c r="AQ593" s="3" t="s">
        <v>70</v>
      </c>
      <c r="AR593" s="6" t="str">
        <f>HYPERLINK("http://catalog.hathitrust.org/Record/007056623","HathiTrust Record")</f>
        <v>HathiTrust Record</v>
      </c>
      <c r="AS593" s="6" t="str">
        <f>HYPERLINK("https://creighton-primo.hosted.exlibrisgroup.com/primo-explore/search?tab=default_tab&amp;search_scope=EVERYTHING&amp;vid=01CRU&amp;lang=en_US&amp;offset=0&amp;query=any,contains,991000598599702656","Catalog Record")</f>
        <v>Catalog Record</v>
      </c>
      <c r="AT593" s="6" t="str">
        <f>HYPERLINK("http://www.worldcat.org/oclc/11816371","WorldCat Record")</f>
        <v>WorldCat Record</v>
      </c>
      <c r="AU593" s="3" t="s">
        <v>7577</v>
      </c>
      <c r="AV593" s="3" t="s">
        <v>7578</v>
      </c>
      <c r="AW593" s="3" t="s">
        <v>7579</v>
      </c>
      <c r="AX593" s="3" t="s">
        <v>7579</v>
      </c>
      <c r="AY593" s="3" t="s">
        <v>7580</v>
      </c>
      <c r="AZ593" s="3" t="s">
        <v>75</v>
      </c>
      <c r="BB593" s="3" t="s">
        <v>7581</v>
      </c>
      <c r="BC593" s="3" t="s">
        <v>7582</v>
      </c>
      <c r="BD593" s="3" t="s">
        <v>7583</v>
      </c>
    </row>
    <row r="594" spans="1:56" ht="48" customHeight="1" x14ac:dyDescent="0.25">
      <c r="A594" s="7" t="s">
        <v>59</v>
      </c>
      <c r="B594" s="2" t="s">
        <v>7584</v>
      </c>
      <c r="C594" s="2" t="s">
        <v>7585</v>
      </c>
      <c r="D594" s="2" t="s">
        <v>7586</v>
      </c>
      <c r="F594" s="3" t="s">
        <v>59</v>
      </c>
      <c r="G594" s="3" t="s">
        <v>60</v>
      </c>
      <c r="H594" s="3" t="s">
        <v>59</v>
      </c>
      <c r="I594" s="3" t="s">
        <v>59</v>
      </c>
      <c r="J594" s="3" t="s">
        <v>61</v>
      </c>
      <c r="K594" s="2" t="s">
        <v>7587</v>
      </c>
      <c r="L594" s="2" t="s">
        <v>7588</v>
      </c>
      <c r="M594" s="3" t="s">
        <v>604</v>
      </c>
      <c r="O594" s="3" t="s">
        <v>64</v>
      </c>
      <c r="P594" s="3" t="s">
        <v>130</v>
      </c>
      <c r="Q594" s="2" t="s">
        <v>7589</v>
      </c>
      <c r="R594" s="3" t="s">
        <v>67</v>
      </c>
      <c r="S594" s="4">
        <v>2</v>
      </c>
      <c r="T594" s="4">
        <v>2</v>
      </c>
      <c r="U594" s="5" t="s">
        <v>7590</v>
      </c>
      <c r="V594" s="5" t="s">
        <v>7590</v>
      </c>
      <c r="W594" s="5" t="s">
        <v>3873</v>
      </c>
      <c r="X594" s="5" t="s">
        <v>3873</v>
      </c>
      <c r="Y594" s="4">
        <v>36</v>
      </c>
      <c r="Z594" s="4">
        <v>18</v>
      </c>
      <c r="AA594" s="4">
        <v>23</v>
      </c>
      <c r="AB594" s="4">
        <v>1</v>
      </c>
      <c r="AC594" s="4">
        <v>1</v>
      </c>
      <c r="AD594" s="4">
        <v>0</v>
      </c>
      <c r="AE594" s="4">
        <v>0</v>
      </c>
      <c r="AF594" s="4">
        <v>0</v>
      </c>
      <c r="AG594" s="4">
        <v>0</v>
      </c>
      <c r="AH594" s="4">
        <v>0</v>
      </c>
      <c r="AI594" s="4">
        <v>0</v>
      </c>
      <c r="AJ594" s="4">
        <v>0</v>
      </c>
      <c r="AK594" s="4">
        <v>0</v>
      </c>
      <c r="AL594" s="4">
        <v>0</v>
      </c>
      <c r="AM594" s="4">
        <v>0</v>
      </c>
      <c r="AN594" s="4">
        <v>0</v>
      </c>
      <c r="AO594" s="4">
        <v>0</v>
      </c>
      <c r="AP594" s="3" t="s">
        <v>59</v>
      </c>
      <c r="AQ594" s="3" t="s">
        <v>59</v>
      </c>
      <c r="AS594" s="6" t="str">
        <f>HYPERLINK("https://creighton-primo.hosted.exlibrisgroup.com/primo-explore/search?tab=default_tab&amp;search_scope=EVERYTHING&amp;vid=01CRU&amp;lang=en_US&amp;offset=0&amp;query=any,contains,991002526889702656","Catalog Record")</f>
        <v>Catalog Record</v>
      </c>
      <c r="AT594" s="6" t="str">
        <f>HYPERLINK("http://www.worldcat.org/oclc/32854916","WorldCat Record")</f>
        <v>WorldCat Record</v>
      </c>
      <c r="AU594" s="3" t="s">
        <v>7591</v>
      </c>
      <c r="AV594" s="3" t="s">
        <v>7592</v>
      </c>
      <c r="AW594" s="3" t="s">
        <v>7593</v>
      </c>
      <c r="AX594" s="3" t="s">
        <v>7593</v>
      </c>
      <c r="AY594" s="3" t="s">
        <v>7594</v>
      </c>
      <c r="AZ594" s="3" t="s">
        <v>75</v>
      </c>
      <c r="BB594" s="3" t="s">
        <v>7595</v>
      </c>
      <c r="BC594" s="3" t="s">
        <v>7596</v>
      </c>
      <c r="BD594" s="3" t="s">
        <v>7597</v>
      </c>
    </row>
    <row r="595" spans="1:56" ht="48" customHeight="1" x14ac:dyDescent="0.25">
      <c r="A595" s="7" t="s">
        <v>59</v>
      </c>
      <c r="B595" s="2" t="s">
        <v>7598</v>
      </c>
      <c r="C595" s="2" t="s">
        <v>7599</v>
      </c>
      <c r="D595" s="2" t="s">
        <v>7600</v>
      </c>
      <c r="F595" s="3" t="s">
        <v>59</v>
      </c>
      <c r="G595" s="3" t="s">
        <v>60</v>
      </c>
      <c r="H595" s="3" t="s">
        <v>59</v>
      </c>
      <c r="I595" s="3" t="s">
        <v>59</v>
      </c>
      <c r="J595" s="3" t="s">
        <v>61</v>
      </c>
      <c r="K595" s="2" t="s">
        <v>7601</v>
      </c>
      <c r="L595" s="2" t="s">
        <v>7602</v>
      </c>
      <c r="M595" s="3" t="s">
        <v>6695</v>
      </c>
      <c r="O595" s="3" t="s">
        <v>64</v>
      </c>
      <c r="P595" s="3" t="s">
        <v>84</v>
      </c>
      <c r="R595" s="3" t="s">
        <v>67</v>
      </c>
      <c r="S595" s="4">
        <v>3</v>
      </c>
      <c r="T595" s="4">
        <v>3</v>
      </c>
      <c r="U595" s="5" t="s">
        <v>7321</v>
      </c>
      <c r="V595" s="5" t="s">
        <v>7321</v>
      </c>
      <c r="W595" s="5" t="s">
        <v>501</v>
      </c>
      <c r="X595" s="5" t="s">
        <v>501</v>
      </c>
      <c r="Y595" s="4">
        <v>203</v>
      </c>
      <c r="Z595" s="4">
        <v>156</v>
      </c>
      <c r="AA595" s="4">
        <v>167</v>
      </c>
      <c r="AB595" s="4">
        <v>1</v>
      </c>
      <c r="AC595" s="4">
        <v>1</v>
      </c>
      <c r="AD595" s="4">
        <v>5</v>
      </c>
      <c r="AE595" s="4">
        <v>5</v>
      </c>
      <c r="AF595" s="4">
        <v>1</v>
      </c>
      <c r="AG595" s="4">
        <v>1</v>
      </c>
      <c r="AH595" s="4">
        <v>3</v>
      </c>
      <c r="AI595" s="4">
        <v>3</v>
      </c>
      <c r="AJ595" s="4">
        <v>3</v>
      </c>
      <c r="AK595" s="4">
        <v>3</v>
      </c>
      <c r="AL595" s="4">
        <v>0</v>
      </c>
      <c r="AM595" s="4">
        <v>0</v>
      </c>
      <c r="AN595" s="4">
        <v>0</v>
      </c>
      <c r="AO595" s="4">
        <v>0</v>
      </c>
      <c r="AP595" s="3" t="s">
        <v>59</v>
      </c>
      <c r="AQ595" s="3" t="s">
        <v>70</v>
      </c>
      <c r="AR595" s="6" t="str">
        <f>HYPERLINK("http://catalog.hathitrust.org/Record/001555098","HathiTrust Record")</f>
        <v>HathiTrust Record</v>
      </c>
      <c r="AS595" s="6" t="str">
        <f>HYPERLINK("https://creighton-primo.hosted.exlibrisgroup.com/primo-explore/search?tab=default_tab&amp;search_scope=EVERYTHING&amp;vid=01CRU&amp;lang=en_US&amp;offset=0&amp;query=any,contains,991002989619702656","Catalog Record")</f>
        <v>Catalog Record</v>
      </c>
      <c r="AT595" s="6" t="str">
        <f>HYPERLINK("http://www.worldcat.org/oclc/559748","WorldCat Record")</f>
        <v>WorldCat Record</v>
      </c>
      <c r="AU595" s="3" t="s">
        <v>7603</v>
      </c>
      <c r="AV595" s="3" t="s">
        <v>7604</v>
      </c>
      <c r="AW595" s="3" t="s">
        <v>7605</v>
      </c>
      <c r="AX595" s="3" t="s">
        <v>7605</v>
      </c>
      <c r="AY595" s="3" t="s">
        <v>7606</v>
      </c>
      <c r="AZ595" s="3" t="s">
        <v>75</v>
      </c>
      <c r="BC595" s="3" t="s">
        <v>7607</v>
      </c>
      <c r="BD595" s="3" t="s">
        <v>7608</v>
      </c>
    </row>
    <row r="596" spans="1:56" ht="48" customHeight="1" x14ac:dyDescent="0.25">
      <c r="A596" s="7" t="s">
        <v>59</v>
      </c>
      <c r="B596" s="2" t="s">
        <v>7609</v>
      </c>
      <c r="C596" s="2" t="s">
        <v>7610</v>
      </c>
      <c r="D596" s="2" t="s">
        <v>7611</v>
      </c>
      <c r="F596" s="3" t="s">
        <v>59</v>
      </c>
      <c r="G596" s="3" t="s">
        <v>60</v>
      </c>
      <c r="H596" s="3" t="s">
        <v>59</v>
      </c>
      <c r="I596" s="3" t="s">
        <v>59</v>
      </c>
      <c r="J596" s="3" t="s">
        <v>61</v>
      </c>
      <c r="K596" s="2" t="s">
        <v>7612</v>
      </c>
      <c r="L596" s="2" t="s">
        <v>7613</v>
      </c>
      <c r="M596" s="3" t="s">
        <v>590</v>
      </c>
      <c r="N596" s="2" t="s">
        <v>7614</v>
      </c>
      <c r="O596" s="3" t="s">
        <v>64</v>
      </c>
      <c r="P596" s="3" t="s">
        <v>115</v>
      </c>
      <c r="R596" s="3" t="s">
        <v>67</v>
      </c>
      <c r="S596" s="4">
        <v>15</v>
      </c>
      <c r="T596" s="4">
        <v>15</v>
      </c>
      <c r="U596" s="5" t="s">
        <v>7615</v>
      </c>
      <c r="V596" s="5" t="s">
        <v>7615</v>
      </c>
      <c r="W596" s="5" t="s">
        <v>7527</v>
      </c>
      <c r="X596" s="5" t="s">
        <v>7527</v>
      </c>
      <c r="Y596" s="4">
        <v>249</v>
      </c>
      <c r="Z596" s="4">
        <v>206</v>
      </c>
      <c r="AA596" s="4">
        <v>417</v>
      </c>
      <c r="AB596" s="4">
        <v>3</v>
      </c>
      <c r="AC596" s="4">
        <v>4</v>
      </c>
      <c r="AD596" s="4">
        <v>2</v>
      </c>
      <c r="AE596" s="4">
        <v>6</v>
      </c>
      <c r="AF596" s="4">
        <v>0</v>
      </c>
      <c r="AG596" s="4">
        <v>1</v>
      </c>
      <c r="AH596" s="4">
        <v>0</v>
      </c>
      <c r="AI596" s="4">
        <v>0</v>
      </c>
      <c r="AJ596" s="4">
        <v>0</v>
      </c>
      <c r="AK596" s="4">
        <v>2</v>
      </c>
      <c r="AL596" s="4">
        <v>2</v>
      </c>
      <c r="AM596" s="4">
        <v>3</v>
      </c>
      <c r="AN596" s="4">
        <v>0</v>
      </c>
      <c r="AO596" s="4">
        <v>0</v>
      </c>
      <c r="AP596" s="3" t="s">
        <v>59</v>
      </c>
      <c r="AQ596" s="3" t="s">
        <v>70</v>
      </c>
      <c r="AR596" s="6" t="str">
        <f>HYPERLINK("http://catalog.hathitrust.org/Record/002430786","HathiTrust Record")</f>
        <v>HathiTrust Record</v>
      </c>
      <c r="AS596" s="6" t="str">
        <f>HYPERLINK("https://creighton-primo.hosted.exlibrisgroup.com/primo-explore/search?tab=default_tab&amp;search_scope=EVERYTHING&amp;vid=01CRU&amp;lang=en_US&amp;offset=0&amp;query=any,contains,991001391589702656","Catalog Record")</f>
        <v>Catalog Record</v>
      </c>
      <c r="AT596" s="6" t="str">
        <f>HYPERLINK("http://www.worldcat.org/oclc/18773883","WorldCat Record")</f>
        <v>WorldCat Record</v>
      </c>
      <c r="AU596" s="3" t="s">
        <v>7616</v>
      </c>
      <c r="AV596" s="3" t="s">
        <v>7617</v>
      </c>
      <c r="AW596" s="3" t="s">
        <v>7618</v>
      </c>
      <c r="AX596" s="3" t="s">
        <v>7618</v>
      </c>
      <c r="AY596" s="3" t="s">
        <v>7619</v>
      </c>
      <c r="AZ596" s="3" t="s">
        <v>75</v>
      </c>
      <c r="BB596" s="3" t="s">
        <v>7620</v>
      </c>
      <c r="BC596" s="3" t="s">
        <v>7621</v>
      </c>
      <c r="BD596" s="3" t="s">
        <v>7622</v>
      </c>
    </row>
    <row r="597" spans="1:56" ht="48" customHeight="1" x14ac:dyDescent="0.25">
      <c r="A597" s="7" t="s">
        <v>59</v>
      </c>
      <c r="B597" s="2" t="s">
        <v>7623</v>
      </c>
      <c r="C597" s="2" t="s">
        <v>7624</v>
      </c>
      <c r="D597" s="2" t="s">
        <v>7625</v>
      </c>
      <c r="F597" s="3" t="s">
        <v>59</v>
      </c>
      <c r="G597" s="3" t="s">
        <v>60</v>
      </c>
      <c r="H597" s="3" t="s">
        <v>59</v>
      </c>
      <c r="I597" s="3" t="s">
        <v>59</v>
      </c>
      <c r="J597" s="3" t="s">
        <v>61</v>
      </c>
      <c r="K597" s="2" t="s">
        <v>7626</v>
      </c>
      <c r="L597" s="2" t="s">
        <v>7627</v>
      </c>
      <c r="M597" s="3" t="s">
        <v>7628</v>
      </c>
      <c r="O597" s="3" t="s">
        <v>64</v>
      </c>
      <c r="P597" s="3" t="s">
        <v>84</v>
      </c>
      <c r="Q597" s="2" t="s">
        <v>7629</v>
      </c>
      <c r="R597" s="3" t="s">
        <v>67</v>
      </c>
      <c r="S597" s="4">
        <v>10</v>
      </c>
      <c r="T597" s="4">
        <v>10</v>
      </c>
      <c r="U597" s="5" t="s">
        <v>7630</v>
      </c>
      <c r="V597" s="5" t="s">
        <v>7630</v>
      </c>
      <c r="W597" s="5" t="s">
        <v>7631</v>
      </c>
      <c r="X597" s="5" t="s">
        <v>7631</v>
      </c>
      <c r="Y597" s="4">
        <v>268</v>
      </c>
      <c r="Z597" s="4">
        <v>215</v>
      </c>
      <c r="AA597" s="4">
        <v>451</v>
      </c>
      <c r="AB597" s="4">
        <v>4</v>
      </c>
      <c r="AC597" s="4">
        <v>4</v>
      </c>
      <c r="AD597" s="4">
        <v>8</v>
      </c>
      <c r="AE597" s="4">
        <v>14</v>
      </c>
      <c r="AF597" s="4">
        <v>1</v>
      </c>
      <c r="AG597" s="4">
        <v>2</v>
      </c>
      <c r="AH597" s="4">
        <v>0</v>
      </c>
      <c r="AI597" s="4">
        <v>3</v>
      </c>
      <c r="AJ597" s="4">
        <v>4</v>
      </c>
      <c r="AK597" s="4">
        <v>9</v>
      </c>
      <c r="AL597" s="4">
        <v>3</v>
      </c>
      <c r="AM597" s="4">
        <v>3</v>
      </c>
      <c r="AN597" s="4">
        <v>0</v>
      </c>
      <c r="AO597" s="4">
        <v>0</v>
      </c>
      <c r="AP597" s="3" t="s">
        <v>59</v>
      </c>
      <c r="AQ597" s="3" t="s">
        <v>70</v>
      </c>
      <c r="AR597" s="6" t="str">
        <f>HYPERLINK("http://catalog.hathitrust.org/Record/000662629","HathiTrust Record")</f>
        <v>HathiTrust Record</v>
      </c>
      <c r="AS597" s="6" t="str">
        <f>HYPERLINK("https://creighton-primo.hosted.exlibrisgroup.com/primo-explore/search?tab=default_tab&amp;search_scope=EVERYTHING&amp;vid=01CRU&amp;lang=en_US&amp;offset=0&amp;query=any,contains,991004221969702656","Catalog Record")</f>
        <v>Catalog Record</v>
      </c>
      <c r="AT597" s="6" t="str">
        <f>HYPERLINK("http://www.worldcat.org/oclc/2716253","WorldCat Record")</f>
        <v>WorldCat Record</v>
      </c>
      <c r="AU597" s="3" t="s">
        <v>7632</v>
      </c>
      <c r="AV597" s="3" t="s">
        <v>7633</v>
      </c>
      <c r="AW597" s="3" t="s">
        <v>7634</v>
      </c>
      <c r="AX597" s="3" t="s">
        <v>7634</v>
      </c>
      <c r="AY597" s="3" t="s">
        <v>7635</v>
      </c>
      <c r="AZ597" s="3" t="s">
        <v>75</v>
      </c>
      <c r="BC597" s="3" t="s">
        <v>7636</v>
      </c>
      <c r="BD597" s="3" t="s">
        <v>7637</v>
      </c>
    </row>
    <row r="598" spans="1:56" ht="48" customHeight="1" x14ac:dyDescent="0.25">
      <c r="A598" s="7" t="s">
        <v>59</v>
      </c>
      <c r="B598" s="2" t="s">
        <v>7638</v>
      </c>
      <c r="C598" s="2" t="s">
        <v>7639</v>
      </c>
      <c r="D598" s="2" t="s">
        <v>7640</v>
      </c>
      <c r="F598" s="3" t="s">
        <v>59</v>
      </c>
      <c r="G598" s="3" t="s">
        <v>60</v>
      </c>
      <c r="H598" s="3" t="s">
        <v>59</v>
      </c>
      <c r="I598" s="3" t="s">
        <v>59</v>
      </c>
      <c r="J598" s="3" t="s">
        <v>61</v>
      </c>
      <c r="K598" s="2" t="s">
        <v>7641</v>
      </c>
      <c r="L598" s="2" t="s">
        <v>7642</v>
      </c>
      <c r="M598" s="3" t="s">
        <v>500</v>
      </c>
      <c r="O598" s="3" t="s">
        <v>64</v>
      </c>
      <c r="P598" s="3" t="s">
        <v>264</v>
      </c>
      <c r="R598" s="3" t="s">
        <v>67</v>
      </c>
      <c r="S598" s="4">
        <v>12</v>
      </c>
      <c r="T598" s="4">
        <v>12</v>
      </c>
      <c r="U598" s="5" t="s">
        <v>391</v>
      </c>
      <c r="V598" s="5" t="s">
        <v>391</v>
      </c>
      <c r="W598" s="5" t="s">
        <v>7631</v>
      </c>
      <c r="X598" s="5" t="s">
        <v>7631</v>
      </c>
      <c r="Y598" s="4">
        <v>482</v>
      </c>
      <c r="Z598" s="4">
        <v>380</v>
      </c>
      <c r="AA598" s="4">
        <v>387</v>
      </c>
      <c r="AB598" s="4">
        <v>4</v>
      </c>
      <c r="AC598" s="4">
        <v>4</v>
      </c>
      <c r="AD598" s="4">
        <v>12</v>
      </c>
      <c r="AE598" s="4">
        <v>12</v>
      </c>
      <c r="AF598" s="4">
        <v>2</v>
      </c>
      <c r="AG598" s="4">
        <v>2</v>
      </c>
      <c r="AH598" s="4">
        <v>3</v>
      </c>
      <c r="AI598" s="4">
        <v>3</v>
      </c>
      <c r="AJ598" s="4">
        <v>8</v>
      </c>
      <c r="AK598" s="4">
        <v>8</v>
      </c>
      <c r="AL598" s="4">
        <v>3</v>
      </c>
      <c r="AM598" s="4">
        <v>3</v>
      </c>
      <c r="AN598" s="4">
        <v>0</v>
      </c>
      <c r="AO598" s="4">
        <v>0</v>
      </c>
      <c r="AP598" s="3" t="s">
        <v>59</v>
      </c>
      <c r="AQ598" s="3" t="s">
        <v>70</v>
      </c>
      <c r="AR598" s="6" t="str">
        <f>HYPERLINK("http://catalog.hathitrust.org/Record/000507443","HathiTrust Record")</f>
        <v>HathiTrust Record</v>
      </c>
      <c r="AS598" s="6" t="str">
        <f>HYPERLINK("https://creighton-primo.hosted.exlibrisgroup.com/primo-explore/search?tab=default_tab&amp;search_scope=EVERYTHING&amp;vid=01CRU&amp;lang=en_US&amp;offset=0&amp;query=any,contains,991000656729702656","Catalog Record")</f>
        <v>Catalog Record</v>
      </c>
      <c r="AT598" s="6" t="str">
        <f>HYPERLINK("http://www.worldcat.org/oclc/115810","WorldCat Record")</f>
        <v>WorldCat Record</v>
      </c>
      <c r="AU598" s="3" t="s">
        <v>7643</v>
      </c>
      <c r="AV598" s="3" t="s">
        <v>7644</v>
      </c>
      <c r="AW598" s="3" t="s">
        <v>7645</v>
      </c>
      <c r="AX598" s="3" t="s">
        <v>7645</v>
      </c>
      <c r="AY598" s="3" t="s">
        <v>7646</v>
      </c>
      <c r="AZ598" s="3" t="s">
        <v>75</v>
      </c>
      <c r="BB598" s="3" t="s">
        <v>7647</v>
      </c>
      <c r="BC598" s="3" t="s">
        <v>7648</v>
      </c>
      <c r="BD598" s="3" t="s">
        <v>7649</v>
      </c>
    </row>
    <row r="599" spans="1:56" ht="48" customHeight="1" x14ac:dyDescent="0.25">
      <c r="A599" s="7" t="s">
        <v>59</v>
      </c>
      <c r="B599" s="2" t="s">
        <v>7650</v>
      </c>
      <c r="C599" s="2" t="s">
        <v>7651</v>
      </c>
      <c r="D599" s="2" t="s">
        <v>7652</v>
      </c>
      <c r="F599" s="3" t="s">
        <v>59</v>
      </c>
      <c r="G599" s="3" t="s">
        <v>60</v>
      </c>
      <c r="H599" s="3" t="s">
        <v>59</v>
      </c>
      <c r="I599" s="3" t="s">
        <v>59</v>
      </c>
      <c r="J599" s="3" t="s">
        <v>61</v>
      </c>
      <c r="K599" s="2" t="s">
        <v>7653</v>
      </c>
      <c r="L599" s="2" t="s">
        <v>7654</v>
      </c>
      <c r="M599" s="3" t="s">
        <v>6695</v>
      </c>
      <c r="O599" s="3" t="s">
        <v>64</v>
      </c>
      <c r="P599" s="3" t="s">
        <v>176</v>
      </c>
      <c r="Q599" s="2" t="s">
        <v>7655</v>
      </c>
      <c r="R599" s="3" t="s">
        <v>67</v>
      </c>
      <c r="S599" s="4">
        <v>1</v>
      </c>
      <c r="T599" s="4">
        <v>1</v>
      </c>
      <c r="U599" s="5" t="s">
        <v>4728</v>
      </c>
      <c r="V599" s="5" t="s">
        <v>4728</v>
      </c>
      <c r="W599" s="5" t="s">
        <v>7656</v>
      </c>
      <c r="X599" s="5" t="s">
        <v>7656</v>
      </c>
      <c r="Y599" s="4">
        <v>419</v>
      </c>
      <c r="Z599" s="4">
        <v>321</v>
      </c>
      <c r="AA599" s="4">
        <v>327</v>
      </c>
      <c r="AB599" s="4">
        <v>2</v>
      </c>
      <c r="AC599" s="4">
        <v>2</v>
      </c>
      <c r="AD599" s="4">
        <v>15</v>
      </c>
      <c r="AE599" s="4">
        <v>15</v>
      </c>
      <c r="AF599" s="4">
        <v>6</v>
      </c>
      <c r="AG599" s="4">
        <v>6</v>
      </c>
      <c r="AH599" s="4">
        <v>4</v>
      </c>
      <c r="AI599" s="4">
        <v>4</v>
      </c>
      <c r="AJ599" s="4">
        <v>9</v>
      </c>
      <c r="AK599" s="4">
        <v>9</v>
      </c>
      <c r="AL599" s="4">
        <v>1</v>
      </c>
      <c r="AM599" s="4">
        <v>1</v>
      </c>
      <c r="AN599" s="4">
        <v>0</v>
      </c>
      <c r="AO599" s="4">
        <v>0</v>
      </c>
      <c r="AP599" s="3" t="s">
        <v>59</v>
      </c>
      <c r="AQ599" s="3" t="s">
        <v>70</v>
      </c>
      <c r="AR599" s="6" t="str">
        <f>HYPERLINK("http://catalog.hathitrust.org/Record/001555123","HathiTrust Record")</f>
        <v>HathiTrust Record</v>
      </c>
      <c r="AS599" s="6" t="str">
        <f>HYPERLINK("https://creighton-primo.hosted.exlibrisgroup.com/primo-explore/search?tab=default_tab&amp;search_scope=EVERYTHING&amp;vid=01CRU&amp;lang=en_US&amp;offset=0&amp;query=any,contains,991000109709702656","Catalog Record")</f>
        <v>Catalog Record</v>
      </c>
      <c r="AT599" s="6" t="str">
        <f>HYPERLINK("http://www.worldcat.org/oclc/8991552","WorldCat Record")</f>
        <v>WorldCat Record</v>
      </c>
      <c r="AU599" s="3" t="s">
        <v>7657</v>
      </c>
      <c r="AV599" s="3" t="s">
        <v>7658</v>
      </c>
      <c r="AW599" s="3" t="s">
        <v>7659</v>
      </c>
      <c r="AX599" s="3" t="s">
        <v>7659</v>
      </c>
      <c r="AY599" s="3" t="s">
        <v>7660</v>
      </c>
      <c r="AZ599" s="3" t="s">
        <v>75</v>
      </c>
      <c r="BC599" s="3" t="s">
        <v>7661</v>
      </c>
      <c r="BD599" s="3" t="s">
        <v>7662</v>
      </c>
    </row>
    <row r="600" spans="1:56" ht="48" customHeight="1" x14ac:dyDescent="0.25">
      <c r="A600" s="7" t="s">
        <v>59</v>
      </c>
      <c r="B600" s="2" t="s">
        <v>7663</v>
      </c>
      <c r="C600" s="2" t="s">
        <v>7664</v>
      </c>
      <c r="D600" s="2" t="s">
        <v>7665</v>
      </c>
      <c r="F600" s="3" t="s">
        <v>59</v>
      </c>
      <c r="G600" s="3" t="s">
        <v>60</v>
      </c>
      <c r="H600" s="3" t="s">
        <v>59</v>
      </c>
      <c r="I600" s="3" t="s">
        <v>59</v>
      </c>
      <c r="J600" s="3" t="s">
        <v>61</v>
      </c>
      <c r="K600" s="2" t="s">
        <v>7666</v>
      </c>
      <c r="L600" s="2" t="s">
        <v>7667</v>
      </c>
      <c r="M600" s="3" t="s">
        <v>872</v>
      </c>
      <c r="O600" s="3" t="s">
        <v>64</v>
      </c>
      <c r="P600" s="3" t="s">
        <v>130</v>
      </c>
      <c r="R600" s="3" t="s">
        <v>67</v>
      </c>
      <c r="S600" s="4">
        <v>14</v>
      </c>
      <c r="T600" s="4">
        <v>14</v>
      </c>
      <c r="U600" s="5" t="s">
        <v>7630</v>
      </c>
      <c r="V600" s="5" t="s">
        <v>7630</v>
      </c>
      <c r="W600" s="5" t="s">
        <v>7631</v>
      </c>
      <c r="X600" s="5" t="s">
        <v>7631</v>
      </c>
      <c r="Y600" s="4">
        <v>560</v>
      </c>
      <c r="Z600" s="4">
        <v>422</v>
      </c>
      <c r="AA600" s="4">
        <v>425</v>
      </c>
      <c r="AB600" s="4">
        <v>4</v>
      </c>
      <c r="AC600" s="4">
        <v>4</v>
      </c>
      <c r="AD600" s="4">
        <v>17</v>
      </c>
      <c r="AE600" s="4">
        <v>17</v>
      </c>
      <c r="AF600" s="4">
        <v>5</v>
      </c>
      <c r="AG600" s="4">
        <v>5</v>
      </c>
      <c r="AH600" s="4">
        <v>5</v>
      </c>
      <c r="AI600" s="4">
        <v>5</v>
      </c>
      <c r="AJ600" s="4">
        <v>9</v>
      </c>
      <c r="AK600" s="4">
        <v>9</v>
      </c>
      <c r="AL600" s="4">
        <v>3</v>
      </c>
      <c r="AM600" s="4">
        <v>3</v>
      </c>
      <c r="AN600" s="4">
        <v>0</v>
      </c>
      <c r="AO600" s="4">
        <v>0</v>
      </c>
      <c r="AP600" s="3" t="s">
        <v>59</v>
      </c>
      <c r="AQ600" s="3" t="s">
        <v>70</v>
      </c>
      <c r="AR600" s="6" t="str">
        <f>HYPERLINK("http://catalog.hathitrust.org/Record/001555124","HathiTrust Record")</f>
        <v>HathiTrust Record</v>
      </c>
      <c r="AS600" s="6" t="str">
        <f>HYPERLINK("https://creighton-primo.hosted.exlibrisgroup.com/primo-explore/search?tab=default_tab&amp;search_scope=EVERYTHING&amp;vid=01CRU&amp;lang=en_US&amp;offset=0&amp;query=any,contains,991002920529702656","Catalog Record")</f>
        <v>Catalog Record</v>
      </c>
      <c r="AT600" s="6" t="str">
        <f>HYPERLINK("http://www.worldcat.org/oclc/526435","WorldCat Record")</f>
        <v>WorldCat Record</v>
      </c>
      <c r="AU600" s="3" t="s">
        <v>7668</v>
      </c>
      <c r="AV600" s="3" t="s">
        <v>7669</v>
      </c>
      <c r="AW600" s="3" t="s">
        <v>7670</v>
      </c>
      <c r="AX600" s="3" t="s">
        <v>7670</v>
      </c>
      <c r="AY600" s="3" t="s">
        <v>7671</v>
      </c>
      <c r="AZ600" s="3" t="s">
        <v>75</v>
      </c>
      <c r="BC600" s="3" t="s">
        <v>7672</v>
      </c>
      <c r="BD600" s="3" t="s">
        <v>7673</v>
      </c>
    </row>
    <row r="601" spans="1:56" ht="48" customHeight="1" x14ac:dyDescent="0.25">
      <c r="A601" s="7" t="s">
        <v>59</v>
      </c>
      <c r="B601" s="2" t="s">
        <v>7674</v>
      </c>
      <c r="C601" s="2" t="s">
        <v>7675</v>
      </c>
      <c r="D601" s="2" t="s">
        <v>7676</v>
      </c>
      <c r="F601" s="3" t="s">
        <v>59</v>
      </c>
      <c r="G601" s="3" t="s">
        <v>60</v>
      </c>
      <c r="H601" s="3" t="s">
        <v>59</v>
      </c>
      <c r="I601" s="3" t="s">
        <v>59</v>
      </c>
      <c r="J601" s="3" t="s">
        <v>61</v>
      </c>
      <c r="K601" s="2" t="s">
        <v>7677</v>
      </c>
      <c r="L601" s="2" t="s">
        <v>7678</v>
      </c>
      <c r="M601" s="3" t="s">
        <v>2962</v>
      </c>
      <c r="O601" s="3" t="s">
        <v>64</v>
      </c>
      <c r="P601" s="3" t="s">
        <v>912</v>
      </c>
      <c r="Q601" s="2" t="s">
        <v>7679</v>
      </c>
      <c r="R601" s="3" t="s">
        <v>67</v>
      </c>
      <c r="S601" s="4">
        <v>15</v>
      </c>
      <c r="T601" s="4">
        <v>15</v>
      </c>
      <c r="U601" s="5" t="s">
        <v>7680</v>
      </c>
      <c r="V601" s="5" t="s">
        <v>7680</v>
      </c>
      <c r="W601" s="5" t="s">
        <v>7631</v>
      </c>
      <c r="X601" s="5" t="s">
        <v>7631</v>
      </c>
      <c r="Y601" s="4">
        <v>513</v>
      </c>
      <c r="Z601" s="4">
        <v>416</v>
      </c>
      <c r="AA601" s="4">
        <v>425</v>
      </c>
      <c r="AB601" s="4">
        <v>5</v>
      </c>
      <c r="AC601" s="4">
        <v>5</v>
      </c>
      <c r="AD601" s="4">
        <v>25</v>
      </c>
      <c r="AE601" s="4">
        <v>25</v>
      </c>
      <c r="AF601" s="4">
        <v>12</v>
      </c>
      <c r="AG601" s="4">
        <v>12</v>
      </c>
      <c r="AH601" s="4">
        <v>5</v>
      </c>
      <c r="AI601" s="4">
        <v>5</v>
      </c>
      <c r="AJ601" s="4">
        <v>9</v>
      </c>
      <c r="AK601" s="4">
        <v>9</v>
      </c>
      <c r="AL601" s="4">
        <v>4</v>
      </c>
      <c r="AM601" s="4">
        <v>4</v>
      </c>
      <c r="AN601" s="4">
        <v>0</v>
      </c>
      <c r="AO601" s="4">
        <v>0</v>
      </c>
      <c r="AP601" s="3" t="s">
        <v>59</v>
      </c>
      <c r="AQ601" s="3" t="s">
        <v>59</v>
      </c>
      <c r="AS601" s="6" t="str">
        <f>HYPERLINK("https://creighton-primo.hosted.exlibrisgroup.com/primo-explore/search?tab=default_tab&amp;search_scope=EVERYTHING&amp;vid=01CRU&amp;lang=en_US&amp;offset=0&amp;query=any,contains,991002629989702656","Catalog Record")</f>
        <v>Catalog Record</v>
      </c>
      <c r="AT601" s="6" t="str">
        <f>HYPERLINK("http://www.worldcat.org/oclc/14611807","WorldCat Record")</f>
        <v>WorldCat Record</v>
      </c>
      <c r="AU601" s="3" t="s">
        <v>7681</v>
      </c>
      <c r="AV601" s="3" t="s">
        <v>7682</v>
      </c>
      <c r="AW601" s="3" t="s">
        <v>7683</v>
      </c>
      <c r="AX601" s="3" t="s">
        <v>7683</v>
      </c>
      <c r="AY601" s="3" t="s">
        <v>7684</v>
      </c>
      <c r="AZ601" s="3" t="s">
        <v>75</v>
      </c>
      <c r="BC601" s="3" t="s">
        <v>7685</v>
      </c>
      <c r="BD601" s="3" t="s">
        <v>7686</v>
      </c>
    </row>
    <row r="602" spans="1:56" ht="48" customHeight="1" x14ac:dyDescent="0.25">
      <c r="A602" s="7" t="s">
        <v>59</v>
      </c>
      <c r="B602" s="2" t="s">
        <v>7687</v>
      </c>
      <c r="C602" s="2" t="s">
        <v>7688</v>
      </c>
      <c r="D602" s="2" t="s">
        <v>7689</v>
      </c>
      <c r="F602" s="3" t="s">
        <v>59</v>
      </c>
      <c r="G602" s="3" t="s">
        <v>60</v>
      </c>
      <c r="H602" s="3" t="s">
        <v>59</v>
      </c>
      <c r="I602" s="3" t="s">
        <v>59</v>
      </c>
      <c r="J602" s="3" t="s">
        <v>61</v>
      </c>
      <c r="K602" s="2" t="s">
        <v>7690</v>
      </c>
      <c r="L602" s="2" t="s">
        <v>7691</v>
      </c>
      <c r="M602" s="3" t="s">
        <v>1338</v>
      </c>
      <c r="O602" s="3" t="s">
        <v>64</v>
      </c>
      <c r="P602" s="3" t="s">
        <v>84</v>
      </c>
      <c r="R602" s="3" t="s">
        <v>67</v>
      </c>
      <c r="S602" s="4">
        <v>1</v>
      </c>
      <c r="T602" s="4">
        <v>1</v>
      </c>
      <c r="U602" s="5" t="s">
        <v>6081</v>
      </c>
      <c r="V602" s="5" t="s">
        <v>6081</v>
      </c>
      <c r="W602" s="5" t="s">
        <v>7692</v>
      </c>
      <c r="X602" s="5" t="s">
        <v>7692</v>
      </c>
      <c r="Y602" s="4">
        <v>206</v>
      </c>
      <c r="Z602" s="4">
        <v>136</v>
      </c>
      <c r="AA602" s="4">
        <v>369</v>
      </c>
      <c r="AB602" s="4">
        <v>1</v>
      </c>
      <c r="AC602" s="4">
        <v>4</v>
      </c>
      <c r="AD602" s="4">
        <v>3</v>
      </c>
      <c r="AE602" s="4">
        <v>15</v>
      </c>
      <c r="AF602" s="4">
        <v>0</v>
      </c>
      <c r="AG602" s="4">
        <v>2</v>
      </c>
      <c r="AH602" s="4">
        <v>1</v>
      </c>
      <c r="AI602" s="4">
        <v>5</v>
      </c>
      <c r="AJ602" s="4">
        <v>2</v>
      </c>
      <c r="AK602" s="4">
        <v>10</v>
      </c>
      <c r="AL602" s="4">
        <v>0</v>
      </c>
      <c r="AM602" s="4">
        <v>3</v>
      </c>
      <c r="AN602" s="4">
        <v>0</v>
      </c>
      <c r="AO602" s="4">
        <v>0</v>
      </c>
      <c r="AP602" s="3" t="s">
        <v>59</v>
      </c>
      <c r="AQ602" s="3" t="s">
        <v>70</v>
      </c>
      <c r="AR602" s="6" t="str">
        <f>HYPERLINK("http://catalog.hathitrust.org/Record/001555130","HathiTrust Record")</f>
        <v>HathiTrust Record</v>
      </c>
      <c r="AS602" s="6" t="str">
        <f>HYPERLINK("https://creighton-primo.hosted.exlibrisgroup.com/primo-explore/search?tab=default_tab&amp;search_scope=EVERYTHING&amp;vid=01CRU&amp;lang=en_US&amp;offset=0&amp;query=any,contains,991004186579702656","Catalog Record")</f>
        <v>Catalog Record</v>
      </c>
      <c r="AT602" s="6" t="str">
        <f>HYPERLINK("http://www.worldcat.org/oclc/2616571","WorldCat Record")</f>
        <v>WorldCat Record</v>
      </c>
      <c r="AU602" s="3" t="s">
        <v>7693</v>
      </c>
      <c r="AV602" s="3" t="s">
        <v>7694</v>
      </c>
      <c r="AW602" s="3" t="s">
        <v>7695</v>
      </c>
      <c r="AX602" s="3" t="s">
        <v>7695</v>
      </c>
      <c r="AY602" s="3" t="s">
        <v>7696</v>
      </c>
      <c r="AZ602" s="3" t="s">
        <v>75</v>
      </c>
      <c r="BB602" s="3" t="s">
        <v>7697</v>
      </c>
      <c r="BC602" s="3" t="s">
        <v>7698</v>
      </c>
      <c r="BD602" s="3" t="s">
        <v>7699</v>
      </c>
    </row>
    <row r="603" spans="1:56" ht="48" customHeight="1" x14ac:dyDescent="0.25">
      <c r="A603" s="7" t="s">
        <v>59</v>
      </c>
      <c r="B603" s="2" t="s">
        <v>7700</v>
      </c>
      <c r="C603" s="2" t="s">
        <v>7701</v>
      </c>
      <c r="D603" s="2" t="s">
        <v>7702</v>
      </c>
      <c r="F603" s="3" t="s">
        <v>59</v>
      </c>
      <c r="G603" s="3" t="s">
        <v>60</v>
      </c>
      <c r="H603" s="3" t="s">
        <v>59</v>
      </c>
      <c r="I603" s="3" t="s">
        <v>59</v>
      </c>
      <c r="J603" s="3" t="s">
        <v>61</v>
      </c>
      <c r="K603" s="2" t="s">
        <v>7703</v>
      </c>
      <c r="L603" s="2" t="s">
        <v>7704</v>
      </c>
      <c r="M603" s="3" t="s">
        <v>471</v>
      </c>
      <c r="O603" s="3" t="s">
        <v>64</v>
      </c>
      <c r="P603" s="3" t="s">
        <v>130</v>
      </c>
      <c r="R603" s="3" t="s">
        <v>67</v>
      </c>
      <c r="S603" s="4">
        <v>18</v>
      </c>
      <c r="T603" s="4">
        <v>18</v>
      </c>
      <c r="U603" s="5" t="s">
        <v>7705</v>
      </c>
      <c r="V603" s="5" t="s">
        <v>7705</v>
      </c>
      <c r="W603" s="5" t="s">
        <v>4157</v>
      </c>
      <c r="X603" s="5" t="s">
        <v>4157</v>
      </c>
      <c r="Y603" s="4">
        <v>577</v>
      </c>
      <c r="Z603" s="4">
        <v>450</v>
      </c>
      <c r="AA603" s="4">
        <v>452</v>
      </c>
      <c r="AB603" s="4">
        <v>3</v>
      </c>
      <c r="AC603" s="4">
        <v>3</v>
      </c>
      <c r="AD603" s="4">
        <v>14</v>
      </c>
      <c r="AE603" s="4">
        <v>14</v>
      </c>
      <c r="AF603" s="4">
        <v>5</v>
      </c>
      <c r="AG603" s="4">
        <v>5</v>
      </c>
      <c r="AH603" s="4">
        <v>2</v>
      </c>
      <c r="AI603" s="4">
        <v>2</v>
      </c>
      <c r="AJ603" s="4">
        <v>8</v>
      </c>
      <c r="AK603" s="4">
        <v>8</v>
      </c>
      <c r="AL603" s="4">
        <v>2</v>
      </c>
      <c r="AM603" s="4">
        <v>2</v>
      </c>
      <c r="AN603" s="4">
        <v>0</v>
      </c>
      <c r="AO603" s="4">
        <v>0</v>
      </c>
      <c r="AP603" s="3" t="s">
        <v>59</v>
      </c>
      <c r="AQ603" s="3" t="s">
        <v>70</v>
      </c>
      <c r="AR603" s="6" t="str">
        <f>HYPERLINK("http://catalog.hathitrust.org/Record/001555131","HathiTrust Record")</f>
        <v>HathiTrust Record</v>
      </c>
      <c r="AS603" s="6" t="str">
        <f>HYPERLINK("https://creighton-primo.hosted.exlibrisgroup.com/primo-explore/search?tab=default_tab&amp;search_scope=EVERYTHING&amp;vid=01CRU&amp;lang=en_US&amp;offset=0&amp;query=any,contains,991003396609702656","Catalog Record")</f>
        <v>Catalog Record</v>
      </c>
      <c r="AT603" s="6" t="str">
        <f>HYPERLINK("http://www.worldcat.org/oclc/934771","WorldCat Record")</f>
        <v>WorldCat Record</v>
      </c>
      <c r="AU603" s="3" t="s">
        <v>7706</v>
      </c>
      <c r="AV603" s="3" t="s">
        <v>7707</v>
      </c>
      <c r="AW603" s="3" t="s">
        <v>7708</v>
      </c>
      <c r="AX603" s="3" t="s">
        <v>7708</v>
      </c>
      <c r="AY603" s="3" t="s">
        <v>7709</v>
      </c>
      <c r="AZ603" s="3" t="s">
        <v>75</v>
      </c>
      <c r="BB603" s="3" t="s">
        <v>7710</v>
      </c>
      <c r="BC603" s="3" t="s">
        <v>7711</v>
      </c>
      <c r="BD603" s="3" t="s">
        <v>7712</v>
      </c>
    </row>
    <row r="604" spans="1:56" ht="48" customHeight="1" x14ac:dyDescent="0.25">
      <c r="A604" s="7" t="s">
        <v>59</v>
      </c>
      <c r="B604" s="2" t="s">
        <v>7713</v>
      </c>
      <c r="C604" s="2" t="s">
        <v>7714</v>
      </c>
      <c r="D604" s="2" t="s">
        <v>7715</v>
      </c>
      <c r="F604" s="3" t="s">
        <v>59</v>
      </c>
      <c r="G604" s="3" t="s">
        <v>60</v>
      </c>
      <c r="H604" s="3" t="s">
        <v>59</v>
      </c>
      <c r="I604" s="3" t="s">
        <v>59</v>
      </c>
      <c r="J604" s="3" t="s">
        <v>61</v>
      </c>
      <c r="K604" s="2" t="s">
        <v>7716</v>
      </c>
      <c r="L604" s="2" t="s">
        <v>7717</v>
      </c>
      <c r="M604" s="3" t="s">
        <v>248</v>
      </c>
      <c r="O604" s="3" t="s">
        <v>64</v>
      </c>
      <c r="P604" s="3" t="s">
        <v>130</v>
      </c>
      <c r="Q604" s="2" t="s">
        <v>7718</v>
      </c>
      <c r="R604" s="3" t="s">
        <v>67</v>
      </c>
      <c r="S604" s="4">
        <v>3</v>
      </c>
      <c r="T604" s="4">
        <v>3</v>
      </c>
      <c r="U604" s="5" t="s">
        <v>1946</v>
      </c>
      <c r="V604" s="5" t="s">
        <v>1946</v>
      </c>
      <c r="W604" s="5" t="s">
        <v>7656</v>
      </c>
      <c r="X604" s="5" t="s">
        <v>7656</v>
      </c>
      <c r="Y604" s="4">
        <v>491</v>
      </c>
      <c r="Z604" s="4">
        <v>383</v>
      </c>
      <c r="AA604" s="4">
        <v>422</v>
      </c>
      <c r="AB604" s="4">
        <v>5</v>
      </c>
      <c r="AC604" s="4">
        <v>5</v>
      </c>
      <c r="AD604" s="4">
        <v>15</v>
      </c>
      <c r="AE604" s="4">
        <v>18</v>
      </c>
      <c r="AF604" s="4">
        <v>2</v>
      </c>
      <c r="AG604" s="4">
        <v>4</v>
      </c>
      <c r="AH604" s="4">
        <v>5</v>
      </c>
      <c r="AI604" s="4">
        <v>7</v>
      </c>
      <c r="AJ604" s="4">
        <v>7</v>
      </c>
      <c r="AK604" s="4">
        <v>7</v>
      </c>
      <c r="AL604" s="4">
        <v>4</v>
      </c>
      <c r="AM604" s="4">
        <v>4</v>
      </c>
      <c r="AN604" s="4">
        <v>0</v>
      </c>
      <c r="AO604" s="4">
        <v>0</v>
      </c>
      <c r="AP604" s="3" t="s">
        <v>59</v>
      </c>
      <c r="AQ604" s="3" t="s">
        <v>70</v>
      </c>
      <c r="AR604" s="6" t="str">
        <f>HYPERLINK("http://catalog.hathitrust.org/Record/000318556","HathiTrust Record")</f>
        <v>HathiTrust Record</v>
      </c>
      <c r="AS604" s="6" t="str">
        <f>HYPERLINK("https://creighton-primo.hosted.exlibrisgroup.com/primo-explore/search?tab=default_tab&amp;search_scope=EVERYTHING&amp;vid=01CRU&amp;lang=en_US&amp;offset=0&amp;query=any,contains,991005183269702656","Catalog Record")</f>
        <v>Catalog Record</v>
      </c>
      <c r="AT604" s="6" t="str">
        <f>HYPERLINK("http://www.worldcat.org/oclc/7947782","WorldCat Record")</f>
        <v>WorldCat Record</v>
      </c>
      <c r="AU604" s="3" t="s">
        <v>7719</v>
      </c>
      <c r="AV604" s="3" t="s">
        <v>7720</v>
      </c>
      <c r="AW604" s="3" t="s">
        <v>7721</v>
      </c>
      <c r="AX604" s="3" t="s">
        <v>7721</v>
      </c>
      <c r="AY604" s="3" t="s">
        <v>7722</v>
      </c>
      <c r="AZ604" s="3" t="s">
        <v>75</v>
      </c>
      <c r="BB604" s="3" t="s">
        <v>7723</v>
      </c>
      <c r="BC604" s="3" t="s">
        <v>7724</v>
      </c>
      <c r="BD604" s="3" t="s">
        <v>7725</v>
      </c>
    </row>
    <row r="605" spans="1:56" ht="48" customHeight="1" x14ac:dyDescent="0.25">
      <c r="A605" s="7" t="s">
        <v>59</v>
      </c>
      <c r="B605" s="2" t="s">
        <v>7726</v>
      </c>
      <c r="C605" s="2" t="s">
        <v>7727</v>
      </c>
      <c r="D605" s="2" t="s">
        <v>7728</v>
      </c>
      <c r="F605" s="3" t="s">
        <v>59</v>
      </c>
      <c r="G605" s="3" t="s">
        <v>60</v>
      </c>
      <c r="H605" s="3" t="s">
        <v>59</v>
      </c>
      <c r="I605" s="3" t="s">
        <v>59</v>
      </c>
      <c r="J605" s="3" t="s">
        <v>61</v>
      </c>
      <c r="K605" s="2" t="s">
        <v>7729</v>
      </c>
      <c r="L605" s="2" t="s">
        <v>7730</v>
      </c>
      <c r="M605" s="3" t="s">
        <v>248</v>
      </c>
      <c r="O605" s="3" t="s">
        <v>64</v>
      </c>
      <c r="P605" s="3" t="s">
        <v>84</v>
      </c>
      <c r="R605" s="3" t="s">
        <v>67</v>
      </c>
      <c r="S605" s="4">
        <v>1</v>
      </c>
      <c r="T605" s="4">
        <v>1</v>
      </c>
      <c r="U605" s="5" t="s">
        <v>7731</v>
      </c>
      <c r="V605" s="5" t="s">
        <v>7731</v>
      </c>
      <c r="W605" s="5" t="s">
        <v>5479</v>
      </c>
      <c r="X605" s="5" t="s">
        <v>5479</v>
      </c>
      <c r="Y605" s="4">
        <v>301</v>
      </c>
      <c r="Z605" s="4">
        <v>187</v>
      </c>
      <c r="AA605" s="4">
        <v>188</v>
      </c>
      <c r="AB605" s="4">
        <v>2</v>
      </c>
      <c r="AC605" s="4">
        <v>2</v>
      </c>
      <c r="AD605" s="4">
        <v>6</v>
      </c>
      <c r="AE605" s="4">
        <v>6</v>
      </c>
      <c r="AF605" s="4">
        <v>1</v>
      </c>
      <c r="AG605" s="4">
        <v>1</v>
      </c>
      <c r="AH605" s="4">
        <v>1</v>
      </c>
      <c r="AI605" s="4">
        <v>1</v>
      </c>
      <c r="AJ605" s="4">
        <v>4</v>
      </c>
      <c r="AK605" s="4">
        <v>4</v>
      </c>
      <c r="AL605" s="4">
        <v>1</v>
      </c>
      <c r="AM605" s="4">
        <v>1</v>
      </c>
      <c r="AN605" s="4">
        <v>0</v>
      </c>
      <c r="AO605" s="4">
        <v>0</v>
      </c>
      <c r="AP605" s="3" t="s">
        <v>59</v>
      </c>
      <c r="AQ605" s="3" t="s">
        <v>70</v>
      </c>
      <c r="AR605" s="6" t="str">
        <f>HYPERLINK("http://catalog.hathitrust.org/Record/000186159","HathiTrust Record")</f>
        <v>HathiTrust Record</v>
      </c>
      <c r="AS605" s="6" t="str">
        <f>HYPERLINK("https://creighton-primo.hosted.exlibrisgroup.com/primo-explore/search?tab=default_tab&amp;search_scope=EVERYTHING&amp;vid=01CRU&amp;lang=en_US&amp;offset=0&amp;query=any,contains,991005234719702656","Catalog Record")</f>
        <v>Catalog Record</v>
      </c>
      <c r="AT605" s="6" t="str">
        <f>HYPERLINK("http://www.worldcat.org/oclc/8360366","WorldCat Record")</f>
        <v>WorldCat Record</v>
      </c>
      <c r="AU605" s="3" t="s">
        <v>7732</v>
      </c>
      <c r="AV605" s="3" t="s">
        <v>7733</v>
      </c>
      <c r="AW605" s="3" t="s">
        <v>7734</v>
      </c>
      <c r="AX605" s="3" t="s">
        <v>7734</v>
      </c>
      <c r="AY605" s="3" t="s">
        <v>7735</v>
      </c>
      <c r="AZ605" s="3" t="s">
        <v>75</v>
      </c>
      <c r="BB605" s="3" t="s">
        <v>7736</v>
      </c>
      <c r="BC605" s="3" t="s">
        <v>7737</v>
      </c>
      <c r="BD605" s="3" t="s">
        <v>7738</v>
      </c>
    </row>
    <row r="606" spans="1:56" ht="48" customHeight="1" x14ac:dyDescent="0.25">
      <c r="A606" s="7" t="s">
        <v>59</v>
      </c>
      <c r="B606" s="2" t="s">
        <v>7739</v>
      </c>
      <c r="C606" s="2" t="s">
        <v>7740</v>
      </c>
      <c r="D606" s="2" t="s">
        <v>7741</v>
      </c>
      <c r="F606" s="3" t="s">
        <v>59</v>
      </c>
      <c r="G606" s="3" t="s">
        <v>60</v>
      </c>
      <c r="H606" s="3" t="s">
        <v>59</v>
      </c>
      <c r="I606" s="3" t="s">
        <v>59</v>
      </c>
      <c r="J606" s="3" t="s">
        <v>61</v>
      </c>
      <c r="K606" s="2" t="s">
        <v>7742</v>
      </c>
      <c r="L606" s="2" t="s">
        <v>7743</v>
      </c>
      <c r="M606" s="3" t="s">
        <v>1338</v>
      </c>
      <c r="O606" s="3" t="s">
        <v>64</v>
      </c>
      <c r="P606" s="3" t="s">
        <v>130</v>
      </c>
      <c r="R606" s="3" t="s">
        <v>67</v>
      </c>
      <c r="S606" s="4">
        <v>6</v>
      </c>
      <c r="T606" s="4">
        <v>6</v>
      </c>
      <c r="U606" s="5" t="s">
        <v>2297</v>
      </c>
      <c r="V606" s="5" t="s">
        <v>2297</v>
      </c>
      <c r="W606" s="5" t="s">
        <v>7744</v>
      </c>
      <c r="X606" s="5" t="s">
        <v>7744</v>
      </c>
      <c r="Y606" s="4">
        <v>449</v>
      </c>
      <c r="Z606" s="4">
        <v>349</v>
      </c>
      <c r="AA606" s="4">
        <v>362</v>
      </c>
      <c r="AB606" s="4">
        <v>3</v>
      </c>
      <c r="AC606" s="4">
        <v>3</v>
      </c>
      <c r="AD606" s="4">
        <v>15</v>
      </c>
      <c r="AE606" s="4">
        <v>15</v>
      </c>
      <c r="AF606" s="4">
        <v>7</v>
      </c>
      <c r="AG606" s="4">
        <v>7</v>
      </c>
      <c r="AH606" s="4">
        <v>2</v>
      </c>
      <c r="AI606" s="4">
        <v>2</v>
      </c>
      <c r="AJ606" s="4">
        <v>9</v>
      </c>
      <c r="AK606" s="4">
        <v>9</v>
      </c>
      <c r="AL606" s="4">
        <v>2</v>
      </c>
      <c r="AM606" s="4">
        <v>2</v>
      </c>
      <c r="AN606" s="4">
        <v>0</v>
      </c>
      <c r="AO606" s="4">
        <v>0</v>
      </c>
      <c r="AP606" s="3" t="s">
        <v>59</v>
      </c>
      <c r="AQ606" s="3" t="s">
        <v>70</v>
      </c>
      <c r="AR606" s="6" t="str">
        <f>HYPERLINK("http://catalog.hathitrust.org/Record/001555133","HathiTrust Record")</f>
        <v>HathiTrust Record</v>
      </c>
      <c r="AS606" s="6" t="str">
        <f>HYPERLINK("https://creighton-primo.hosted.exlibrisgroup.com/primo-explore/search?tab=default_tab&amp;search_scope=EVERYTHING&amp;vid=01CRU&amp;lang=en_US&amp;offset=0&amp;query=any,contains,991003390079702656","Catalog Record")</f>
        <v>Catalog Record</v>
      </c>
      <c r="AT606" s="6" t="str">
        <f>HYPERLINK("http://www.worldcat.org/oclc/927806","WorldCat Record")</f>
        <v>WorldCat Record</v>
      </c>
      <c r="AU606" s="3" t="s">
        <v>7745</v>
      </c>
      <c r="AV606" s="3" t="s">
        <v>7746</v>
      </c>
      <c r="AW606" s="3" t="s">
        <v>7747</v>
      </c>
      <c r="AX606" s="3" t="s">
        <v>7747</v>
      </c>
      <c r="AY606" s="3" t="s">
        <v>7748</v>
      </c>
      <c r="AZ606" s="3" t="s">
        <v>75</v>
      </c>
      <c r="BC606" s="3" t="s">
        <v>7749</v>
      </c>
      <c r="BD606" s="3" t="s">
        <v>7750</v>
      </c>
    </row>
    <row r="607" spans="1:56" ht="48" customHeight="1" x14ac:dyDescent="0.25">
      <c r="A607" s="7" t="s">
        <v>59</v>
      </c>
      <c r="B607" s="2" t="s">
        <v>7751</v>
      </c>
      <c r="C607" s="2" t="s">
        <v>7752</v>
      </c>
      <c r="D607" s="2" t="s">
        <v>7753</v>
      </c>
      <c r="F607" s="3" t="s">
        <v>59</v>
      </c>
      <c r="G607" s="3" t="s">
        <v>60</v>
      </c>
      <c r="H607" s="3" t="s">
        <v>59</v>
      </c>
      <c r="I607" s="3" t="s">
        <v>59</v>
      </c>
      <c r="J607" s="3" t="s">
        <v>61</v>
      </c>
      <c r="K607" s="2" t="s">
        <v>7754</v>
      </c>
      <c r="L607" s="2" t="s">
        <v>7755</v>
      </c>
      <c r="M607" s="3" t="s">
        <v>7756</v>
      </c>
      <c r="O607" s="3" t="s">
        <v>64</v>
      </c>
      <c r="P607" s="3" t="s">
        <v>264</v>
      </c>
      <c r="R607" s="3" t="s">
        <v>67</v>
      </c>
      <c r="S607" s="4">
        <v>8</v>
      </c>
      <c r="T607" s="4">
        <v>8</v>
      </c>
      <c r="U607" s="5" t="s">
        <v>7757</v>
      </c>
      <c r="V607" s="5" t="s">
        <v>7757</v>
      </c>
      <c r="W607" s="5" t="s">
        <v>7758</v>
      </c>
      <c r="X607" s="5" t="s">
        <v>7758</v>
      </c>
      <c r="Y607" s="4">
        <v>786</v>
      </c>
      <c r="Z607" s="4">
        <v>613</v>
      </c>
      <c r="AA607" s="4">
        <v>686</v>
      </c>
      <c r="AB607" s="4">
        <v>6</v>
      </c>
      <c r="AC607" s="4">
        <v>6</v>
      </c>
      <c r="AD607" s="4">
        <v>27</v>
      </c>
      <c r="AE607" s="4">
        <v>31</v>
      </c>
      <c r="AF607" s="4">
        <v>11</v>
      </c>
      <c r="AG607" s="4">
        <v>11</v>
      </c>
      <c r="AH607" s="4">
        <v>5</v>
      </c>
      <c r="AI607" s="4">
        <v>6</v>
      </c>
      <c r="AJ607" s="4">
        <v>12</v>
      </c>
      <c r="AK607" s="4">
        <v>16</v>
      </c>
      <c r="AL607" s="4">
        <v>5</v>
      </c>
      <c r="AM607" s="4">
        <v>5</v>
      </c>
      <c r="AN607" s="4">
        <v>0</v>
      </c>
      <c r="AO607" s="4">
        <v>0</v>
      </c>
      <c r="AP607" s="3" t="s">
        <v>59</v>
      </c>
      <c r="AQ607" s="3" t="s">
        <v>70</v>
      </c>
      <c r="AR607" s="6" t="str">
        <f>HYPERLINK("http://catalog.hathitrust.org/Record/001555141","HathiTrust Record")</f>
        <v>HathiTrust Record</v>
      </c>
      <c r="AS607" s="6" t="str">
        <f>HYPERLINK("https://creighton-primo.hosted.exlibrisgroup.com/primo-explore/search?tab=default_tab&amp;search_scope=EVERYTHING&amp;vid=01CRU&amp;lang=en_US&amp;offset=0&amp;query=any,contains,991002990589702656","Catalog Record")</f>
        <v>Catalog Record</v>
      </c>
      <c r="AT607" s="6" t="str">
        <f>HYPERLINK("http://www.worldcat.org/oclc/560396","WorldCat Record")</f>
        <v>WorldCat Record</v>
      </c>
      <c r="AU607" s="3" t="s">
        <v>7759</v>
      </c>
      <c r="AV607" s="3" t="s">
        <v>7760</v>
      </c>
      <c r="AW607" s="3" t="s">
        <v>7761</v>
      </c>
      <c r="AX607" s="3" t="s">
        <v>7761</v>
      </c>
      <c r="AY607" s="3" t="s">
        <v>7762</v>
      </c>
      <c r="AZ607" s="3" t="s">
        <v>75</v>
      </c>
      <c r="BC607" s="3" t="s">
        <v>7763</v>
      </c>
      <c r="BD607" s="3" t="s">
        <v>7764</v>
      </c>
    </row>
    <row r="608" spans="1:56" ht="48" customHeight="1" x14ac:dyDescent="0.25">
      <c r="A608" s="7" t="s">
        <v>59</v>
      </c>
      <c r="B608" s="2" t="s">
        <v>7765</v>
      </c>
      <c r="C608" s="2" t="s">
        <v>7766</v>
      </c>
      <c r="D608" s="2" t="s">
        <v>7767</v>
      </c>
      <c r="F608" s="3" t="s">
        <v>59</v>
      </c>
      <c r="G608" s="3" t="s">
        <v>60</v>
      </c>
      <c r="H608" s="3" t="s">
        <v>59</v>
      </c>
      <c r="I608" s="3" t="s">
        <v>59</v>
      </c>
      <c r="J608" s="3" t="s">
        <v>61</v>
      </c>
      <c r="K608" s="2" t="s">
        <v>7768</v>
      </c>
      <c r="L608" s="2" t="s">
        <v>7769</v>
      </c>
      <c r="M608" s="3" t="s">
        <v>872</v>
      </c>
      <c r="O608" s="3" t="s">
        <v>64</v>
      </c>
      <c r="P608" s="3" t="s">
        <v>130</v>
      </c>
      <c r="R608" s="3" t="s">
        <v>67</v>
      </c>
      <c r="S608" s="4">
        <v>5</v>
      </c>
      <c r="T608" s="4">
        <v>5</v>
      </c>
      <c r="U608" s="5" t="s">
        <v>7770</v>
      </c>
      <c r="V608" s="5" t="s">
        <v>7770</v>
      </c>
      <c r="W608" s="5" t="s">
        <v>1217</v>
      </c>
      <c r="X608" s="5" t="s">
        <v>1217</v>
      </c>
      <c r="Y608" s="4">
        <v>687</v>
      </c>
      <c r="Z608" s="4">
        <v>528</v>
      </c>
      <c r="AA608" s="4">
        <v>537</v>
      </c>
      <c r="AB608" s="4">
        <v>5</v>
      </c>
      <c r="AC608" s="4">
        <v>5</v>
      </c>
      <c r="AD608" s="4">
        <v>24</v>
      </c>
      <c r="AE608" s="4">
        <v>24</v>
      </c>
      <c r="AF608" s="4">
        <v>7</v>
      </c>
      <c r="AG608" s="4">
        <v>7</v>
      </c>
      <c r="AH608" s="4">
        <v>4</v>
      </c>
      <c r="AI608" s="4">
        <v>4</v>
      </c>
      <c r="AJ608" s="4">
        <v>13</v>
      </c>
      <c r="AK608" s="4">
        <v>13</v>
      </c>
      <c r="AL608" s="4">
        <v>4</v>
      </c>
      <c r="AM608" s="4">
        <v>4</v>
      </c>
      <c r="AN608" s="4">
        <v>0</v>
      </c>
      <c r="AO608" s="4">
        <v>0</v>
      </c>
      <c r="AP608" s="3" t="s">
        <v>59</v>
      </c>
      <c r="AQ608" s="3" t="s">
        <v>70</v>
      </c>
      <c r="AR608" s="6" t="str">
        <f>HYPERLINK("http://catalog.hathitrust.org/Record/001555142","HathiTrust Record")</f>
        <v>HathiTrust Record</v>
      </c>
      <c r="AS608" s="6" t="str">
        <f>HYPERLINK("https://creighton-primo.hosted.exlibrisgroup.com/primo-explore/search?tab=default_tab&amp;search_scope=EVERYTHING&amp;vid=01CRU&amp;lang=en_US&amp;offset=0&amp;query=any,contains,991002781629702656","Catalog Record")</f>
        <v>Catalog Record</v>
      </c>
      <c r="AT608" s="6" t="str">
        <f>HYPERLINK("http://www.worldcat.org/oclc/440415","WorldCat Record")</f>
        <v>WorldCat Record</v>
      </c>
      <c r="AU608" s="3" t="s">
        <v>7771</v>
      </c>
      <c r="AV608" s="3" t="s">
        <v>7772</v>
      </c>
      <c r="AW608" s="3" t="s">
        <v>7773</v>
      </c>
      <c r="AX608" s="3" t="s">
        <v>7773</v>
      </c>
      <c r="AY608" s="3" t="s">
        <v>7774</v>
      </c>
      <c r="AZ608" s="3" t="s">
        <v>75</v>
      </c>
      <c r="BC608" s="3" t="s">
        <v>7775</v>
      </c>
      <c r="BD608" s="3" t="s">
        <v>7776</v>
      </c>
    </row>
    <row r="609" spans="1:56" ht="48" customHeight="1" x14ac:dyDescent="0.25">
      <c r="A609" s="7" t="s">
        <v>59</v>
      </c>
      <c r="B609" s="2" t="s">
        <v>7777</v>
      </c>
      <c r="C609" s="2" t="s">
        <v>7778</v>
      </c>
      <c r="D609" s="2" t="s">
        <v>7779</v>
      </c>
      <c r="F609" s="3" t="s">
        <v>59</v>
      </c>
      <c r="G609" s="3" t="s">
        <v>60</v>
      </c>
      <c r="H609" s="3" t="s">
        <v>59</v>
      </c>
      <c r="I609" s="3" t="s">
        <v>59</v>
      </c>
      <c r="J609" s="3" t="s">
        <v>61</v>
      </c>
      <c r="K609" s="2" t="s">
        <v>7780</v>
      </c>
      <c r="L609" s="2" t="s">
        <v>7781</v>
      </c>
      <c r="M609" s="3" t="s">
        <v>234</v>
      </c>
      <c r="O609" s="3" t="s">
        <v>64</v>
      </c>
      <c r="P609" s="3" t="s">
        <v>130</v>
      </c>
      <c r="Q609" s="2" t="s">
        <v>7782</v>
      </c>
      <c r="R609" s="3" t="s">
        <v>67</v>
      </c>
      <c r="S609" s="4">
        <v>9</v>
      </c>
      <c r="T609" s="4">
        <v>9</v>
      </c>
      <c r="U609" s="5" t="s">
        <v>2311</v>
      </c>
      <c r="V609" s="5" t="s">
        <v>2311</v>
      </c>
      <c r="W609" s="5" t="s">
        <v>306</v>
      </c>
      <c r="X609" s="5" t="s">
        <v>306</v>
      </c>
      <c r="Y609" s="4">
        <v>189</v>
      </c>
      <c r="Z609" s="4">
        <v>121</v>
      </c>
      <c r="AA609" s="4">
        <v>137</v>
      </c>
      <c r="AB609" s="4">
        <v>3</v>
      </c>
      <c r="AC609" s="4">
        <v>3</v>
      </c>
      <c r="AD609" s="4">
        <v>4</v>
      </c>
      <c r="AE609" s="4">
        <v>4</v>
      </c>
      <c r="AF609" s="4">
        <v>0</v>
      </c>
      <c r="AG609" s="4">
        <v>0</v>
      </c>
      <c r="AH609" s="4">
        <v>2</v>
      </c>
      <c r="AI609" s="4">
        <v>2</v>
      </c>
      <c r="AJ609" s="4">
        <v>1</v>
      </c>
      <c r="AK609" s="4">
        <v>1</v>
      </c>
      <c r="AL609" s="4">
        <v>2</v>
      </c>
      <c r="AM609" s="4">
        <v>2</v>
      </c>
      <c r="AN609" s="4">
        <v>0</v>
      </c>
      <c r="AO609" s="4">
        <v>0</v>
      </c>
      <c r="AP609" s="3" t="s">
        <v>59</v>
      </c>
      <c r="AQ609" s="3" t="s">
        <v>70</v>
      </c>
      <c r="AR609" s="6" t="str">
        <f>HYPERLINK("http://catalog.hathitrust.org/Record/001946243","HathiTrust Record")</f>
        <v>HathiTrust Record</v>
      </c>
      <c r="AS609" s="6" t="str">
        <f>HYPERLINK("https://creighton-primo.hosted.exlibrisgroup.com/primo-explore/search?tab=default_tab&amp;search_scope=EVERYTHING&amp;vid=01CRU&amp;lang=en_US&amp;offset=0&amp;query=any,contains,991001588969702656","Catalog Record")</f>
        <v>Catalog Record</v>
      </c>
      <c r="AT609" s="6" t="str">
        <f>HYPERLINK("http://www.worldcat.org/oclc/20563366","WorldCat Record")</f>
        <v>WorldCat Record</v>
      </c>
      <c r="AU609" s="3" t="s">
        <v>7783</v>
      </c>
      <c r="AV609" s="3" t="s">
        <v>7784</v>
      </c>
      <c r="AW609" s="3" t="s">
        <v>7785</v>
      </c>
      <c r="AX609" s="3" t="s">
        <v>7785</v>
      </c>
      <c r="AY609" s="3" t="s">
        <v>7786</v>
      </c>
      <c r="AZ609" s="3" t="s">
        <v>75</v>
      </c>
      <c r="BB609" s="3" t="s">
        <v>7787</v>
      </c>
      <c r="BC609" s="3" t="s">
        <v>7788</v>
      </c>
      <c r="BD609" s="3" t="s">
        <v>7789</v>
      </c>
    </row>
    <row r="610" spans="1:56" ht="48" customHeight="1" x14ac:dyDescent="0.25">
      <c r="A610" s="7" t="s">
        <v>59</v>
      </c>
      <c r="B610" s="2" t="s">
        <v>7790</v>
      </c>
      <c r="C610" s="2" t="s">
        <v>7791</v>
      </c>
      <c r="D610" s="2" t="s">
        <v>7792</v>
      </c>
      <c r="F610" s="3" t="s">
        <v>59</v>
      </c>
      <c r="G610" s="3" t="s">
        <v>60</v>
      </c>
      <c r="H610" s="3" t="s">
        <v>59</v>
      </c>
      <c r="I610" s="3" t="s">
        <v>59</v>
      </c>
      <c r="J610" s="3" t="s">
        <v>61</v>
      </c>
      <c r="K610" s="2" t="s">
        <v>7793</v>
      </c>
      <c r="L610" s="2" t="s">
        <v>7794</v>
      </c>
      <c r="M610" s="3" t="s">
        <v>549</v>
      </c>
      <c r="O610" s="3" t="s">
        <v>64</v>
      </c>
      <c r="P610" s="3" t="s">
        <v>84</v>
      </c>
      <c r="R610" s="3" t="s">
        <v>67</v>
      </c>
      <c r="S610" s="4">
        <v>2</v>
      </c>
      <c r="T610" s="4">
        <v>2</v>
      </c>
      <c r="U610" s="5" t="s">
        <v>7795</v>
      </c>
      <c r="V610" s="5" t="s">
        <v>7795</v>
      </c>
      <c r="W610" s="5" t="s">
        <v>1217</v>
      </c>
      <c r="X610" s="5" t="s">
        <v>1217</v>
      </c>
      <c r="Y610" s="4">
        <v>237</v>
      </c>
      <c r="Z610" s="4">
        <v>164</v>
      </c>
      <c r="AA610" s="4">
        <v>170</v>
      </c>
      <c r="AB610" s="4">
        <v>3</v>
      </c>
      <c r="AC610" s="4">
        <v>3</v>
      </c>
      <c r="AD610" s="4">
        <v>5</v>
      </c>
      <c r="AE610" s="4">
        <v>5</v>
      </c>
      <c r="AF610" s="4">
        <v>0</v>
      </c>
      <c r="AG610" s="4">
        <v>0</v>
      </c>
      <c r="AH610" s="4">
        <v>3</v>
      </c>
      <c r="AI610" s="4">
        <v>3</v>
      </c>
      <c r="AJ610" s="4">
        <v>1</v>
      </c>
      <c r="AK610" s="4">
        <v>1</v>
      </c>
      <c r="AL610" s="4">
        <v>2</v>
      </c>
      <c r="AM610" s="4">
        <v>2</v>
      </c>
      <c r="AN610" s="4">
        <v>0</v>
      </c>
      <c r="AO610" s="4">
        <v>0</v>
      </c>
      <c r="AP610" s="3" t="s">
        <v>59</v>
      </c>
      <c r="AQ610" s="3" t="s">
        <v>70</v>
      </c>
      <c r="AR610" s="6" t="str">
        <f>HYPERLINK("http://catalog.hathitrust.org/Record/006257918","HathiTrust Record")</f>
        <v>HathiTrust Record</v>
      </c>
      <c r="AS610" s="6" t="str">
        <f>HYPERLINK("https://creighton-primo.hosted.exlibrisgroup.com/primo-explore/search?tab=default_tab&amp;search_scope=EVERYTHING&amp;vid=01CRU&amp;lang=en_US&amp;offset=0&amp;query=any,contains,991004156589702656","Catalog Record")</f>
        <v>Catalog Record</v>
      </c>
      <c r="AT610" s="6" t="str">
        <f>HYPERLINK("http://www.worldcat.org/oclc/2542089","WorldCat Record")</f>
        <v>WorldCat Record</v>
      </c>
      <c r="AU610" s="3" t="s">
        <v>7796</v>
      </c>
      <c r="AV610" s="3" t="s">
        <v>7797</v>
      </c>
      <c r="AW610" s="3" t="s">
        <v>7798</v>
      </c>
      <c r="AX610" s="3" t="s">
        <v>7798</v>
      </c>
      <c r="AY610" s="3" t="s">
        <v>7799</v>
      </c>
      <c r="AZ610" s="3" t="s">
        <v>75</v>
      </c>
      <c r="BB610" s="3" t="s">
        <v>7800</v>
      </c>
      <c r="BC610" s="3" t="s">
        <v>7801</v>
      </c>
      <c r="BD610" s="3" t="s">
        <v>7802</v>
      </c>
    </row>
    <row r="611" spans="1:56" ht="48" customHeight="1" x14ac:dyDescent="0.25">
      <c r="A611" s="7" t="s">
        <v>59</v>
      </c>
      <c r="B611" s="2" t="s">
        <v>7803</v>
      </c>
      <c r="C611" s="2" t="s">
        <v>7804</v>
      </c>
      <c r="D611" s="2" t="s">
        <v>7805</v>
      </c>
      <c r="F611" s="3" t="s">
        <v>59</v>
      </c>
      <c r="G611" s="3" t="s">
        <v>60</v>
      </c>
      <c r="H611" s="3" t="s">
        <v>59</v>
      </c>
      <c r="I611" s="3" t="s">
        <v>59</v>
      </c>
      <c r="J611" s="3" t="s">
        <v>61</v>
      </c>
      <c r="K611" s="2" t="s">
        <v>7806</v>
      </c>
      <c r="L611" s="2" t="s">
        <v>7807</v>
      </c>
      <c r="M611" s="3" t="s">
        <v>471</v>
      </c>
      <c r="O611" s="3" t="s">
        <v>64</v>
      </c>
      <c r="P611" s="3" t="s">
        <v>176</v>
      </c>
      <c r="R611" s="3" t="s">
        <v>67</v>
      </c>
      <c r="S611" s="4">
        <v>18</v>
      </c>
      <c r="T611" s="4">
        <v>18</v>
      </c>
      <c r="U611" s="5" t="s">
        <v>7808</v>
      </c>
      <c r="V611" s="5" t="s">
        <v>7808</v>
      </c>
      <c r="W611" s="5" t="s">
        <v>7809</v>
      </c>
      <c r="X611" s="5" t="s">
        <v>7809</v>
      </c>
      <c r="Y611" s="4">
        <v>674</v>
      </c>
      <c r="Z611" s="4">
        <v>539</v>
      </c>
      <c r="AA611" s="4">
        <v>547</v>
      </c>
      <c r="AB611" s="4">
        <v>5</v>
      </c>
      <c r="AC611" s="4">
        <v>5</v>
      </c>
      <c r="AD611" s="4">
        <v>20</v>
      </c>
      <c r="AE611" s="4">
        <v>20</v>
      </c>
      <c r="AF611" s="4">
        <v>4</v>
      </c>
      <c r="AG611" s="4">
        <v>4</v>
      </c>
      <c r="AH611" s="4">
        <v>4</v>
      </c>
      <c r="AI611" s="4">
        <v>4</v>
      </c>
      <c r="AJ611" s="4">
        <v>11</v>
      </c>
      <c r="AK611" s="4">
        <v>11</v>
      </c>
      <c r="AL611" s="4">
        <v>4</v>
      </c>
      <c r="AM611" s="4">
        <v>4</v>
      </c>
      <c r="AN611" s="4">
        <v>0</v>
      </c>
      <c r="AO611" s="4">
        <v>0</v>
      </c>
      <c r="AP611" s="3" t="s">
        <v>59</v>
      </c>
      <c r="AQ611" s="3" t="s">
        <v>59</v>
      </c>
      <c r="AS611" s="6" t="str">
        <f>HYPERLINK("https://creighton-primo.hosted.exlibrisgroup.com/primo-explore/search?tab=default_tab&amp;search_scope=EVERYTHING&amp;vid=01CRU&amp;lang=en_US&amp;offset=0&amp;query=any,contains,991001977559702656","Catalog Record")</f>
        <v>Catalog Record</v>
      </c>
      <c r="AT611" s="6" t="str">
        <f>HYPERLINK("http://www.worldcat.org/oclc/948012","WorldCat Record")</f>
        <v>WorldCat Record</v>
      </c>
      <c r="AU611" s="3" t="s">
        <v>7810</v>
      </c>
      <c r="AV611" s="3" t="s">
        <v>7811</v>
      </c>
      <c r="AW611" s="3" t="s">
        <v>7812</v>
      </c>
      <c r="AX611" s="3" t="s">
        <v>7812</v>
      </c>
      <c r="AY611" s="3" t="s">
        <v>7813</v>
      </c>
      <c r="AZ611" s="3" t="s">
        <v>75</v>
      </c>
      <c r="BB611" s="3" t="s">
        <v>7814</v>
      </c>
      <c r="BC611" s="3" t="s">
        <v>7815</v>
      </c>
      <c r="BD611" s="3" t="s">
        <v>7816</v>
      </c>
    </row>
    <row r="612" spans="1:56" ht="48" customHeight="1" x14ac:dyDescent="0.25">
      <c r="A612" s="7" t="s">
        <v>59</v>
      </c>
      <c r="B612" s="2" t="s">
        <v>7817</v>
      </c>
      <c r="C612" s="2" t="s">
        <v>7818</v>
      </c>
      <c r="D612" s="2" t="s">
        <v>7819</v>
      </c>
      <c r="F612" s="3" t="s">
        <v>59</v>
      </c>
      <c r="G612" s="3" t="s">
        <v>60</v>
      </c>
      <c r="H612" s="3" t="s">
        <v>59</v>
      </c>
      <c r="I612" s="3" t="s">
        <v>59</v>
      </c>
      <c r="J612" s="3" t="s">
        <v>61</v>
      </c>
      <c r="K612" s="2" t="s">
        <v>7820</v>
      </c>
      <c r="L612" s="2" t="s">
        <v>7821</v>
      </c>
      <c r="M612" s="3" t="s">
        <v>443</v>
      </c>
      <c r="O612" s="3" t="s">
        <v>64</v>
      </c>
      <c r="P612" s="3" t="s">
        <v>5944</v>
      </c>
      <c r="R612" s="3" t="s">
        <v>67</v>
      </c>
      <c r="S612" s="4">
        <v>16</v>
      </c>
      <c r="T612" s="4">
        <v>16</v>
      </c>
      <c r="U612" s="5" t="s">
        <v>7808</v>
      </c>
      <c r="V612" s="5" t="s">
        <v>7808</v>
      </c>
      <c r="W612" s="5" t="s">
        <v>7809</v>
      </c>
      <c r="X612" s="5" t="s">
        <v>7809</v>
      </c>
      <c r="Y612" s="4">
        <v>160</v>
      </c>
      <c r="Z612" s="4">
        <v>136</v>
      </c>
      <c r="AA612" s="4">
        <v>136</v>
      </c>
      <c r="AB612" s="4">
        <v>3</v>
      </c>
      <c r="AC612" s="4">
        <v>3</v>
      </c>
      <c r="AD612" s="4">
        <v>4</v>
      </c>
      <c r="AE612" s="4">
        <v>4</v>
      </c>
      <c r="AF612" s="4">
        <v>1</v>
      </c>
      <c r="AG612" s="4">
        <v>1</v>
      </c>
      <c r="AH612" s="4">
        <v>0</v>
      </c>
      <c r="AI612" s="4">
        <v>0</v>
      </c>
      <c r="AJ612" s="4">
        <v>1</v>
      </c>
      <c r="AK612" s="4">
        <v>1</v>
      </c>
      <c r="AL612" s="4">
        <v>2</v>
      </c>
      <c r="AM612" s="4">
        <v>2</v>
      </c>
      <c r="AN612" s="4">
        <v>0</v>
      </c>
      <c r="AO612" s="4">
        <v>0</v>
      </c>
      <c r="AP612" s="3" t="s">
        <v>59</v>
      </c>
      <c r="AQ612" s="3" t="s">
        <v>59</v>
      </c>
      <c r="AS612" s="6" t="str">
        <f>HYPERLINK("https://creighton-primo.hosted.exlibrisgroup.com/primo-explore/search?tab=default_tab&amp;search_scope=EVERYTHING&amp;vid=01CRU&amp;lang=en_US&amp;offset=0&amp;query=any,contains,991003080609702656","Catalog Record")</f>
        <v>Catalog Record</v>
      </c>
      <c r="AT612" s="6" t="str">
        <f>HYPERLINK("http://www.worldcat.org/oclc/632475","WorldCat Record")</f>
        <v>WorldCat Record</v>
      </c>
      <c r="AU612" s="3" t="s">
        <v>7822</v>
      </c>
      <c r="AV612" s="3" t="s">
        <v>7823</v>
      </c>
      <c r="AW612" s="3" t="s">
        <v>7824</v>
      </c>
      <c r="AX612" s="3" t="s">
        <v>7824</v>
      </c>
      <c r="AY612" s="3" t="s">
        <v>7825</v>
      </c>
      <c r="AZ612" s="3" t="s">
        <v>75</v>
      </c>
      <c r="BB612" s="3" t="s">
        <v>7826</v>
      </c>
      <c r="BC612" s="3" t="s">
        <v>7827</v>
      </c>
      <c r="BD612" s="3" t="s">
        <v>7828</v>
      </c>
    </row>
    <row r="613" spans="1:56" ht="48" customHeight="1" x14ac:dyDescent="0.25">
      <c r="A613" s="7" t="s">
        <v>59</v>
      </c>
      <c r="B613" s="2" t="s">
        <v>7829</v>
      </c>
      <c r="C613" s="2" t="s">
        <v>7830</v>
      </c>
      <c r="D613" s="2" t="s">
        <v>7831</v>
      </c>
      <c r="F613" s="3" t="s">
        <v>59</v>
      </c>
      <c r="G613" s="3" t="s">
        <v>60</v>
      </c>
      <c r="H613" s="3" t="s">
        <v>59</v>
      </c>
      <c r="I613" s="3" t="s">
        <v>59</v>
      </c>
      <c r="J613" s="3" t="s">
        <v>61</v>
      </c>
      <c r="K613" s="2" t="s">
        <v>7832</v>
      </c>
      <c r="L613" s="2" t="s">
        <v>7833</v>
      </c>
      <c r="M613" s="3" t="s">
        <v>1171</v>
      </c>
      <c r="O613" s="3" t="s">
        <v>64</v>
      </c>
      <c r="P613" s="3" t="s">
        <v>130</v>
      </c>
      <c r="R613" s="3" t="s">
        <v>67</v>
      </c>
      <c r="S613" s="4">
        <v>5</v>
      </c>
      <c r="T613" s="4">
        <v>5</v>
      </c>
      <c r="U613" s="5" t="s">
        <v>7834</v>
      </c>
      <c r="V613" s="5" t="s">
        <v>7834</v>
      </c>
      <c r="W613" s="5" t="s">
        <v>7835</v>
      </c>
      <c r="X613" s="5" t="s">
        <v>7835</v>
      </c>
      <c r="Y613" s="4">
        <v>480</v>
      </c>
      <c r="Z613" s="4">
        <v>415</v>
      </c>
      <c r="AA613" s="4">
        <v>426</v>
      </c>
      <c r="AB613" s="4">
        <v>3</v>
      </c>
      <c r="AC613" s="4">
        <v>3</v>
      </c>
      <c r="AD613" s="4">
        <v>0</v>
      </c>
      <c r="AE613" s="4">
        <v>0</v>
      </c>
      <c r="AF613" s="4">
        <v>0</v>
      </c>
      <c r="AG613" s="4">
        <v>0</v>
      </c>
      <c r="AH613" s="4">
        <v>0</v>
      </c>
      <c r="AI613" s="4">
        <v>0</v>
      </c>
      <c r="AJ613" s="4">
        <v>0</v>
      </c>
      <c r="AK613" s="4">
        <v>0</v>
      </c>
      <c r="AL613" s="4">
        <v>0</v>
      </c>
      <c r="AM613" s="4">
        <v>0</v>
      </c>
      <c r="AN613" s="4">
        <v>0</v>
      </c>
      <c r="AO613" s="4">
        <v>0</v>
      </c>
      <c r="AP613" s="3" t="s">
        <v>59</v>
      </c>
      <c r="AQ613" s="3" t="s">
        <v>59</v>
      </c>
      <c r="AS613" s="6" t="str">
        <f>HYPERLINK("https://creighton-primo.hosted.exlibrisgroup.com/primo-explore/search?tab=default_tab&amp;search_scope=EVERYTHING&amp;vid=01CRU&amp;lang=en_US&amp;offset=0&amp;query=any,contains,991005337989702656","Catalog Record")</f>
        <v>Catalog Record</v>
      </c>
      <c r="AT613" s="6" t="str">
        <f>HYPERLINK("http://www.worldcat.org/oclc/71259940","WorldCat Record")</f>
        <v>WorldCat Record</v>
      </c>
      <c r="AU613" s="3" t="s">
        <v>7836</v>
      </c>
      <c r="AV613" s="3" t="s">
        <v>7837</v>
      </c>
      <c r="AW613" s="3" t="s">
        <v>7838</v>
      </c>
      <c r="AX613" s="3" t="s">
        <v>7838</v>
      </c>
      <c r="AY613" s="3" t="s">
        <v>7839</v>
      </c>
      <c r="AZ613" s="3" t="s">
        <v>75</v>
      </c>
      <c r="BB613" s="3" t="s">
        <v>7840</v>
      </c>
      <c r="BC613" s="3" t="s">
        <v>7841</v>
      </c>
      <c r="BD613" s="3" t="s">
        <v>7842</v>
      </c>
    </row>
    <row r="614" spans="1:56" ht="48" customHeight="1" x14ac:dyDescent="0.25">
      <c r="A614" s="7" t="s">
        <v>59</v>
      </c>
      <c r="B614" s="2" t="s">
        <v>7843</v>
      </c>
      <c r="C614" s="2" t="s">
        <v>7844</v>
      </c>
      <c r="D614" s="2" t="s">
        <v>7845</v>
      </c>
      <c r="F614" s="3" t="s">
        <v>59</v>
      </c>
      <c r="G614" s="3" t="s">
        <v>60</v>
      </c>
      <c r="H614" s="3" t="s">
        <v>59</v>
      </c>
      <c r="I614" s="3" t="s">
        <v>59</v>
      </c>
      <c r="J614" s="3" t="s">
        <v>61</v>
      </c>
      <c r="K614" s="2" t="s">
        <v>7846</v>
      </c>
      <c r="L614" s="2" t="s">
        <v>7847</v>
      </c>
      <c r="M614" s="3" t="s">
        <v>911</v>
      </c>
      <c r="O614" s="3" t="s">
        <v>64</v>
      </c>
      <c r="P614" s="3" t="s">
        <v>84</v>
      </c>
      <c r="R614" s="3" t="s">
        <v>67</v>
      </c>
      <c r="S614" s="4">
        <v>19</v>
      </c>
      <c r="T614" s="4">
        <v>19</v>
      </c>
      <c r="U614" s="5" t="s">
        <v>7808</v>
      </c>
      <c r="V614" s="5" t="s">
        <v>7808</v>
      </c>
      <c r="W614" s="5" t="s">
        <v>7527</v>
      </c>
      <c r="X614" s="5" t="s">
        <v>7527</v>
      </c>
      <c r="Y614" s="4">
        <v>448</v>
      </c>
      <c r="Z614" s="4">
        <v>334</v>
      </c>
      <c r="AA614" s="4">
        <v>405</v>
      </c>
      <c r="AB614" s="4">
        <v>4</v>
      </c>
      <c r="AC614" s="4">
        <v>4</v>
      </c>
      <c r="AD614" s="4">
        <v>15</v>
      </c>
      <c r="AE614" s="4">
        <v>19</v>
      </c>
      <c r="AF614" s="4">
        <v>6</v>
      </c>
      <c r="AG614" s="4">
        <v>8</v>
      </c>
      <c r="AH614" s="4">
        <v>3</v>
      </c>
      <c r="AI614" s="4">
        <v>3</v>
      </c>
      <c r="AJ614" s="4">
        <v>7</v>
      </c>
      <c r="AK614" s="4">
        <v>10</v>
      </c>
      <c r="AL614" s="4">
        <v>3</v>
      </c>
      <c r="AM614" s="4">
        <v>3</v>
      </c>
      <c r="AN614" s="4">
        <v>0</v>
      </c>
      <c r="AO614" s="4">
        <v>0</v>
      </c>
      <c r="AP614" s="3" t="s">
        <v>59</v>
      </c>
      <c r="AQ614" s="3" t="s">
        <v>70</v>
      </c>
      <c r="AR614" s="6" t="str">
        <f>HYPERLINK("http://catalog.hathitrust.org/Record/002077034","HathiTrust Record")</f>
        <v>HathiTrust Record</v>
      </c>
      <c r="AS614" s="6" t="str">
        <f>HYPERLINK("https://creighton-primo.hosted.exlibrisgroup.com/primo-explore/search?tab=default_tab&amp;search_scope=EVERYTHING&amp;vid=01CRU&amp;lang=en_US&amp;offset=0&amp;query=any,contains,991002990819702656","Catalog Record")</f>
        <v>Catalog Record</v>
      </c>
      <c r="AT614" s="6" t="str">
        <f>HYPERLINK("http://www.worldcat.org/oclc/560454","WorldCat Record")</f>
        <v>WorldCat Record</v>
      </c>
      <c r="AU614" s="3" t="s">
        <v>7848</v>
      </c>
      <c r="AV614" s="3" t="s">
        <v>7849</v>
      </c>
      <c r="AW614" s="3" t="s">
        <v>7850</v>
      </c>
      <c r="AX614" s="3" t="s">
        <v>7850</v>
      </c>
      <c r="AY614" s="3" t="s">
        <v>7851</v>
      </c>
      <c r="AZ614" s="3" t="s">
        <v>75</v>
      </c>
      <c r="BC614" s="3" t="s">
        <v>7852</v>
      </c>
      <c r="BD614" s="3" t="s">
        <v>7853</v>
      </c>
    </row>
    <row r="615" spans="1:56" ht="48" customHeight="1" x14ac:dyDescent="0.25">
      <c r="A615" s="7" t="s">
        <v>59</v>
      </c>
      <c r="B615" s="2" t="s">
        <v>7854</v>
      </c>
      <c r="C615" s="2" t="s">
        <v>7855</v>
      </c>
      <c r="D615" s="2" t="s">
        <v>7856</v>
      </c>
      <c r="E615" s="3" t="s">
        <v>723</v>
      </c>
      <c r="F615" s="3" t="s">
        <v>59</v>
      </c>
      <c r="G615" s="3" t="s">
        <v>60</v>
      </c>
      <c r="H615" s="3" t="s">
        <v>59</v>
      </c>
      <c r="I615" s="3" t="s">
        <v>59</v>
      </c>
      <c r="J615" s="3" t="s">
        <v>61</v>
      </c>
      <c r="K615" s="2" t="s">
        <v>7857</v>
      </c>
      <c r="L615" s="2" t="s">
        <v>7858</v>
      </c>
      <c r="M615" s="3" t="s">
        <v>98</v>
      </c>
      <c r="O615" s="3" t="s">
        <v>64</v>
      </c>
      <c r="P615" s="3" t="s">
        <v>65</v>
      </c>
      <c r="Q615" s="2" t="s">
        <v>7859</v>
      </c>
      <c r="R615" s="3" t="s">
        <v>67</v>
      </c>
      <c r="S615" s="4">
        <v>1</v>
      </c>
      <c r="T615" s="4">
        <v>1</v>
      </c>
      <c r="U615" s="5" t="s">
        <v>7860</v>
      </c>
      <c r="V615" s="5" t="s">
        <v>7860</v>
      </c>
      <c r="W615" s="5" t="s">
        <v>501</v>
      </c>
      <c r="X615" s="5" t="s">
        <v>501</v>
      </c>
      <c r="Y615" s="4">
        <v>224</v>
      </c>
      <c r="Z615" s="4">
        <v>178</v>
      </c>
      <c r="AA615" s="4">
        <v>196</v>
      </c>
      <c r="AB615" s="4">
        <v>3</v>
      </c>
      <c r="AC615" s="4">
        <v>3</v>
      </c>
      <c r="AD615" s="4">
        <v>4</v>
      </c>
      <c r="AE615" s="4">
        <v>4</v>
      </c>
      <c r="AF615" s="4">
        <v>1</v>
      </c>
      <c r="AG615" s="4">
        <v>1</v>
      </c>
      <c r="AH615" s="4">
        <v>1</v>
      </c>
      <c r="AI615" s="4">
        <v>1</v>
      </c>
      <c r="AJ615" s="4">
        <v>1</v>
      </c>
      <c r="AK615" s="4">
        <v>1</v>
      </c>
      <c r="AL615" s="4">
        <v>2</v>
      </c>
      <c r="AM615" s="4">
        <v>2</v>
      </c>
      <c r="AN615" s="4">
        <v>0</v>
      </c>
      <c r="AO615" s="4">
        <v>0</v>
      </c>
      <c r="AP615" s="3" t="s">
        <v>59</v>
      </c>
      <c r="AQ615" s="3" t="s">
        <v>70</v>
      </c>
      <c r="AR615" s="6" t="str">
        <f>HYPERLINK("http://catalog.hathitrust.org/Record/001556332","HathiTrust Record")</f>
        <v>HathiTrust Record</v>
      </c>
      <c r="AS615" s="6" t="str">
        <f>HYPERLINK("https://creighton-primo.hosted.exlibrisgroup.com/primo-explore/search?tab=default_tab&amp;search_scope=EVERYTHING&amp;vid=01CRU&amp;lang=en_US&amp;offset=0&amp;query=any,contains,991001227339702656","Catalog Record")</f>
        <v>Catalog Record</v>
      </c>
      <c r="AT615" s="6" t="str">
        <f>HYPERLINK("http://www.worldcat.org/oclc/200390","WorldCat Record")</f>
        <v>WorldCat Record</v>
      </c>
      <c r="AU615" s="3" t="s">
        <v>7861</v>
      </c>
      <c r="AV615" s="3" t="s">
        <v>7862</v>
      </c>
      <c r="AW615" s="3" t="s">
        <v>7863</v>
      </c>
      <c r="AX615" s="3" t="s">
        <v>7863</v>
      </c>
      <c r="AY615" s="3" t="s">
        <v>7864</v>
      </c>
      <c r="AZ615" s="3" t="s">
        <v>75</v>
      </c>
      <c r="BB615" s="3" t="s">
        <v>7865</v>
      </c>
      <c r="BC615" s="3" t="s">
        <v>7866</v>
      </c>
      <c r="BD615" s="3" t="s">
        <v>7867</v>
      </c>
    </row>
    <row r="616" spans="1:56" ht="48" customHeight="1" x14ac:dyDescent="0.25">
      <c r="A616" s="7" t="s">
        <v>59</v>
      </c>
      <c r="B616" s="2" t="s">
        <v>7868</v>
      </c>
      <c r="C616" s="2" t="s">
        <v>7869</v>
      </c>
      <c r="D616" s="2" t="s">
        <v>7870</v>
      </c>
      <c r="F616" s="3" t="s">
        <v>59</v>
      </c>
      <c r="G616" s="3" t="s">
        <v>60</v>
      </c>
      <c r="H616" s="3" t="s">
        <v>59</v>
      </c>
      <c r="I616" s="3" t="s">
        <v>59</v>
      </c>
      <c r="J616" s="3" t="s">
        <v>61</v>
      </c>
      <c r="K616" s="2" t="s">
        <v>7871</v>
      </c>
      <c r="L616" s="2" t="s">
        <v>7872</v>
      </c>
      <c r="M616" s="3" t="s">
        <v>376</v>
      </c>
      <c r="O616" s="3" t="s">
        <v>64</v>
      </c>
      <c r="P616" s="3" t="s">
        <v>130</v>
      </c>
      <c r="R616" s="3" t="s">
        <v>67</v>
      </c>
      <c r="S616" s="4">
        <v>3</v>
      </c>
      <c r="T616" s="4">
        <v>3</v>
      </c>
      <c r="U616" s="5" t="s">
        <v>7873</v>
      </c>
      <c r="V616" s="5" t="s">
        <v>7873</v>
      </c>
      <c r="W616" s="5" t="s">
        <v>7874</v>
      </c>
      <c r="X616" s="5" t="s">
        <v>7874</v>
      </c>
      <c r="Y616" s="4">
        <v>770</v>
      </c>
      <c r="Z616" s="4">
        <v>602</v>
      </c>
      <c r="AA616" s="4">
        <v>613</v>
      </c>
      <c r="AB616" s="4">
        <v>5</v>
      </c>
      <c r="AC616" s="4">
        <v>5</v>
      </c>
      <c r="AD616" s="4">
        <v>26</v>
      </c>
      <c r="AE616" s="4">
        <v>26</v>
      </c>
      <c r="AF616" s="4">
        <v>10</v>
      </c>
      <c r="AG616" s="4">
        <v>10</v>
      </c>
      <c r="AH616" s="4">
        <v>4</v>
      </c>
      <c r="AI616" s="4">
        <v>4</v>
      </c>
      <c r="AJ616" s="4">
        <v>13</v>
      </c>
      <c r="AK616" s="4">
        <v>13</v>
      </c>
      <c r="AL616" s="4">
        <v>4</v>
      </c>
      <c r="AM616" s="4">
        <v>4</v>
      </c>
      <c r="AN616" s="4">
        <v>0</v>
      </c>
      <c r="AO616" s="4">
        <v>0</v>
      </c>
      <c r="AP616" s="3" t="s">
        <v>59</v>
      </c>
      <c r="AQ616" s="3" t="s">
        <v>70</v>
      </c>
      <c r="AR616" s="6" t="str">
        <f>HYPERLINK("http://catalog.hathitrust.org/Record/001555172","HathiTrust Record")</f>
        <v>HathiTrust Record</v>
      </c>
      <c r="AS616" s="6" t="str">
        <f>HYPERLINK("https://creighton-primo.hosted.exlibrisgroup.com/primo-explore/search?tab=default_tab&amp;search_scope=EVERYTHING&amp;vid=01CRU&amp;lang=en_US&amp;offset=0&amp;query=any,contains,991002272549702656","Catalog Record")</f>
        <v>Catalog Record</v>
      </c>
      <c r="AT616" s="6" t="str">
        <f>HYPERLINK("http://www.worldcat.org/oclc/308724","WorldCat Record")</f>
        <v>WorldCat Record</v>
      </c>
      <c r="AU616" s="3" t="s">
        <v>7875</v>
      </c>
      <c r="AV616" s="3" t="s">
        <v>7876</v>
      </c>
      <c r="AW616" s="3" t="s">
        <v>7877</v>
      </c>
      <c r="AX616" s="3" t="s">
        <v>7877</v>
      </c>
      <c r="AY616" s="3" t="s">
        <v>7878</v>
      </c>
      <c r="AZ616" s="3" t="s">
        <v>75</v>
      </c>
      <c r="BB616" s="3" t="s">
        <v>7879</v>
      </c>
      <c r="BC616" s="3" t="s">
        <v>7880</v>
      </c>
      <c r="BD616" s="3" t="s">
        <v>7881</v>
      </c>
    </row>
    <row r="617" spans="1:56" ht="48" customHeight="1" x14ac:dyDescent="0.25">
      <c r="A617" s="7" t="s">
        <v>59</v>
      </c>
      <c r="B617" s="2" t="s">
        <v>7882</v>
      </c>
      <c r="C617" s="2" t="s">
        <v>7883</v>
      </c>
      <c r="D617" s="2" t="s">
        <v>7884</v>
      </c>
      <c r="F617" s="3" t="s">
        <v>59</v>
      </c>
      <c r="G617" s="3" t="s">
        <v>60</v>
      </c>
      <c r="H617" s="3" t="s">
        <v>59</v>
      </c>
      <c r="I617" s="3" t="s">
        <v>59</v>
      </c>
      <c r="J617" s="3" t="s">
        <v>61</v>
      </c>
      <c r="K617" s="2" t="s">
        <v>7885</v>
      </c>
      <c r="L617" s="2" t="s">
        <v>7886</v>
      </c>
      <c r="M617" s="3" t="s">
        <v>145</v>
      </c>
      <c r="O617" s="3" t="s">
        <v>64</v>
      </c>
      <c r="P617" s="3" t="s">
        <v>130</v>
      </c>
      <c r="R617" s="3" t="s">
        <v>67</v>
      </c>
      <c r="S617" s="4">
        <v>1</v>
      </c>
      <c r="T617" s="4">
        <v>1</v>
      </c>
      <c r="U617" s="5" t="s">
        <v>7887</v>
      </c>
      <c r="V617" s="5" t="s">
        <v>7887</v>
      </c>
      <c r="W617" s="5" t="s">
        <v>7874</v>
      </c>
      <c r="X617" s="5" t="s">
        <v>7874</v>
      </c>
      <c r="Y617" s="4">
        <v>673</v>
      </c>
      <c r="Z617" s="4">
        <v>566</v>
      </c>
      <c r="AA617" s="4">
        <v>577</v>
      </c>
      <c r="AB617" s="4">
        <v>4</v>
      </c>
      <c r="AC617" s="4">
        <v>4</v>
      </c>
      <c r="AD617" s="4">
        <v>23</v>
      </c>
      <c r="AE617" s="4">
        <v>23</v>
      </c>
      <c r="AF617" s="4">
        <v>7</v>
      </c>
      <c r="AG617" s="4">
        <v>7</v>
      </c>
      <c r="AH617" s="4">
        <v>6</v>
      </c>
      <c r="AI617" s="4">
        <v>6</v>
      </c>
      <c r="AJ617" s="4">
        <v>13</v>
      </c>
      <c r="AK617" s="4">
        <v>13</v>
      </c>
      <c r="AL617" s="4">
        <v>3</v>
      </c>
      <c r="AM617" s="4">
        <v>3</v>
      </c>
      <c r="AN617" s="4">
        <v>0</v>
      </c>
      <c r="AO617" s="4">
        <v>0</v>
      </c>
      <c r="AP617" s="3" t="s">
        <v>59</v>
      </c>
      <c r="AQ617" s="3" t="s">
        <v>70</v>
      </c>
      <c r="AR617" s="6" t="str">
        <f>HYPERLINK("http://catalog.hathitrust.org/Record/000215379","HathiTrust Record")</f>
        <v>HathiTrust Record</v>
      </c>
      <c r="AS617" s="6" t="str">
        <f>HYPERLINK("https://creighton-primo.hosted.exlibrisgroup.com/primo-explore/search?tab=default_tab&amp;search_scope=EVERYTHING&amp;vid=01CRU&amp;lang=en_US&amp;offset=0&amp;query=any,contains,991004602179702656","Catalog Record")</f>
        <v>Catalog Record</v>
      </c>
      <c r="AT617" s="6" t="str">
        <f>HYPERLINK("http://www.worldcat.org/oclc/4180182","WorldCat Record")</f>
        <v>WorldCat Record</v>
      </c>
      <c r="AU617" s="3" t="s">
        <v>7888</v>
      </c>
      <c r="AV617" s="3" t="s">
        <v>7889</v>
      </c>
      <c r="AW617" s="3" t="s">
        <v>7890</v>
      </c>
      <c r="AX617" s="3" t="s">
        <v>7890</v>
      </c>
      <c r="AY617" s="3" t="s">
        <v>7891</v>
      </c>
      <c r="AZ617" s="3" t="s">
        <v>75</v>
      </c>
      <c r="BB617" s="3" t="s">
        <v>7892</v>
      </c>
      <c r="BC617" s="3" t="s">
        <v>7893</v>
      </c>
      <c r="BD617" s="3" t="s">
        <v>7894</v>
      </c>
    </row>
    <row r="618" spans="1:56" ht="48" customHeight="1" x14ac:dyDescent="0.25">
      <c r="A618" s="7" t="s">
        <v>59</v>
      </c>
      <c r="B618" s="2" t="s">
        <v>7895</v>
      </c>
      <c r="C618" s="2" t="s">
        <v>7896</v>
      </c>
      <c r="D618" s="2" t="s">
        <v>7897</v>
      </c>
      <c r="F618" s="3" t="s">
        <v>59</v>
      </c>
      <c r="G618" s="3" t="s">
        <v>60</v>
      </c>
      <c r="H618" s="3" t="s">
        <v>59</v>
      </c>
      <c r="I618" s="3" t="s">
        <v>70</v>
      </c>
      <c r="J618" s="3" t="s">
        <v>61</v>
      </c>
      <c r="K618" s="2" t="s">
        <v>7898</v>
      </c>
      <c r="L618" s="2" t="s">
        <v>7899</v>
      </c>
      <c r="M618" s="3" t="s">
        <v>234</v>
      </c>
      <c r="O618" s="3" t="s">
        <v>64</v>
      </c>
      <c r="P618" s="3" t="s">
        <v>264</v>
      </c>
      <c r="R618" s="3" t="s">
        <v>67</v>
      </c>
      <c r="S618" s="4">
        <v>3</v>
      </c>
      <c r="T618" s="4">
        <v>3</v>
      </c>
      <c r="U618" s="5" t="s">
        <v>2999</v>
      </c>
      <c r="V618" s="5" t="s">
        <v>2999</v>
      </c>
      <c r="W618" s="5" t="s">
        <v>6862</v>
      </c>
      <c r="X618" s="5" t="s">
        <v>6862</v>
      </c>
      <c r="Y618" s="4">
        <v>885</v>
      </c>
      <c r="Z618" s="4">
        <v>754</v>
      </c>
      <c r="AA618" s="4">
        <v>776</v>
      </c>
      <c r="AB618" s="4">
        <v>6</v>
      </c>
      <c r="AC618" s="4">
        <v>6</v>
      </c>
      <c r="AD618" s="4">
        <v>27</v>
      </c>
      <c r="AE618" s="4">
        <v>28</v>
      </c>
      <c r="AF618" s="4">
        <v>9</v>
      </c>
      <c r="AG618" s="4">
        <v>10</v>
      </c>
      <c r="AH618" s="4">
        <v>4</v>
      </c>
      <c r="AI618" s="4">
        <v>4</v>
      </c>
      <c r="AJ618" s="4">
        <v>15</v>
      </c>
      <c r="AK618" s="4">
        <v>16</v>
      </c>
      <c r="AL618" s="4">
        <v>5</v>
      </c>
      <c r="AM618" s="4">
        <v>5</v>
      </c>
      <c r="AN618" s="4">
        <v>0</v>
      </c>
      <c r="AO618" s="4">
        <v>0</v>
      </c>
      <c r="AP618" s="3" t="s">
        <v>59</v>
      </c>
      <c r="AQ618" s="3" t="s">
        <v>70</v>
      </c>
      <c r="AR618" s="6" t="str">
        <f>HYPERLINK("http://catalog.hathitrust.org/Record/001949046","HathiTrust Record")</f>
        <v>HathiTrust Record</v>
      </c>
      <c r="AS618" s="6" t="str">
        <f>HYPERLINK("https://creighton-primo.hosted.exlibrisgroup.com/primo-explore/search?tab=default_tab&amp;search_scope=EVERYTHING&amp;vid=01CRU&amp;lang=en_US&amp;offset=0&amp;query=any,contains,991001389429702656","Catalog Record")</f>
        <v>Catalog Record</v>
      </c>
      <c r="AT618" s="6" t="str">
        <f>HYPERLINK("http://www.worldcat.org/oclc/18744754","WorldCat Record")</f>
        <v>WorldCat Record</v>
      </c>
      <c r="AU618" s="3" t="s">
        <v>7900</v>
      </c>
      <c r="AV618" s="3" t="s">
        <v>7901</v>
      </c>
      <c r="AW618" s="3" t="s">
        <v>7902</v>
      </c>
      <c r="AX618" s="3" t="s">
        <v>7902</v>
      </c>
      <c r="AY618" s="3" t="s">
        <v>7903</v>
      </c>
      <c r="AZ618" s="3" t="s">
        <v>75</v>
      </c>
      <c r="BB618" s="3" t="s">
        <v>7904</v>
      </c>
      <c r="BC618" s="3" t="s">
        <v>7905</v>
      </c>
      <c r="BD618" s="3" t="s">
        <v>7906</v>
      </c>
    </row>
    <row r="619" spans="1:56" ht="48" customHeight="1" x14ac:dyDescent="0.25">
      <c r="A619" s="7" t="s">
        <v>59</v>
      </c>
      <c r="B619" s="2" t="s">
        <v>7907</v>
      </c>
      <c r="C619" s="2" t="s">
        <v>7908</v>
      </c>
      <c r="D619" s="2" t="s">
        <v>7897</v>
      </c>
      <c r="F619" s="3" t="s">
        <v>59</v>
      </c>
      <c r="G619" s="3" t="s">
        <v>60</v>
      </c>
      <c r="H619" s="3" t="s">
        <v>59</v>
      </c>
      <c r="I619" s="3" t="s">
        <v>70</v>
      </c>
      <c r="J619" s="3" t="s">
        <v>61</v>
      </c>
      <c r="K619" s="2" t="s">
        <v>7898</v>
      </c>
      <c r="L619" s="2" t="s">
        <v>7909</v>
      </c>
      <c r="M619" s="3" t="s">
        <v>897</v>
      </c>
      <c r="O619" s="3" t="s">
        <v>64</v>
      </c>
      <c r="P619" s="3" t="s">
        <v>84</v>
      </c>
      <c r="R619" s="3" t="s">
        <v>67</v>
      </c>
      <c r="S619" s="4">
        <v>0</v>
      </c>
      <c r="T619" s="4">
        <v>0</v>
      </c>
      <c r="U619" s="5" t="s">
        <v>7910</v>
      </c>
      <c r="V619" s="5" t="s">
        <v>7910</v>
      </c>
      <c r="W619" s="5" t="s">
        <v>7911</v>
      </c>
      <c r="X619" s="5" t="s">
        <v>7911</v>
      </c>
      <c r="Y619" s="4">
        <v>23</v>
      </c>
      <c r="Z619" s="4">
        <v>20</v>
      </c>
      <c r="AA619" s="4">
        <v>776</v>
      </c>
      <c r="AB619" s="4">
        <v>1</v>
      </c>
      <c r="AC619" s="4">
        <v>6</v>
      </c>
      <c r="AD619" s="4">
        <v>1</v>
      </c>
      <c r="AE619" s="4">
        <v>28</v>
      </c>
      <c r="AF619" s="4">
        <v>1</v>
      </c>
      <c r="AG619" s="4">
        <v>10</v>
      </c>
      <c r="AH619" s="4">
        <v>0</v>
      </c>
      <c r="AI619" s="4">
        <v>4</v>
      </c>
      <c r="AJ619" s="4">
        <v>1</v>
      </c>
      <c r="AK619" s="4">
        <v>16</v>
      </c>
      <c r="AL619" s="4">
        <v>0</v>
      </c>
      <c r="AM619" s="4">
        <v>5</v>
      </c>
      <c r="AN619" s="4">
        <v>0</v>
      </c>
      <c r="AO619" s="4">
        <v>0</v>
      </c>
      <c r="AP619" s="3" t="s">
        <v>59</v>
      </c>
      <c r="AQ619" s="3" t="s">
        <v>59</v>
      </c>
      <c r="AS619" s="6" t="str">
        <f>HYPERLINK("https://creighton-primo.hosted.exlibrisgroup.com/primo-explore/search?tab=default_tab&amp;search_scope=EVERYTHING&amp;vid=01CRU&amp;lang=en_US&amp;offset=0&amp;query=any,contains,991001961219702656","Catalog Record")</f>
        <v>Catalog Record</v>
      </c>
      <c r="AT619" s="6" t="str">
        <f>HYPERLINK("http://www.worldcat.org/oclc/233924968","WorldCat Record")</f>
        <v>WorldCat Record</v>
      </c>
      <c r="AU619" s="3" t="s">
        <v>7900</v>
      </c>
      <c r="AV619" s="3" t="s">
        <v>7912</v>
      </c>
      <c r="AW619" s="3" t="s">
        <v>7913</v>
      </c>
      <c r="AX619" s="3" t="s">
        <v>7913</v>
      </c>
      <c r="AY619" s="3" t="s">
        <v>7914</v>
      </c>
      <c r="AZ619" s="3" t="s">
        <v>75</v>
      </c>
      <c r="BB619" s="3" t="s">
        <v>7915</v>
      </c>
      <c r="BC619" s="3" t="s">
        <v>7916</v>
      </c>
      <c r="BD619" s="3" t="s">
        <v>7917</v>
      </c>
    </row>
    <row r="620" spans="1:56" ht="48" customHeight="1" x14ac:dyDescent="0.25">
      <c r="A620" s="7" t="s">
        <v>59</v>
      </c>
      <c r="B620" s="2" t="s">
        <v>7918</v>
      </c>
      <c r="C620" s="2" t="s">
        <v>7919</v>
      </c>
      <c r="D620" s="2" t="s">
        <v>7920</v>
      </c>
      <c r="F620" s="3" t="s">
        <v>59</v>
      </c>
      <c r="G620" s="3" t="s">
        <v>60</v>
      </c>
      <c r="H620" s="3" t="s">
        <v>59</v>
      </c>
      <c r="I620" s="3" t="s">
        <v>59</v>
      </c>
      <c r="J620" s="3" t="s">
        <v>61</v>
      </c>
      <c r="K620" s="2" t="s">
        <v>7921</v>
      </c>
      <c r="L620" s="2" t="s">
        <v>7922</v>
      </c>
      <c r="M620" s="3" t="s">
        <v>248</v>
      </c>
      <c r="O620" s="3" t="s">
        <v>64</v>
      </c>
      <c r="P620" s="3" t="s">
        <v>84</v>
      </c>
      <c r="R620" s="3" t="s">
        <v>67</v>
      </c>
      <c r="S620" s="4">
        <v>8</v>
      </c>
      <c r="T620" s="4">
        <v>8</v>
      </c>
      <c r="U620" s="5" t="s">
        <v>7923</v>
      </c>
      <c r="V620" s="5" t="s">
        <v>7923</v>
      </c>
      <c r="W620" s="5" t="s">
        <v>6862</v>
      </c>
      <c r="X620" s="5" t="s">
        <v>6862</v>
      </c>
      <c r="Y620" s="4">
        <v>338</v>
      </c>
      <c r="Z620" s="4">
        <v>221</v>
      </c>
      <c r="AA620" s="4">
        <v>223</v>
      </c>
      <c r="AB620" s="4">
        <v>3</v>
      </c>
      <c r="AC620" s="4">
        <v>3</v>
      </c>
      <c r="AD620" s="4">
        <v>10</v>
      </c>
      <c r="AE620" s="4">
        <v>10</v>
      </c>
      <c r="AF620" s="4">
        <v>4</v>
      </c>
      <c r="AG620" s="4">
        <v>4</v>
      </c>
      <c r="AH620" s="4">
        <v>4</v>
      </c>
      <c r="AI620" s="4">
        <v>4</v>
      </c>
      <c r="AJ620" s="4">
        <v>4</v>
      </c>
      <c r="AK620" s="4">
        <v>4</v>
      </c>
      <c r="AL620" s="4">
        <v>2</v>
      </c>
      <c r="AM620" s="4">
        <v>2</v>
      </c>
      <c r="AN620" s="4">
        <v>0</v>
      </c>
      <c r="AO620" s="4">
        <v>0</v>
      </c>
      <c r="AP620" s="3" t="s">
        <v>59</v>
      </c>
      <c r="AQ620" s="3" t="s">
        <v>70</v>
      </c>
      <c r="AR620" s="6" t="str">
        <f>HYPERLINK("http://catalog.hathitrust.org/Record/000309813","HathiTrust Record")</f>
        <v>HathiTrust Record</v>
      </c>
      <c r="AS620" s="6" t="str">
        <f>HYPERLINK("https://creighton-primo.hosted.exlibrisgroup.com/primo-explore/search?tab=default_tab&amp;search_scope=EVERYTHING&amp;vid=01CRU&amp;lang=en_US&amp;offset=0&amp;query=any,contains,991005235119702656","Catalog Record")</f>
        <v>Catalog Record</v>
      </c>
      <c r="AT620" s="6" t="str">
        <f>HYPERLINK("http://www.worldcat.org/oclc/8367855","WorldCat Record")</f>
        <v>WorldCat Record</v>
      </c>
      <c r="AU620" s="3" t="s">
        <v>7924</v>
      </c>
      <c r="AV620" s="3" t="s">
        <v>7925</v>
      </c>
      <c r="AW620" s="3" t="s">
        <v>7926</v>
      </c>
      <c r="AX620" s="3" t="s">
        <v>7926</v>
      </c>
      <c r="AY620" s="3" t="s">
        <v>7927</v>
      </c>
      <c r="AZ620" s="3" t="s">
        <v>75</v>
      </c>
      <c r="BB620" s="3" t="s">
        <v>7928</v>
      </c>
      <c r="BC620" s="3" t="s">
        <v>7929</v>
      </c>
      <c r="BD620" s="3" t="s">
        <v>7930</v>
      </c>
    </row>
    <row r="621" spans="1:56" ht="48" customHeight="1" x14ac:dyDescent="0.25">
      <c r="A621" s="7" t="s">
        <v>59</v>
      </c>
      <c r="B621" s="2" t="s">
        <v>7931</v>
      </c>
      <c r="C621" s="2" t="s">
        <v>7932</v>
      </c>
      <c r="D621" s="2" t="s">
        <v>7933</v>
      </c>
      <c r="F621" s="3" t="s">
        <v>59</v>
      </c>
      <c r="G621" s="3" t="s">
        <v>60</v>
      </c>
      <c r="H621" s="3" t="s">
        <v>70</v>
      </c>
      <c r="I621" s="3" t="s">
        <v>59</v>
      </c>
      <c r="J621" s="3" t="s">
        <v>61</v>
      </c>
      <c r="K621" s="2" t="s">
        <v>7934</v>
      </c>
      <c r="L621" s="2" t="s">
        <v>7935</v>
      </c>
      <c r="M621" s="3" t="s">
        <v>219</v>
      </c>
      <c r="O621" s="3" t="s">
        <v>64</v>
      </c>
      <c r="P621" s="3" t="s">
        <v>130</v>
      </c>
      <c r="R621" s="3" t="s">
        <v>67</v>
      </c>
      <c r="S621" s="4">
        <v>8</v>
      </c>
      <c r="T621" s="4">
        <v>11</v>
      </c>
      <c r="U621" s="5" t="s">
        <v>7936</v>
      </c>
      <c r="V621" s="5" t="s">
        <v>7936</v>
      </c>
      <c r="W621" s="5" t="s">
        <v>7937</v>
      </c>
      <c r="X621" s="5" t="s">
        <v>5354</v>
      </c>
      <c r="Y621" s="4">
        <v>212</v>
      </c>
      <c r="Z621" s="4">
        <v>157</v>
      </c>
      <c r="AA621" s="4">
        <v>164</v>
      </c>
      <c r="AB621" s="4">
        <v>3</v>
      </c>
      <c r="AC621" s="4">
        <v>3</v>
      </c>
      <c r="AD621" s="4">
        <v>7</v>
      </c>
      <c r="AE621" s="4">
        <v>7</v>
      </c>
      <c r="AF621" s="4">
        <v>2</v>
      </c>
      <c r="AG621" s="4">
        <v>2</v>
      </c>
      <c r="AH621" s="4">
        <v>0</v>
      </c>
      <c r="AI621" s="4">
        <v>0</v>
      </c>
      <c r="AJ621" s="4">
        <v>5</v>
      </c>
      <c r="AK621" s="4">
        <v>5</v>
      </c>
      <c r="AL621" s="4">
        <v>1</v>
      </c>
      <c r="AM621" s="4">
        <v>1</v>
      </c>
      <c r="AN621" s="4">
        <v>0</v>
      </c>
      <c r="AO621" s="4">
        <v>0</v>
      </c>
      <c r="AP621" s="3" t="s">
        <v>59</v>
      </c>
      <c r="AQ621" s="3" t="s">
        <v>70</v>
      </c>
      <c r="AR621" s="6" t="str">
        <f>HYPERLINK("http://catalog.hathitrust.org/Record/002062199","HathiTrust Record")</f>
        <v>HathiTrust Record</v>
      </c>
      <c r="AS621" s="6" t="str">
        <f>HYPERLINK("https://creighton-primo.hosted.exlibrisgroup.com/primo-explore/search?tab=default_tab&amp;search_scope=EVERYTHING&amp;vid=01CRU&amp;lang=en_US&amp;offset=0&amp;query=any,contains,991001745309702656","Catalog Record")</f>
        <v>Catalog Record</v>
      </c>
      <c r="AT621" s="6" t="str">
        <f>HYPERLINK("http://www.worldcat.org/oclc/19887156","WorldCat Record")</f>
        <v>WorldCat Record</v>
      </c>
      <c r="AU621" s="3" t="s">
        <v>7938</v>
      </c>
      <c r="AV621" s="3" t="s">
        <v>7939</v>
      </c>
      <c r="AW621" s="3" t="s">
        <v>7940</v>
      </c>
      <c r="AX621" s="3" t="s">
        <v>7940</v>
      </c>
      <c r="AY621" s="3" t="s">
        <v>7941</v>
      </c>
      <c r="AZ621" s="3" t="s">
        <v>75</v>
      </c>
      <c r="BB621" s="3" t="s">
        <v>7942</v>
      </c>
      <c r="BC621" s="3" t="s">
        <v>7943</v>
      </c>
      <c r="BD621" s="3" t="s">
        <v>7944</v>
      </c>
    </row>
    <row r="622" spans="1:56" ht="48" customHeight="1" x14ac:dyDescent="0.25">
      <c r="A622" s="7" t="s">
        <v>59</v>
      </c>
      <c r="B622" s="2" t="s">
        <v>7945</v>
      </c>
      <c r="C622" s="2" t="s">
        <v>7946</v>
      </c>
      <c r="D622" s="2" t="s">
        <v>7947</v>
      </c>
      <c r="F622" s="3" t="s">
        <v>59</v>
      </c>
      <c r="G622" s="3" t="s">
        <v>60</v>
      </c>
      <c r="H622" s="3" t="s">
        <v>59</v>
      </c>
      <c r="I622" s="3" t="s">
        <v>59</v>
      </c>
      <c r="J622" s="3" t="s">
        <v>61</v>
      </c>
      <c r="K622" s="2" t="s">
        <v>7948</v>
      </c>
      <c r="L622" s="2" t="s">
        <v>7949</v>
      </c>
      <c r="M622" s="3" t="s">
        <v>590</v>
      </c>
      <c r="O622" s="3" t="s">
        <v>64</v>
      </c>
      <c r="P622" s="3" t="s">
        <v>115</v>
      </c>
      <c r="R622" s="3" t="s">
        <v>67</v>
      </c>
      <c r="S622" s="4">
        <v>12</v>
      </c>
      <c r="T622" s="4">
        <v>12</v>
      </c>
      <c r="U622" s="5" t="s">
        <v>7950</v>
      </c>
      <c r="V622" s="5" t="s">
        <v>7950</v>
      </c>
      <c r="W622" s="5" t="s">
        <v>1689</v>
      </c>
      <c r="X622" s="5" t="s">
        <v>1689</v>
      </c>
      <c r="Y622" s="4">
        <v>32</v>
      </c>
      <c r="Z622" s="4">
        <v>23</v>
      </c>
      <c r="AA622" s="4">
        <v>26</v>
      </c>
      <c r="AB622" s="4">
        <v>1</v>
      </c>
      <c r="AC622" s="4">
        <v>1</v>
      </c>
      <c r="AD622" s="4">
        <v>0</v>
      </c>
      <c r="AE622" s="4">
        <v>0</v>
      </c>
      <c r="AF622" s="4">
        <v>0</v>
      </c>
      <c r="AG622" s="4">
        <v>0</v>
      </c>
      <c r="AH622" s="4">
        <v>0</v>
      </c>
      <c r="AI622" s="4">
        <v>0</v>
      </c>
      <c r="AJ622" s="4">
        <v>0</v>
      </c>
      <c r="AK622" s="4">
        <v>0</v>
      </c>
      <c r="AL622" s="4">
        <v>0</v>
      </c>
      <c r="AM622" s="4">
        <v>0</v>
      </c>
      <c r="AN622" s="4">
        <v>0</v>
      </c>
      <c r="AO622" s="4">
        <v>0</v>
      </c>
      <c r="AP622" s="3" t="s">
        <v>59</v>
      </c>
      <c r="AQ622" s="3" t="s">
        <v>59</v>
      </c>
      <c r="AS622" s="6" t="str">
        <f>HYPERLINK("https://creighton-primo.hosted.exlibrisgroup.com/primo-explore/search?tab=default_tab&amp;search_scope=EVERYTHING&amp;vid=01CRU&amp;lang=en_US&amp;offset=0&amp;query=any,contains,991001425439702656","Catalog Record")</f>
        <v>Catalog Record</v>
      </c>
      <c r="AT622" s="6" t="str">
        <f>HYPERLINK("http://www.worldcat.org/oclc/19000141","WorldCat Record")</f>
        <v>WorldCat Record</v>
      </c>
      <c r="AU622" s="3" t="s">
        <v>7951</v>
      </c>
      <c r="AV622" s="3" t="s">
        <v>7952</v>
      </c>
      <c r="AW622" s="3" t="s">
        <v>7953</v>
      </c>
      <c r="AX622" s="3" t="s">
        <v>7953</v>
      </c>
      <c r="AY622" s="3" t="s">
        <v>7954</v>
      </c>
      <c r="AZ622" s="3" t="s">
        <v>75</v>
      </c>
      <c r="BB622" s="3" t="s">
        <v>7955</v>
      </c>
      <c r="BC622" s="3" t="s">
        <v>7956</v>
      </c>
      <c r="BD622" s="3" t="s">
        <v>7957</v>
      </c>
    </row>
    <row r="623" spans="1:56" ht="48" customHeight="1" x14ac:dyDescent="0.25">
      <c r="A623" s="7" t="s">
        <v>59</v>
      </c>
      <c r="B623" s="2" t="s">
        <v>7958</v>
      </c>
      <c r="C623" s="2" t="s">
        <v>7959</v>
      </c>
      <c r="D623" s="2" t="s">
        <v>7960</v>
      </c>
      <c r="F623" s="3" t="s">
        <v>59</v>
      </c>
      <c r="G623" s="3" t="s">
        <v>60</v>
      </c>
      <c r="H623" s="3" t="s">
        <v>59</v>
      </c>
      <c r="I623" s="3" t="s">
        <v>59</v>
      </c>
      <c r="J623" s="3" t="s">
        <v>61</v>
      </c>
      <c r="K623" s="2" t="s">
        <v>7961</v>
      </c>
      <c r="L623" s="2" t="s">
        <v>7962</v>
      </c>
      <c r="M623" s="3" t="s">
        <v>1462</v>
      </c>
      <c r="O623" s="3" t="s">
        <v>64</v>
      </c>
      <c r="P623" s="3" t="s">
        <v>130</v>
      </c>
      <c r="R623" s="3" t="s">
        <v>67</v>
      </c>
      <c r="S623" s="4">
        <v>2</v>
      </c>
      <c r="T623" s="4">
        <v>2</v>
      </c>
      <c r="U623" s="5" t="s">
        <v>3922</v>
      </c>
      <c r="V623" s="5" t="s">
        <v>3922</v>
      </c>
      <c r="W623" s="5" t="s">
        <v>501</v>
      </c>
      <c r="X623" s="5" t="s">
        <v>501</v>
      </c>
      <c r="Y623" s="4">
        <v>223</v>
      </c>
      <c r="Z623" s="4">
        <v>200</v>
      </c>
      <c r="AA623" s="4">
        <v>203</v>
      </c>
      <c r="AB623" s="4">
        <v>4</v>
      </c>
      <c r="AC623" s="4">
        <v>4</v>
      </c>
      <c r="AD623" s="4">
        <v>4</v>
      </c>
      <c r="AE623" s="4">
        <v>4</v>
      </c>
      <c r="AF623" s="4">
        <v>0</v>
      </c>
      <c r="AG623" s="4">
        <v>0</v>
      </c>
      <c r="AH623" s="4">
        <v>1</v>
      </c>
      <c r="AI623" s="4">
        <v>1</v>
      </c>
      <c r="AJ623" s="4">
        <v>2</v>
      </c>
      <c r="AK623" s="4">
        <v>2</v>
      </c>
      <c r="AL623" s="4">
        <v>1</v>
      </c>
      <c r="AM623" s="4">
        <v>1</v>
      </c>
      <c r="AN623" s="4">
        <v>0</v>
      </c>
      <c r="AO623" s="4">
        <v>0</v>
      </c>
      <c r="AP623" s="3" t="s">
        <v>59</v>
      </c>
      <c r="AQ623" s="3" t="s">
        <v>59</v>
      </c>
      <c r="AR623" s="6" t="str">
        <f>HYPERLINK("http://catalog.hathitrust.org/Record/002077043","HathiTrust Record")</f>
        <v>HathiTrust Record</v>
      </c>
      <c r="AS623" s="6" t="str">
        <f>HYPERLINK("https://creighton-primo.hosted.exlibrisgroup.com/primo-explore/search?tab=default_tab&amp;search_scope=EVERYTHING&amp;vid=01CRU&amp;lang=en_US&amp;offset=0&amp;query=any,contains,991003764499702656","Catalog Record")</f>
        <v>Catalog Record</v>
      </c>
      <c r="AT623" s="6" t="str">
        <f>HYPERLINK("http://www.worldcat.org/oclc/1455880","WorldCat Record")</f>
        <v>WorldCat Record</v>
      </c>
      <c r="AU623" s="3" t="s">
        <v>7963</v>
      </c>
      <c r="AV623" s="3" t="s">
        <v>7964</v>
      </c>
      <c r="AW623" s="3" t="s">
        <v>7965</v>
      </c>
      <c r="AX623" s="3" t="s">
        <v>7965</v>
      </c>
      <c r="AY623" s="3" t="s">
        <v>7966</v>
      </c>
      <c r="AZ623" s="3" t="s">
        <v>75</v>
      </c>
      <c r="BC623" s="3" t="s">
        <v>7967</v>
      </c>
      <c r="BD623" s="3" t="s">
        <v>7968</v>
      </c>
    </row>
    <row r="624" spans="1:56" ht="48" customHeight="1" x14ac:dyDescent="0.25">
      <c r="A624" s="7" t="s">
        <v>59</v>
      </c>
      <c r="B624" s="2" t="s">
        <v>7969</v>
      </c>
      <c r="C624" s="2" t="s">
        <v>7970</v>
      </c>
      <c r="D624" s="2" t="s">
        <v>7971</v>
      </c>
      <c r="F624" s="3" t="s">
        <v>59</v>
      </c>
      <c r="G624" s="3" t="s">
        <v>60</v>
      </c>
      <c r="H624" s="3" t="s">
        <v>59</v>
      </c>
      <c r="I624" s="3" t="s">
        <v>59</v>
      </c>
      <c r="J624" s="3" t="s">
        <v>61</v>
      </c>
      <c r="K624" s="2" t="s">
        <v>7972</v>
      </c>
      <c r="L624" s="2" t="s">
        <v>7973</v>
      </c>
      <c r="M624" s="3" t="s">
        <v>7974</v>
      </c>
      <c r="O624" s="3" t="s">
        <v>64</v>
      </c>
      <c r="P624" s="3" t="s">
        <v>130</v>
      </c>
      <c r="R624" s="3" t="s">
        <v>67</v>
      </c>
      <c r="S624" s="4">
        <v>3</v>
      </c>
      <c r="T624" s="4">
        <v>3</v>
      </c>
      <c r="U624" s="5" t="s">
        <v>7975</v>
      </c>
      <c r="V624" s="5" t="s">
        <v>7975</v>
      </c>
      <c r="W624" s="5" t="s">
        <v>7976</v>
      </c>
      <c r="X624" s="5" t="s">
        <v>7976</v>
      </c>
      <c r="Y624" s="4">
        <v>8</v>
      </c>
      <c r="Z624" s="4">
        <v>6</v>
      </c>
      <c r="AA624" s="4">
        <v>110</v>
      </c>
      <c r="AB624" s="4">
        <v>1</v>
      </c>
      <c r="AC624" s="4">
        <v>1</v>
      </c>
      <c r="AD624" s="4">
        <v>0</v>
      </c>
      <c r="AE624" s="4">
        <v>6</v>
      </c>
      <c r="AF624" s="4">
        <v>0</v>
      </c>
      <c r="AG624" s="4">
        <v>1</v>
      </c>
      <c r="AH624" s="4">
        <v>0</v>
      </c>
      <c r="AI624" s="4">
        <v>3</v>
      </c>
      <c r="AJ624" s="4">
        <v>0</v>
      </c>
      <c r="AK624" s="4">
        <v>2</v>
      </c>
      <c r="AL624" s="4">
        <v>0</v>
      </c>
      <c r="AM624" s="4">
        <v>0</v>
      </c>
      <c r="AN624" s="4">
        <v>0</v>
      </c>
      <c r="AO624" s="4">
        <v>1</v>
      </c>
      <c r="AP624" s="3" t="s">
        <v>59</v>
      </c>
      <c r="AQ624" s="3" t="s">
        <v>59</v>
      </c>
      <c r="AS624" s="6" t="str">
        <f>HYPERLINK("https://creighton-primo.hosted.exlibrisgroup.com/primo-explore/search?tab=default_tab&amp;search_scope=EVERYTHING&amp;vid=01CRU&amp;lang=en_US&amp;offset=0&amp;query=any,contains,991001170209702656","Catalog Record")</f>
        <v>Catalog Record</v>
      </c>
      <c r="AT624" s="6" t="str">
        <f>HYPERLINK("http://www.worldcat.org/oclc/16950788","WorldCat Record")</f>
        <v>WorldCat Record</v>
      </c>
      <c r="AU624" s="3" t="s">
        <v>7977</v>
      </c>
      <c r="AV624" s="3" t="s">
        <v>7978</v>
      </c>
      <c r="AW624" s="3" t="s">
        <v>7979</v>
      </c>
      <c r="AX624" s="3" t="s">
        <v>7979</v>
      </c>
      <c r="AY624" s="3" t="s">
        <v>7980</v>
      </c>
      <c r="AZ624" s="3" t="s">
        <v>75</v>
      </c>
      <c r="BC624" s="3" t="s">
        <v>7981</v>
      </c>
      <c r="BD624" s="3" t="s">
        <v>7982</v>
      </c>
    </row>
    <row r="625" spans="1:56" ht="48" customHeight="1" x14ac:dyDescent="0.25">
      <c r="A625" s="7" t="s">
        <v>59</v>
      </c>
      <c r="B625" s="2" t="s">
        <v>7983</v>
      </c>
      <c r="C625" s="2" t="s">
        <v>7984</v>
      </c>
      <c r="D625" s="2" t="s">
        <v>7985</v>
      </c>
      <c r="F625" s="3" t="s">
        <v>59</v>
      </c>
      <c r="G625" s="3" t="s">
        <v>60</v>
      </c>
      <c r="H625" s="3" t="s">
        <v>59</v>
      </c>
      <c r="I625" s="3" t="s">
        <v>59</v>
      </c>
      <c r="J625" s="3" t="s">
        <v>61</v>
      </c>
      <c r="K625" s="2" t="s">
        <v>7986</v>
      </c>
      <c r="L625" s="2" t="s">
        <v>1944</v>
      </c>
      <c r="M625" s="3" t="s">
        <v>535</v>
      </c>
      <c r="N625" s="2" t="s">
        <v>6170</v>
      </c>
      <c r="O625" s="3" t="s">
        <v>64</v>
      </c>
      <c r="P625" s="3" t="s">
        <v>115</v>
      </c>
      <c r="R625" s="3" t="s">
        <v>67</v>
      </c>
      <c r="S625" s="4">
        <v>3</v>
      </c>
      <c r="T625" s="4">
        <v>3</v>
      </c>
      <c r="U625" s="5" t="s">
        <v>7987</v>
      </c>
      <c r="V625" s="5" t="s">
        <v>7987</v>
      </c>
      <c r="W625" s="5" t="s">
        <v>5086</v>
      </c>
      <c r="X625" s="5" t="s">
        <v>5086</v>
      </c>
      <c r="Y625" s="4">
        <v>319</v>
      </c>
      <c r="Z625" s="4">
        <v>242</v>
      </c>
      <c r="AA625" s="4">
        <v>609</v>
      </c>
      <c r="AB625" s="4">
        <v>3</v>
      </c>
      <c r="AC625" s="4">
        <v>3</v>
      </c>
      <c r="AD625" s="4">
        <v>8</v>
      </c>
      <c r="AE625" s="4">
        <v>19</v>
      </c>
      <c r="AF625" s="4">
        <v>1</v>
      </c>
      <c r="AG625" s="4">
        <v>6</v>
      </c>
      <c r="AH625" s="4">
        <v>3</v>
      </c>
      <c r="AI625" s="4">
        <v>4</v>
      </c>
      <c r="AJ625" s="4">
        <v>4</v>
      </c>
      <c r="AK625" s="4">
        <v>12</v>
      </c>
      <c r="AL625" s="4">
        <v>2</v>
      </c>
      <c r="AM625" s="4">
        <v>2</v>
      </c>
      <c r="AN625" s="4">
        <v>0</v>
      </c>
      <c r="AO625" s="4">
        <v>0</v>
      </c>
      <c r="AP625" s="3" t="s">
        <v>59</v>
      </c>
      <c r="AQ625" s="3" t="s">
        <v>70</v>
      </c>
      <c r="AR625" s="6" t="str">
        <f>HYPERLINK("http://catalog.hathitrust.org/Record/001555209","HathiTrust Record")</f>
        <v>HathiTrust Record</v>
      </c>
      <c r="AS625" s="6" t="str">
        <f>HYPERLINK("https://creighton-primo.hosted.exlibrisgroup.com/primo-explore/search?tab=default_tab&amp;search_scope=EVERYTHING&amp;vid=01CRU&amp;lang=en_US&amp;offset=0&amp;query=any,contains,991002989739702656","Catalog Record")</f>
        <v>Catalog Record</v>
      </c>
      <c r="AT625" s="6" t="str">
        <f>HYPERLINK("http://www.worldcat.org/oclc/559965","WorldCat Record")</f>
        <v>WorldCat Record</v>
      </c>
      <c r="AU625" s="3" t="s">
        <v>7988</v>
      </c>
      <c r="AV625" s="3" t="s">
        <v>7989</v>
      </c>
      <c r="AW625" s="3" t="s">
        <v>7990</v>
      </c>
      <c r="AX625" s="3" t="s">
        <v>7990</v>
      </c>
      <c r="AY625" s="3" t="s">
        <v>7991</v>
      </c>
      <c r="AZ625" s="3" t="s">
        <v>75</v>
      </c>
      <c r="BC625" s="3" t="s">
        <v>7992</v>
      </c>
      <c r="BD625" s="3" t="s">
        <v>7993</v>
      </c>
    </row>
    <row r="626" spans="1:56" ht="48" customHeight="1" x14ac:dyDescent="0.25">
      <c r="A626" s="7" t="s">
        <v>59</v>
      </c>
      <c r="B626" s="2" t="s">
        <v>7994</v>
      </c>
      <c r="C626" s="2" t="s">
        <v>7995</v>
      </c>
      <c r="D626" s="2" t="s">
        <v>7996</v>
      </c>
      <c r="F626" s="3" t="s">
        <v>59</v>
      </c>
      <c r="G626" s="3" t="s">
        <v>60</v>
      </c>
      <c r="H626" s="3" t="s">
        <v>59</v>
      </c>
      <c r="I626" s="3" t="s">
        <v>59</v>
      </c>
      <c r="J626" s="3" t="s">
        <v>61</v>
      </c>
      <c r="K626" s="2" t="s">
        <v>7997</v>
      </c>
      <c r="L626" s="2" t="s">
        <v>7998</v>
      </c>
      <c r="M626" s="3" t="s">
        <v>7999</v>
      </c>
      <c r="N626" s="2" t="s">
        <v>1945</v>
      </c>
      <c r="O626" s="3" t="s">
        <v>64</v>
      </c>
      <c r="P626" s="3" t="s">
        <v>2140</v>
      </c>
      <c r="R626" s="3" t="s">
        <v>67</v>
      </c>
      <c r="S626" s="4">
        <v>2</v>
      </c>
      <c r="T626" s="4">
        <v>2</v>
      </c>
      <c r="U626" s="5" t="s">
        <v>7975</v>
      </c>
      <c r="V626" s="5" t="s">
        <v>7975</v>
      </c>
      <c r="W626" s="5" t="s">
        <v>8000</v>
      </c>
      <c r="X626" s="5" t="s">
        <v>8000</v>
      </c>
      <c r="Y626" s="4">
        <v>68</v>
      </c>
      <c r="Z626" s="4">
        <v>62</v>
      </c>
      <c r="AA626" s="4">
        <v>69</v>
      </c>
      <c r="AB626" s="4">
        <v>1</v>
      </c>
      <c r="AC626" s="4">
        <v>1</v>
      </c>
      <c r="AD626" s="4">
        <v>1</v>
      </c>
      <c r="AE626" s="4">
        <v>1</v>
      </c>
      <c r="AF626" s="4">
        <v>1</v>
      </c>
      <c r="AG626" s="4">
        <v>1</v>
      </c>
      <c r="AH626" s="4">
        <v>1</v>
      </c>
      <c r="AI626" s="4">
        <v>1</v>
      </c>
      <c r="AJ626" s="4">
        <v>0</v>
      </c>
      <c r="AK626" s="4">
        <v>0</v>
      </c>
      <c r="AL626" s="4">
        <v>0</v>
      </c>
      <c r="AM626" s="4">
        <v>0</v>
      </c>
      <c r="AN626" s="4">
        <v>0</v>
      </c>
      <c r="AO626" s="4">
        <v>0</v>
      </c>
      <c r="AP626" s="3" t="s">
        <v>70</v>
      </c>
      <c r="AQ626" s="3" t="s">
        <v>59</v>
      </c>
      <c r="AR626" s="6" t="str">
        <f>HYPERLINK("http://catalog.hathitrust.org/Record/001555222","HathiTrust Record")</f>
        <v>HathiTrust Record</v>
      </c>
      <c r="AS626" s="6" t="str">
        <f>HYPERLINK("https://creighton-primo.hosted.exlibrisgroup.com/primo-explore/search?tab=default_tab&amp;search_scope=EVERYTHING&amp;vid=01CRU&amp;lang=en_US&amp;offset=0&amp;query=any,contains,991002988839702656","Catalog Record")</f>
        <v>Catalog Record</v>
      </c>
      <c r="AT626" s="6" t="str">
        <f>HYPERLINK("http://www.worldcat.org/oclc/559265","WorldCat Record")</f>
        <v>WorldCat Record</v>
      </c>
      <c r="AU626" s="3" t="s">
        <v>8001</v>
      </c>
      <c r="AV626" s="3" t="s">
        <v>8002</v>
      </c>
      <c r="AW626" s="3" t="s">
        <v>8003</v>
      </c>
      <c r="AX626" s="3" t="s">
        <v>8003</v>
      </c>
      <c r="AY626" s="3" t="s">
        <v>8004</v>
      </c>
      <c r="AZ626" s="3" t="s">
        <v>75</v>
      </c>
      <c r="BC626" s="3" t="s">
        <v>8005</v>
      </c>
      <c r="BD626" s="3" t="s">
        <v>8006</v>
      </c>
    </row>
    <row r="627" spans="1:56" ht="48" customHeight="1" x14ac:dyDescent="0.25">
      <c r="A627" s="7" t="s">
        <v>59</v>
      </c>
      <c r="B627" s="2" t="s">
        <v>8007</v>
      </c>
      <c r="C627" s="2" t="s">
        <v>8008</v>
      </c>
      <c r="D627" s="2" t="s">
        <v>8009</v>
      </c>
      <c r="F627" s="3" t="s">
        <v>59</v>
      </c>
      <c r="G627" s="3" t="s">
        <v>60</v>
      </c>
      <c r="H627" s="3" t="s">
        <v>59</v>
      </c>
      <c r="I627" s="3" t="s">
        <v>59</v>
      </c>
      <c r="J627" s="3" t="s">
        <v>61</v>
      </c>
      <c r="K627" s="2" t="s">
        <v>8010</v>
      </c>
      <c r="L627" s="2" t="s">
        <v>8011</v>
      </c>
      <c r="M627" s="3" t="s">
        <v>535</v>
      </c>
      <c r="O627" s="3" t="s">
        <v>64</v>
      </c>
      <c r="P627" s="3" t="s">
        <v>130</v>
      </c>
      <c r="R627" s="3" t="s">
        <v>67</v>
      </c>
      <c r="S627" s="4">
        <v>2</v>
      </c>
      <c r="T627" s="4">
        <v>2</v>
      </c>
      <c r="U627" s="5" t="s">
        <v>2812</v>
      </c>
      <c r="V627" s="5" t="s">
        <v>2812</v>
      </c>
      <c r="W627" s="5" t="s">
        <v>501</v>
      </c>
      <c r="X627" s="5" t="s">
        <v>501</v>
      </c>
      <c r="Y627" s="4">
        <v>596</v>
      </c>
      <c r="Z627" s="4">
        <v>439</v>
      </c>
      <c r="AA627" s="4">
        <v>659</v>
      </c>
      <c r="AB627" s="4">
        <v>6</v>
      </c>
      <c r="AC627" s="4">
        <v>10</v>
      </c>
      <c r="AD627" s="4">
        <v>11</v>
      </c>
      <c r="AE627" s="4">
        <v>23</v>
      </c>
      <c r="AF627" s="4">
        <v>3</v>
      </c>
      <c r="AG627" s="4">
        <v>6</v>
      </c>
      <c r="AH627" s="4">
        <v>1</v>
      </c>
      <c r="AI627" s="4">
        <v>5</v>
      </c>
      <c r="AJ627" s="4">
        <v>2</v>
      </c>
      <c r="AK627" s="4">
        <v>6</v>
      </c>
      <c r="AL627" s="4">
        <v>5</v>
      </c>
      <c r="AM627" s="4">
        <v>9</v>
      </c>
      <c r="AN627" s="4">
        <v>0</v>
      </c>
      <c r="AO627" s="4">
        <v>0</v>
      </c>
      <c r="AP627" s="3" t="s">
        <v>59</v>
      </c>
      <c r="AQ627" s="3" t="s">
        <v>70</v>
      </c>
      <c r="AR627" s="6" t="str">
        <f>HYPERLINK("http://catalog.hathitrust.org/Record/002077059","HathiTrust Record")</f>
        <v>HathiTrust Record</v>
      </c>
      <c r="AS627" s="6" t="str">
        <f>HYPERLINK("https://creighton-primo.hosted.exlibrisgroup.com/primo-explore/search?tab=default_tab&amp;search_scope=EVERYTHING&amp;vid=01CRU&amp;lang=en_US&amp;offset=0&amp;query=any,contains,991005257349702656","Catalog Record")</f>
        <v>Catalog Record</v>
      </c>
      <c r="AT627" s="6" t="str">
        <f>HYPERLINK("http://www.worldcat.org/oclc/559269","WorldCat Record")</f>
        <v>WorldCat Record</v>
      </c>
      <c r="AU627" s="3" t="s">
        <v>8012</v>
      </c>
      <c r="AV627" s="3" t="s">
        <v>8013</v>
      </c>
      <c r="AW627" s="3" t="s">
        <v>8014</v>
      </c>
      <c r="AX627" s="3" t="s">
        <v>8014</v>
      </c>
      <c r="AY627" s="3" t="s">
        <v>8015</v>
      </c>
      <c r="AZ627" s="3" t="s">
        <v>75</v>
      </c>
      <c r="BC627" s="3" t="s">
        <v>8016</v>
      </c>
      <c r="BD627" s="3" t="s">
        <v>8017</v>
      </c>
    </row>
    <row r="628" spans="1:56" ht="48" customHeight="1" x14ac:dyDescent="0.25">
      <c r="A628" s="7" t="s">
        <v>59</v>
      </c>
      <c r="B628" s="2" t="s">
        <v>8018</v>
      </c>
      <c r="C628" s="2" t="s">
        <v>8019</v>
      </c>
      <c r="D628" s="2" t="s">
        <v>8020</v>
      </c>
      <c r="F628" s="3" t="s">
        <v>59</v>
      </c>
      <c r="G628" s="3" t="s">
        <v>60</v>
      </c>
      <c r="H628" s="3" t="s">
        <v>59</v>
      </c>
      <c r="I628" s="3" t="s">
        <v>59</v>
      </c>
      <c r="J628" s="3" t="s">
        <v>61</v>
      </c>
      <c r="K628" s="2" t="s">
        <v>8021</v>
      </c>
      <c r="L628" s="2" t="s">
        <v>8022</v>
      </c>
      <c r="M628" s="3" t="s">
        <v>911</v>
      </c>
      <c r="O628" s="3" t="s">
        <v>64</v>
      </c>
      <c r="P628" s="3" t="s">
        <v>115</v>
      </c>
      <c r="R628" s="3" t="s">
        <v>67</v>
      </c>
      <c r="S628" s="4">
        <v>5</v>
      </c>
      <c r="T628" s="4">
        <v>5</v>
      </c>
      <c r="U628" s="5" t="s">
        <v>472</v>
      </c>
      <c r="V628" s="5" t="s">
        <v>472</v>
      </c>
      <c r="W628" s="5" t="s">
        <v>5611</v>
      </c>
      <c r="X628" s="5" t="s">
        <v>5611</v>
      </c>
      <c r="Y628" s="4">
        <v>103</v>
      </c>
      <c r="Z628" s="4">
        <v>88</v>
      </c>
      <c r="AA628" s="4">
        <v>90</v>
      </c>
      <c r="AB628" s="4">
        <v>1</v>
      </c>
      <c r="AC628" s="4">
        <v>1</v>
      </c>
      <c r="AD628" s="4">
        <v>2</v>
      </c>
      <c r="AE628" s="4">
        <v>2</v>
      </c>
      <c r="AF628" s="4">
        <v>0</v>
      </c>
      <c r="AG628" s="4">
        <v>0</v>
      </c>
      <c r="AH628" s="4">
        <v>0</v>
      </c>
      <c r="AI628" s="4">
        <v>0</v>
      </c>
      <c r="AJ628" s="4">
        <v>2</v>
      </c>
      <c r="AK628" s="4">
        <v>2</v>
      </c>
      <c r="AL628" s="4">
        <v>0</v>
      </c>
      <c r="AM628" s="4">
        <v>0</v>
      </c>
      <c r="AN628" s="4">
        <v>0</v>
      </c>
      <c r="AO628" s="4">
        <v>0</v>
      </c>
      <c r="AP628" s="3" t="s">
        <v>59</v>
      </c>
      <c r="AQ628" s="3" t="s">
        <v>70</v>
      </c>
      <c r="AR628" s="6" t="str">
        <f>HYPERLINK("http://catalog.hathitrust.org/Record/001555238","HathiTrust Record")</f>
        <v>HathiTrust Record</v>
      </c>
      <c r="AS628" s="6" t="str">
        <f>HYPERLINK("https://creighton-primo.hosted.exlibrisgroup.com/primo-explore/search?tab=default_tab&amp;search_scope=EVERYTHING&amp;vid=01CRU&amp;lang=en_US&amp;offset=0&amp;query=any,contains,991003286989702656","Catalog Record")</f>
        <v>Catalog Record</v>
      </c>
      <c r="AT628" s="6" t="str">
        <f>HYPERLINK("http://www.worldcat.org/oclc/809075","WorldCat Record")</f>
        <v>WorldCat Record</v>
      </c>
      <c r="AU628" s="3" t="s">
        <v>8023</v>
      </c>
      <c r="AV628" s="3" t="s">
        <v>8024</v>
      </c>
      <c r="AW628" s="3" t="s">
        <v>8025</v>
      </c>
      <c r="AX628" s="3" t="s">
        <v>8025</v>
      </c>
      <c r="AY628" s="3" t="s">
        <v>8026</v>
      </c>
      <c r="AZ628" s="3" t="s">
        <v>75</v>
      </c>
      <c r="BC628" s="3" t="s">
        <v>8027</v>
      </c>
      <c r="BD628" s="3" t="s">
        <v>8028</v>
      </c>
    </row>
    <row r="629" spans="1:56" ht="48" customHeight="1" x14ac:dyDescent="0.25">
      <c r="A629" s="7" t="s">
        <v>59</v>
      </c>
      <c r="B629" s="2" t="s">
        <v>8029</v>
      </c>
      <c r="C629" s="2" t="s">
        <v>8030</v>
      </c>
      <c r="D629" s="2" t="s">
        <v>8031</v>
      </c>
      <c r="F629" s="3" t="s">
        <v>59</v>
      </c>
      <c r="G629" s="3" t="s">
        <v>60</v>
      </c>
      <c r="H629" s="3" t="s">
        <v>59</v>
      </c>
      <c r="I629" s="3" t="s">
        <v>70</v>
      </c>
      <c r="J629" s="3" t="s">
        <v>61</v>
      </c>
      <c r="K629" s="2" t="s">
        <v>8032</v>
      </c>
      <c r="L629" s="2" t="s">
        <v>8033</v>
      </c>
      <c r="M629" s="3" t="s">
        <v>872</v>
      </c>
      <c r="O629" s="3" t="s">
        <v>64</v>
      </c>
      <c r="P629" s="3" t="s">
        <v>130</v>
      </c>
      <c r="R629" s="3" t="s">
        <v>67</v>
      </c>
      <c r="S629" s="4">
        <v>12</v>
      </c>
      <c r="T629" s="4">
        <v>12</v>
      </c>
      <c r="U629" s="5" t="s">
        <v>8034</v>
      </c>
      <c r="V629" s="5" t="s">
        <v>8034</v>
      </c>
      <c r="W629" s="5" t="s">
        <v>8035</v>
      </c>
      <c r="X629" s="5" t="s">
        <v>8035</v>
      </c>
      <c r="Y629" s="4">
        <v>121</v>
      </c>
      <c r="Z629" s="4">
        <v>103</v>
      </c>
      <c r="AA629" s="4">
        <v>236</v>
      </c>
      <c r="AB629" s="4">
        <v>2</v>
      </c>
      <c r="AC629" s="4">
        <v>3</v>
      </c>
      <c r="AD629" s="4">
        <v>6</v>
      </c>
      <c r="AE629" s="4">
        <v>9</v>
      </c>
      <c r="AF629" s="4">
        <v>3</v>
      </c>
      <c r="AG629" s="4">
        <v>4</v>
      </c>
      <c r="AH629" s="4">
        <v>0</v>
      </c>
      <c r="AI629" s="4">
        <v>0</v>
      </c>
      <c r="AJ629" s="4">
        <v>3</v>
      </c>
      <c r="AK629" s="4">
        <v>6</v>
      </c>
      <c r="AL629" s="4">
        <v>1</v>
      </c>
      <c r="AM629" s="4">
        <v>1</v>
      </c>
      <c r="AN629" s="4">
        <v>0</v>
      </c>
      <c r="AO629" s="4">
        <v>0</v>
      </c>
      <c r="AP629" s="3" t="s">
        <v>59</v>
      </c>
      <c r="AQ629" s="3" t="s">
        <v>70</v>
      </c>
      <c r="AR629" s="6" t="str">
        <f>HYPERLINK("http://catalog.hathitrust.org/Record/001555244","HathiTrust Record")</f>
        <v>HathiTrust Record</v>
      </c>
      <c r="AS629" s="6" t="str">
        <f>HYPERLINK("https://creighton-primo.hosted.exlibrisgroup.com/primo-explore/search?tab=default_tab&amp;search_scope=EVERYTHING&amp;vid=01CRU&amp;lang=en_US&amp;offset=0&amp;query=any,contains,991001005619702656","Catalog Record")</f>
        <v>Catalog Record</v>
      </c>
      <c r="AT629" s="6" t="str">
        <f>HYPERLINK("http://www.worldcat.org/oclc/172597","WorldCat Record")</f>
        <v>WorldCat Record</v>
      </c>
      <c r="AU629" s="3" t="s">
        <v>8036</v>
      </c>
      <c r="AV629" s="3" t="s">
        <v>8037</v>
      </c>
      <c r="AW629" s="3" t="s">
        <v>8038</v>
      </c>
      <c r="AX629" s="3" t="s">
        <v>8038</v>
      </c>
      <c r="AY629" s="3" t="s">
        <v>8039</v>
      </c>
      <c r="AZ629" s="3" t="s">
        <v>75</v>
      </c>
      <c r="BC629" s="3" t="s">
        <v>8040</v>
      </c>
      <c r="BD629" s="3" t="s">
        <v>8041</v>
      </c>
    </row>
    <row r="630" spans="1:56" ht="48" customHeight="1" x14ac:dyDescent="0.25">
      <c r="A630" s="7" t="s">
        <v>59</v>
      </c>
      <c r="B630" s="2" t="s">
        <v>8042</v>
      </c>
      <c r="C630" s="2" t="s">
        <v>8043</v>
      </c>
      <c r="D630" s="2" t="s">
        <v>8044</v>
      </c>
      <c r="F630" s="3" t="s">
        <v>59</v>
      </c>
      <c r="G630" s="3" t="s">
        <v>60</v>
      </c>
      <c r="H630" s="3" t="s">
        <v>59</v>
      </c>
      <c r="I630" s="3" t="s">
        <v>70</v>
      </c>
      <c r="J630" s="3" t="s">
        <v>61</v>
      </c>
      <c r="K630" s="2" t="s">
        <v>8045</v>
      </c>
      <c r="L630" s="2" t="s">
        <v>8046</v>
      </c>
      <c r="M630" s="3" t="s">
        <v>911</v>
      </c>
      <c r="N630" s="2" t="s">
        <v>2577</v>
      </c>
      <c r="O630" s="3" t="s">
        <v>64</v>
      </c>
      <c r="P630" s="3" t="s">
        <v>130</v>
      </c>
      <c r="R630" s="3" t="s">
        <v>67</v>
      </c>
      <c r="S630" s="4">
        <v>8</v>
      </c>
      <c r="T630" s="4">
        <v>8</v>
      </c>
      <c r="U630" s="5" t="s">
        <v>2812</v>
      </c>
      <c r="V630" s="5" t="s">
        <v>2812</v>
      </c>
      <c r="W630" s="5" t="s">
        <v>8047</v>
      </c>
      <c r="X630" s="5" t="s">
        <v>8047</v>
      </c>
      <c r="Y630" s="4">
        <v>309</v>
      </c>
      <c r="Z630" s="4">
        <v>217</v>
      </c>
      <c r="AA630" s="4">
        <v>1012</v>
      </c>
      <c r="AB630" s="4">
        <v>1</v>
      </c>
      <c r="AC630" s="4">
        <v>13</v>
      </c>
      <c r="AD630" s="4">
        <v>3</v>
      </c>
      <c r="AE630" s="4">
        <v>35</v>
      </c>
      <c r="AF630" s="4">
        <v>1</v>
      </c>
      <c r="AG630" s="4">
        <v>10</v>
      </c>
      <c r="AH630" s="4">
        <v>1</v>
      </c>
      <c r="AI630" s="4">
        <v>7</v>
      </c>
      <c r="AJ630" s="4">
        <v>2</v>
      </c>
      <c r="AK630" s="4">
        <v>16</v>
      </c>
      <c r="AL630" s="4">
        <v>0</v>
      </c>
      <c r="AM630" s="4">
        <v>9</v>
      </c>
      <c r="AN630" s="4">
        <v>0</v>
      </c>
      <c r="AO630" s="4">
        <v>0</v>
      </c>
      <c r="AP630" s="3" t="s">
        <v>59</v>
      </c>
      <c r="AQ630" s="3" t="s">
        <v>70</v>
      </c>
      <c r="AR630" s="6" t="str">
        <f>HYPERLINK("http://catalog.hathitrust.org/Record/001555254","HathiTrust Record")</f>
        <v>HathiTrust Record</v>
      </c>
      <c r="AS630" s="6" t="str">
        <f>HYPERLINK("https://creighton-primo.hosted.exlibrisgroup.com/primo-explore/search?tab=default_tab&amp;search_scope=EVERYTHING&amp;vid=01CRU&amp;lang=en_US&amp;offset=0&amp;query=any,contains,991002989099702656","Catalog Record")</f>
        <v>Catalog Record</v>
      </c>
      <c r="AT630" s="6" t="str">
        <f>HYPERLINK("http://www.worldcat.org/oclc/559507","WorldCat Record")</f>
        <v>WorldCat Record</v>
      </c>
      <c r="AU630" s="3" t="s">
        <v>8048</v>
      </c>
      <c r="AV630" s="3" t="s">
        <v>8049</v>
      </c>
      <c r="AW630" s="3" t="s">
        <v>8050</v>
      </c>
      <c r="AX630" s="3" t="s">
        <v>8050</v>
      </c>
      <c r="AY630" s="3" t="s">
        <v>8051</v>
      </c>
      <c r="AZ630" s="3" t="s">
        <v>75</v>
      </c>
      <c r="BC630" s="3" t="s">
        <v>8052</v>
      </c>
      <c r="BD630" s="3" t="s">
        <v>8053</v>
      </c>
    </row>
    <row r="631" spans="1:56" ht="48" customHeight="1" x14ac:dyDescent="0.25">
      <c r="A631" s="7" t="s">
        <v>59</v>
      </c>
      <c r="B631" s="2" t="s">
        <v>8054</v>
      </c>
      <c r="C631" s="2" t="s">
        <v>8055</v>
      </c>
      <c r="D631" s="2" t="s">
        <v>8056</v>
      </c>
      <c r="F631" s="3" t="s">
        <v>59</v>
      </c>
      <c r="G631" s="3" t="s">
        <v>60</v>
      </c>
      <c r="H631" s="3" t="s">
        <v>70</v>
      </c>
      <c r="I631" s="3" t="s">
        <v>59</v>
      </c>
      <c r="J631" s="3" t="s">
        <v>61</v>
      </c>
      <c r="K631" s="2" t="s">
        <v>8057</v>
      </c>
      <c r="L631" s="2" t="s">
        <v>8058</v>
      </c>
      <c r="M631" s="3" t="s">
        <v>129</v>
      </c>
      <c r="O631" s="3" t="s">
        <v>64</v>
      </c>
      <c r="P631" s="3" t="s">
        <v>264</v>
      </c>
      <c r="Q631" s="2" t="s">
        <v>8059</v>
      </c>
      <c r="R631" s="3" t="s">
        <v>67</v>
      </c>
      <c r="S631" s="4">
        <v>32</v>
      </c>
      <c r="T631" s="4">
        <v>65</v>
      </c>
      <c r="U631" s="5" t="s">
        <v>8060</v>
      </c>
      <c r="V631" s="5" t="s">
        <v>8060</v>
      </c>
      <c r="W631" s="5" t="s">
        <v>1946</v>
      </c>
      <c r="X631" s="5" t="s">
        <v>1946</v>
      </c>
      <c r="Y631" s="4">
        <v>243</v>
      </c>
      <c r="Z631" s="4">
        <v>181</v>
      </c>
      <c r="AA631" s="4">
        <v>204</v>
      </c>
      <c r="AB631" s="4">
        <v>2</v>
      </c>
      <c r="AC631" s="4">
        <v>2</v>
      </c>
      <c r="AD631" s="4">
        <v>4</v>
      </c>
      <c r="AE631" s="4">
        <v>4</v>
      </c>
      <c r="AF631" s="4">
        <v>1</v>
      </c>
      <c r="AG631" s="4">
        <v>1</v>
      </c>
      <c r="AH631" s="4">
        <v>0</v>
      </c>
      <c r="AI631" s="4">
        <v>0</v>
      </c>
      <c r="AJ631" s="4">
        <v>4</v>
      </c>
      <c r="AK631" s="4">
        <v>4</v>
      </c>
      <c r="AL631" s="4">
        <v>0</v>
      </c>
      <c r="AM631" s="4">
        <v>0</v>
      </c>
      <c r="AN631" s="4">
        <v>0</v>
      </c>
      <c r="AO631" s="4">
        <v>0</v>
      </c>
      <c r="AP631" s="3" t="s">
        <v>59</v>
      </c>
      <c r="AQ631" s="3" t="s">
        <v>70</v>
      </c>
      <c r="AR631" s="6" t="str">
        <f>HYPERLINK("http://catalog.hathitrust.org/Record/003191007","HathiTrust Record")</f>
        <v>HathiTrust Record</v>
      </c>
      <c r="AS631" s="6" t="str">
        <f>HYPERLINK("https://creighton-primo.hosted.exlibrisgroup.com/primo-explore/search?tab=default_tab&amp;search_scope=EVERYTHING&amp;vid=01CRU&amp;lang=en_US&amp;offset=0&amp;query=any,contains,991001793849702656","Catalog Record")</f>
        <v>Catalog Record</v>
      </c>
      <c r="AT631" s="6" t="str">
        <f>HYPERLINK("http://www.worldcat.org/oclc/25412518","WorldCat Record")</f>
        <v>WorldCat Record</v>
      </c>
      <c r="AU631" s="3" t="s">
        <v>8061</v>
      </c>
      <c r="AV631" s="3" t="s">
        <v>8062</v>
      </c>
      <c r="AW631" s="3" t="s">
        <v>8063</v>
      </c>
      <c r="AX631" s="3" t="s">
        <v>8063</v>
      </c>
      <c r="AY631" s="3" t="s">
        <v>8064</v>
      </c>
      <c r="AZ631" s="3" t="s">
        <v>75</v>
      </c>
      <c r="BB631" s="3" t="s">
        <v>8065</v>
      </c>
      <c r="BC631" s="3" t="s">
        <v>8066</v>
      </c>
      <c r="BD631" s="3" t="s">
        <v>8067</v>
      </c>
    </row>
    <row r="632" spans="1:56" ht="48" customHeight="1" x14ac:dyDescent="0.25">
      <c r="A632" s="7" t="s">
        <v>59</v>
      </c>
      <c r="B632" s="2" t="s">
        <v>8068</v>
      </c>
      <c r="C632" s="2" t="s">
        <v>8069</v>
      </c>
      <c r="D632" s="2" t="s">
        <v>8070</v>
      </c>
      <c r="F632" s="3" t="s">
        <v>59</v>
      </c>
      <c r="G632" s="3" t="s">
        <v>60</v>
      </c>
      <c r="H632" s="3" t="s">
        <v>59</v>
      </c>
      <c r="I632" s="3" t="s">
        <v>59</v>
      </c>
      <c r="J632" s="3" t="s">
        <v>61</v>
      </c>
      <c r="K632" s="2" t="s">
        <v>8071</v>
      </c>
      <c r="L632" s="2" t="s">
        <v>5251</v>
      </c>
      <c r="M632" s="3" t="s">
        <v>485</v>
      </c>
      <c r="O632" s="3" t="s">
        <v>64</v>
      </c>
      <c r="P632" s="3" t="s">
        <v>912</v>
      </c>
      <c r="R632" s="3" t="s">
        <v>67</v>
      </c>
      <c r="S632" s="4">
        <v>19</v>
      </c>
      <c r="T632" s="4">
        <v>19</v>
      </c>
      <c r="U632" s="5" t="s">
        <v>8072</v>
      </c>
      <c r="V632" s="5" t="s">
        <v>8072</v>
      </c>
      <c r="W632" s="5" t="s">
        <v>7758</v>
      </c>
      <c r="X632" s="5" t="s">
        <v>7758</v>
      </c>
      <c r="Y632" s="4">
        <v>300</v>
      </c>
      <c r="Z632" s="4">
        <v>212</v>
      </c>
      <c r="AA632" s="4">
        <v>212</v>
      </c>
      <c r="AB632" s="4">
        <v>3</v>
      </c>
      <c r="AC632" s="4">
        <v>3</v>
      </c>
      <c r="AD632" s="4">
        <v>6</v>
      </c>
      <c r="AE632" s="4">
        <v>6</v>
      </c>
      <c r="AF632" s="4">
        <v>1</v>
      </c>
      <c r="AG632" s="4">
        <v>1</v>
      </c>
      <c r="AH632" s="4">
        <v>3</v>
      </c>
      <c r="AI632" s="4">
        <v>3</v>
      </c>
      <c r="AJ632" s="4">
        <v>2</v>
      </c>
      <c r="AK632" s="4">
        <v>2</v>
      </c>
      <c r="AL632" s="4">
        <v>2</v>
      </c>
      <c r="AM632" s="4">
        <v>2</v>
      </c>
      <c r="AN632" s="4">
        <v>0</v>
      </c>
      <c r="AO632" s="4">
        <v>0</v>
      </c>
      <c r="AP632" s="3" t="s">
        <v>59</v>
      </c>
      <c r="AQ632" s="3" t="s">
        <v>59</v>
      </c>
      <c r="AS632" s="6" t="str">
        <f>HYPERLINK("https://creighton-primo.hosted.exlibrisgroup.com/primo-explore/search?tab=default_tab&amp;search_scope=EVERYTHING&amp;vid=01CRU&amp;lang=en_US&amp;offset=0&amp;query=any,contains,991004607569702656","Catalog Record")</f>
        <v>Catalog Record</v>
      </c>
      <c r="AT632" s="6" t="str">
        <f>HYPERLINK("http://www.worldcat.org/oclc/4195228","WorldCat Record")</f>
        <v>WorldCat Record</v>
      </c>
      <c r="AU632" s="3" t="s">
        <v>8073</v>
      </c>
      <c r="AV632" s="3" t="s">
        <v>8074</v>
      </c>
      <c r="AW632" s="3" t="s">
        <v>8075</v>
      </c>
      <c r="AX632" s="3" t="s">
        <v>8075</v>
      </c>
      <c r="AY632" s="3" t="s">
        <v>8076</v>
      </c>
      <c r="AZ632" s="3" t="s">
        <v>75</v>
      </c>
      <c r="BB632" s="3" t="s">
        <v>8077</v>
      </c>
      <c r="BC632" s="3" t="s">
        <v>8078</v>
      </c>
      <c r="BD632" s="3" t="s">
        <v>8079</v>
      </c>
    </row>
    <row r="633" spans="1:56" ht="48" customHeight="1" x14ac:dyDescent="0.25">
      <c r="A633" s="7" t="s">
        <v>59</v>
      </c>
      <c r="B633" s="2" t="s">
        <v>8080</v>
      </c>
      <c r="C633" s="2" t="s">
        <v>8081</v>
      </c>
      <c r="D633" s="2" t="s">
        <v>8082</v>
      </c>
      <c r="F633" s="3" t="s">
        <v>59</v>
      </c>
      <c r="G633" s="3" t="s">
        <v>60</v>
      </c>
      <c r="H633" s="3" t="s">
        <v>59</v>
      </c>
      <c r="I633" s="3" t="s">
        <v>59</v>
      </c>
      <c r="J633" s="3" t="s">
        <v>61</v>
      </c>
      <c r="K633" s="2" t="s">
        <v>8083</v>
      </c>
      <c r="L633" s="2" t="s">
        <v>8084</v>
      </c>
      <c r="M633" s="3" t="s">
        <v>443</v>
      </c>
      <c r="O633" s="3" t="s">
        <v>64</v>
      </c>
      <c r="P633" s="3" t="s">
        <v>176</v>
      </c>
      <c r="R633" s="3" t="s">
        <v>67</v>
      </c>
      <c r="S633" s="4">
        <v>9</v>
      </c>
      <c r="T633" s="4">
        <v>9</v>
      </c>
      <c r="U633" s="5" t="s">
        <v>8085</v>
      </c>
      <c r="V633" s="5" t="s">
        <v>8085</v>
      </c>
      <c r="W633" s="5" t="s">
        <v>8086</v>
      </c>
      <c r="X633" s="5" t="s">
        <v>8086</v>
      </c>
      <c r="Y633" s="4">
        <v>231</v>
      </c>
      <c r="Z633" s="4">
        <v>151</v>
      </c>
      <c r="AA633" s="4">
        <v>159</v>
      </c>
      <c r="AB633" s="4">
        <v>2</v>
      </c>
      <c r="AC633" s="4">
        <v>2</v>
      </c>
      <c r="AD633" s="4">
        <v>3</v>
      </c>
      <c r="AE633" s="4">
        <v>3</v>
      </c>
      <c r="AF633" s="4">
        <v>1</v>
      </c>
      <c r="AG633" s="4">
        <v>1</v>
      </c>
      <c r="AH633" s="4">
        <v>1</v>
      </c>
      <c r="AI633" s="4">
        <v>1</v>
      </c>
      <c r="AJ633" s="4">
        <v>0</v>
      </c>
      <c r="AK633" s="4">
        <v>0</v>
      </c>
      <c r="AL633" s="4">
        <v>1</v>
      </c>
      <c r="AM633" s="4">
        <v>1</v>
      </c>
      <c r="AN633" s="4">
        <v>0</v>
      </c>
      <c r="AO633" s="4">
        <v>0</v>
      </c>
      <c r="AP633" s="3" t="s">
        <v>59</v>
      </c>
      <c r="AQ633" s="3" t="s">
        <v>70</v>
      </c>
      <c r="AR633" s="6" t="str">
        <f>HYPERLINK("http://catalog.hathitrust.org/Record/009915385","HathiTrust Record")</f>
        <v>HathiTrust Record</v>
      </c>
      <c r="AS633" s="6" t="str">
        <f>HYPERLINK("https://creighton-primo.hosted.exlibrisgroup.com/primo-explore/search?tab=default_tab&amp;search_scope=EVERYTHING&amp;vid=01CRU&amp;lang=en_US&amp;offset=0&amp;query=any,contains,991003155729702656","Catalog Record")</f>
        <v>Catalog Record</v>
      </c>
      <c r="AT633" s="6" t="str">
        <f>HYPERLINK("http://www.worldcat.org/oclc/695188","WorldCat Record")</f>
        <v>WorldCat Record</v>
      </c>
      <c r="AU633" s="3" t="s">
        <v>8087</v>
      </c>
      <c r="AV633" s="3" t="s">
        <v>8088</v>
      </c>
      <c r="AW633" s="3" t="s">
        <v>8089</v>
      </c>
      <c r="AX633" s="3" t="s">
        <v>8089</v>
      </c>
      <c r="AY633" s="3" t="s">
        <v>8090</v>
      </c>
      <c r="AZ633" s="3" t="s">
        <v>75</v>
      </c>
      <c r="BB633" s="3" t="s">
        <v>8091</v>
      </c>
      <c r="BC633" s="3" t="s">
        <v>8092</v>
      </c>
      <c r="BD633" s="3" t="s">
        <v>8093</v>
      </c>
    </row>
    <row r="634" spans="1:56" ht="48" customHeight="1" x14ac:dyDescent="0.25">
      <c r="A634" s="7" t="s">
        <v>59</v>
      </c>
      <c r="B634" s="2" t="s">
        <v>8094</v>
      </c>
      <c r="C634" s="2" t="s">
        <v>8095</v>
      </c>
      <c r="D634" s="2" t="s">
        <v>8096</v>
      </c>
      <c r="F634" s="3" t="s">
        <v>59</v>
      </c>
      <c r="G634" s="3" t="s">
        <v>60</v>
      </c>
      <c r="H634" s="3" t="s">
        <v>59</v>
      </c>
      <c r="I634" s="3" t="s">
        <v>59</v>
      </c>
      <c r="J634" s="3" t="s">
        <v>61</v>
      </c>
      <c r="K634" s="2" t="s">
        <v>8097</v>
      </c>
      <c r="L634" s="2" t="s">
        <v>8098</v>
      </c>
      <c r="M634" s="3" t="s">
        <v>319</v>
      </c>
      <c r="O634" s="3" t="s">
        <v>64</v>
      </c>
      <c r="P634" s="3" t="s">
        <v>8099</v>
      </c>
      <c r="R634" s="3" t="s">
        <v>67</v>
      </c>
      <c r="S634" s="4">
        <v>3</v>
      </c>
      <c r="T634" s="4">
        <v>3</v>
      </c>
      <c r="U634" s="5" t="s">
        <v>8100</v>
      </c>
      <c r="V634" s="5" t="s">
        <v>8100</v>
      </c>
      <c r="W634" s="5" t="s">
        <v>8101</v>
      </c>
      <c r="X634" s="5" t="s">
        <v>8101</v>
      </c>
      <c r="Y634" s="4">
        <v>216</v>
      </c>
      <c r="Z634" s="4">
        <v>119</v>
      </c>
      <c r="AA634" s="4">
        <v>124</v>
      </c>
      <c r="AB634" s="4">
        <v>2</v>
      </c>
      <c r="AC634" s="4">
        <v>2</v>
      </c>
      <c r="AD634" s="4">
        <v>6</v>
      </c>
      <c r="AE634" s="4">
        <v>6</v>
      </c>
      <c r="AF634" s="4">
        <v>1</v>
      </c>
      <c r="AG634" s="4">
        <v>1</v>
      </c>
      <c r="AH634" s="4">
        <v>2</v>
      </c>
      <c r="AI634" s="4">
        <v>2</v>
      </c>
      <c r="AJ634" s="4">
        <v>5</v>
      </c>
      <c r="AK634" s="4">
        <v>5</v>
      </c>
      <c r="AL634" s="4">
        <v>1</v>
      </c>
      <c r="AM634" s="4">
        <v>1</v>
      </c>
      <c r="AN634" s="4">
        <v>0</v>
      </c>
      <c r="AO634" s="4">
        <v>0</v>
      </c>
      <c r="AP634" s="3" t="s">
        <v>59</v>
      </c>
      <c r="AQ634" s="3" t="s">
        <v>59</v>
      </c>
      <c r="AS634" s="6" t="str">
        <f>HYPERLINK("https://creighton-primo.hosted.exlibrisgroup.com/primo-explore/search?tab=default_tab&amp;search_scope=EVERYTHING&amp;vid=01CRU&amp;lang=en_US&amp;offset=0&amp;query=any,contains,991000544879702656","Catalog Record")</f>
        <v>Catalog Record</v>
      </c>
      <c r="AT634" s="6" t="str">
        <f>HYPERLINK("http://www.worldcat.org/oclc/13359276","WorldCat Record")</f>
        <v>WorldCat Record</v>
      </c>
      <c r="AU634" s="3" t="s">
        <v>8102</v>
      </c>
      <c r="AV634" s="3" t="s">
        <v>8103</v>
      </c>
      <c r="AW634" s="3" t="s">
        <v>8104</v>
      </c>
      <c r="AX634" s="3" t="s">
        <v>8104</v>
      </c>
      <c r="AY634" s="3" t="s">
        <v>8105</v>
      </c>
      <c r="AZ634" s="3" t="s">
        <v>75</v>
      </c>
      <c r="BB634" s="3" t="s">
        <v>8106</v>
      </c>
      <c r="BC634" s="3" t="s">
        <v>8107</v>
      </c>
      <c r="BD634" s="3" t="s">
        <v>8108</v>
      </c>
    </row>
    <row r="635" spans="1:56" ht="48" customHeight="1" x14ac:dyDescent="0.25">
      <c r="A635" s="7" t="s">
        <v>59</v>
      </c>
      <c r="B635" s="2" t="s">
        <v>8109</v>
      </c>
      <c r="C635" s="2" t="s">
        <v>8110</v>
      </c>
      <c r="D635" s="2" t="s">
        <v>8111</v>
      </c>
      <c r="F635" s="3" t="s">
        <v>59</v>
      </c>
      <c r="G635" s="3" t="s">
        <v>60</v>
      </c>
      <c r="H635" s="3" t="s">
        <v>59</v>
      </c>
      <c r="I635" s="3" t="s">
        <v>70</v>
      </c>
      <c r="J635" s="3" t="s">
        <v>61</v>
      </c>
      <c r="K635" s="2" t="s">
        <v>8112</v>
      </c>
      <c r="L635" s="2" t="s">
        <v>2336</v>
      </c>
      <c r="M635" s="3" t="s">
        <v>604</v>
      </c>
      <c r="O635" s="3" t="s">
        <v>64</v>
      </c>
      <c r="P635" s="3" t="s">
        <v>674</v>
      </c>
      <c r="R635" s="3" t="s">
        <v>67</v>
      </c>
      <c r="S635" s="4">
        <v>5</v>
      </c>
      <c r="T635" s="4">
        <v>5</v>
      </c>
      <c r="U635" s="5" t="s">
        <v>8060</v>
      </c>
      <c r="V635" s="5" t="s">
        <v>8060</v>
      </c>
      <c r="W635" s="5" t="s">
        <v>8113</v>
      </c>
      <c r="X635" s="5" t="s">
        <v>8113</v>
      </c>
      <c r="Y635" s="4">
        <v>330</v>
      </c>
      <c r="Z635" s="4">
        <v>242</v>
      </c>
      <c r="AA635" s="4">
        <v>490</v>
      </c>
      <c r="AB635" s="4">
        <v>3</v>
      </c>
      <c r="AC635" s="4">
        <v>7</v>
      </c>
      <c r="AD635" s="4">
        <v>8</v>
      </c>
      <c r="AE635" s="4">
        <v>17</v>
      </c>
      <c r="AF635" s="4">
        <v>3</v>
      </c>
      <c r="AG635" s="4">
        <v>9</v>
      </c>
      <c r="AH635" s="4">
        <v>2</v>
      </c>
      <c r="AI635" s="4">
        <v>3</v>
      </c>
      <c r="AJ635" s="4">
        <v>2</v>
      </c>
      <c r="AK635" s="4">
        <v>5</v>
      </c>
      <c r="AL635" s="4">
        <v>2</v>
      </c>
      <c r="AM635" s="4">
        <v>4</v>
      </c>
      <c r="AN635" s="4">
        <v>0</v>
      </c>
      <c r="AO635" s="4">
        <v>0</v>
      </c>
      <c r="AP635" s="3" t="s">
        <v>59</v>
      </c>
      <c r="AQ635" s="3" t="s">
        <v>70</v>
      </c>
      <c r="AR635" s="6" t="str">
        <f>HYPERLINK("http://catalog.hathitrust.org/Record/003101850","HathiTrust Record")</f>
        <v>HathiTrust Record</v>
      </c>
      <c r="AS635" s="6" t="str">
        <f>HYPERLINK("https://creighton-primo.hosted.exlibrisgroup.com/primo-explore/search?tab=default_tab&amp;search_scope=EVERYTHING&amp;vid=01CRU&amp;lang=en_US&amp;offset=0&amp;query=any,contains,991002409789702656","Catalog Record")</f>
        <v>Catalog Record</v>
      </c>
      <c r="AT635" s="6" t="str">
        <f>HYPERLINK("http://www.worldcat.org/oclc/31374201","WorldCat Record")</f>
        <v>WorldCat Record</v>
      </c>
      <c r="AU635" s="3" t="s">
        <v>8114</v>
      </c>
      <c r="AV635" s="3" t="s">
        <v>8115</v>
      </c>
      <c r="AW635" s="3" t="s">
        <v>8116</v>
      </c>
      <c r="AX635" s="3" t="s">
        <v>8116</v>
      </c>
      <c r="AY635" s="3" t="s">
        <v>8117</v>
      </c>
      <c r="AZ635" s="3" t="s">
        <v>75</v>
      </c>
      <c r="BB635" s="3" t="s">
        <v>8118</v>
      </c>
      <c r="BC635" s="3" t="s">
        <v>8119</v>
      </c>
      <c r="BD635" s="3" t="s">
        <v>8120</v>
      </c>
    </row>
    <row r="636" spans="1:56" ht="48" customHeight="1" x14ac:dyDescent="0.25">
      <c r="A636" s="7" t="s">
        <v>59</v>
      </c>
      <c r="B636" s="2" t="s">
        <v>8121</v>
      </c>
      <c r="C636" s="2" t="s">
        <v>8122</v>
      </c>
      <c r="D636" s="2" t="s">
        <v>8123</v>
      </c>
      <c r="F636" s="3" t="s">
        <v>59</v>
      </c>
      <c r="G636" s="3" t="s">
        <v>60</v>
      </c>
      <c r="H636" s="3" t="s">
        <v>59</v>
      </c>
      <c r="I636" s="3" t="s">
        <v>59</v>
      </c>
      <c r="J636" s="3" t="s">
        <v>61</v>
      </c>
      <c r="K636" s="2" t="s">
        <v>8124</v>
      </c>
      <c r="L636" s="2" t="s">
        <v>8125</v>
      </c>
      <c r="M636" s="3" t="s">
        <v>925</v>
      </c>
      <c r="O636" s="3" t="s">
        <v>64</v>
      </c>
      <c r="P636" s="3" t="s">
        <v>130</v>
      </c>
      <c r="R636" s="3" t="s">
        <v>67</v>
      </c>
      <c r="S636" s="4">
        <v>3</v>
      </c>
      <c r="T636" s="4">
        <v>3</v>
      </c>
      <c r="U636" s="5" t="s">
        <v>8126</v>
      </c>
      <c r="V636" s="5" t="s">
        <v>8126</v>
      </c>
      <c r="W636" s="5" t="s">
        <v>8127</v>
      </c>
      <c r="X636" s="5" t="s">
        <v>8127</v>
      </c>
      <c r="Y636" s="4">
        <v>560</v>
      </c>
      <c r="Z636" s="4">
        <v>507</v>
      </c>
      <c r="AA636" s="4">
        <v>530</v>
      </c>
      <c r="AB636" s="4">
        <v>2</v>
      </c>
      <c r="AC636" s="4">
        <v>2</v>
      </c>
      <c r="AD636" s="4">
        <v>16</v>
      </c>
      <c r="AE636" s="4">
        <v>17</v>
      </c>
      <c r="AF636" s="4">
        <v>7</v>
      </c>
      <c r="AG636" s="4">
        <v>7</v>
      </c>
      <c r="AH636" s="4">
        <v>3</v>
      </c>
      <c r="AI636" s="4">
        <v>3</v>
      </c>
      <c r="AJ636" s="4">
        <v>12</v>
      </c>
      <c r="AK636" s="4">
        <v>13</v>
      </c>
      <c r="AL636" s="4">
        <v>1</v>
      </c>
      <c r="AM636" s="4">
        <v>1</v>
      </c>
      <c r="AN636" s="4">
        <v>0</v>
      </c>
      <c r="AO636" s="4">
        <v>0</v>
      </c>
      <c r="AP636" s="3" t="s">
        <v>59</v>
      </c>
      <c r="AQ636" s="3" t="s">
        <v>70</v>
      </c>
      <c r="AR636" s="6" t="str">
        <f>HYPERLINK("http://catalog.hathitrust.org/Record/003993512","HathiTrust Record")</f>
        <v>HathiTrust Record</v>
      </c>
      <c r="AS636" s="6" t="str">
        <f>HYPERLINK("https://creighton-primo.hosted.exlibrisgroup.com/primo-explore/search?tab=default_tab&amp;search_scope=EVERYTHING&amp;vid=01CRU&amp;lang=en_US&amp;offset=0&amp;query=any,contains,991002948759702656","Catalog Record")</f>
        <v>Catalog Record</v>
      </c>
      <c r="AT636" s="6" t="str">
        <f>HYPERLINK("http://www.worldcat.org/oclc/39282399","WorldCat Record")</f>
        <v>WorldCat Record</v>
      </c>
      <c r="AU636" s="3" t="s">
        <v>8128</v>
      </c>
      <c r="AV636" s="3" t="s">
        <v>8129</v>
      </c>
      <c r="AW636" s="3" t="s">
        <v>8130</v>
      </c>
      <c r="AX636" s="3" t="s">
        <v>8130</v>
      </c>
      <c r="AY636" s="3" t="s">
        <v>8131</v>
      </c>
      <c r="AZ636" s="3" t="s">
        <v>75</v>
      </c>
      <c r="BB636" s="3" t="s">
        <v>8132</v>
      </c>
      <c r="BC636" s="3" t="s">
        <v>8133</v>
      </c>
      <c r="BD636" s="3" t="s">
        <v>8134</v>
      </c>
    </row>
    <row r="637" spans="1:56" ht="48" customHeight="1" x14ac:dyDescent="0.25">
      <c r="A637" s="7" t="s">
        <v>59</v>
      </c>
      <c r="B637" s="2" t="s">
        <v>8135</v>
      </c>
      <c r="C637" s="2" t="s">
        <v>8136</v>
      </c>
      <c r="D637" s="2" t="s">
        <v>8137</v>
      </c>
      <c r="F637" s="3" t="s">
        <v>59</v>
      </c>
      <c r="G637" s="3" t="s">
        <v>60</v>
      </c>
      <c r="H637" s="3" t="s">
        <v>59</v>
      </c>
      <c r="I637" s="3" t="s">
        <v>59</v>
      </c>
      <c r="J637" s="3" t="s">
        <v>61</v>
      </c>
      <c r="K637" s="2" t="s">
        <v>8138</v>
      </c>
      <c r="L637" s="2" t="s">
        <v>8139</v>
      </c>
      <c r="M637" s="3" t="s">
        <v>604</v>
      </c>
      <c r="O637" s="3" t="s">
        <v>64</v>
      </c>
      <c r="P637" s="3" t="s">
        <v>84</v>
      </c>
      <c r="R637" s="3" t="s">
        <v>67</v>
      </c>
      <c r="S637" s="4">
        <v>3</v>
      </c>
      <c r="T637" s="4">
        <v>3</v>
      </c>
      <c r="U637" s="5" t="s">
        <v>8140</v>
      </c>
      <c r="V637" s="5" t="s">
        <v>8140</v>
      </c>
      <c r="W637" s="5" t="s">
        <v>7873</v>
      </c>
      <c r="X637" s="5" t="s">
        <v>7873</v>
      </c>
      <c r="Y637" s="4">
        <v>235</v>
      </c>
      <c r="Z637" s="4">
        <v>172</v>
      </c>
      <c r="AA637" s="4">
        <v>175</v>
      </c>
      <c r="AB637" s="4">
        <v>3</v>
      </c>
      <c r="AC637" s="4">
        <v>3</v>
      </c>
      <c r="AD637" s="4">
        <v>7</v>
      </c>
      <c r="AE637" s="4">
        <v>7</v>
      </c>
      <c r="AF637" s="4">
        <v>1</v>
      </c>
      <c r="AG637" s="4">
        <v>1</v>
      </c>
      <c r="AH637" s="4">
        <v>2</v>
      </c>
      <c r="AI637" s="4">
        <v>2</v>
      </c>
      <c r="AJ637" s="4">
        <v>3</v>
      </c>
      <c r="AK637" s="4">
        <v>3</v>
      </c>
      <c r="AL637" s="4">
        <v>2</v>
      </c>
      <c r="AM637" s="4">
        <v>2</v>
      </c>
      <c r="AN637" s="4">
        <v>0</v>
      </c>
      <c r="AO637" s="4">
        <v>0</v>
      </c>
      <c r="AP637" s="3" t="s">
        <v>59</v>
      </c>
      <c r="AQ637" s="3" t="s">
        <v>59</v>
      </c>
      <c r="AS637" s="6" t="str">
        <f>HYPERLINK("https://creighton-primo.hosted.exlibrisgroup.com/primo-explore/search?tab=default_tab&amp;search_scope=EVERYTHING&amp;vid=01CRU&amp;lang=en_US&amp;offset=0&amp;query=any,contains,991002292309702656","Catalog Record")</f>
        <v>Catalog Record</v>
      </c>
      <c r="AT637" s="6" t="str">
        <f>HYPERLINK("http://www.worldcat.org/oclc/29703669","WorldCat Record")</f>
        <v>WorldCat Record</v>
      </c>
      <c r="AU637" s="3" t="s">
        <v>8141</v>
      </c>
      <c r="AV637" s="3" t="s">
        <v>8142</v>
      </c>
      <c r="AW637" s="3" t="s">
        <v>8143</v>
      </c>
      <c r="AX637" s="3" t="s">
        <v>8143</v>
      </c>
      <c r="AY637" s="3" t="s">
        <v>8144</v>
      </c>
      <c r="AZ637" s="3" t="s">
        <v>75</v>
      </c>
      <c r="BB637" s="3" t="s">
        <v>8145</v>
      </c>
      <c r="BC637" s="3" t="s">
        <v>8146</v>
      </c>
      <c r="BD637" s="3" t="s">
        <v>8147</v>
      </c>
    </row>
    <row r="638" spans="1:56" ht="48" customHeight="1" x14ac:dyDescent="0.25">
      <c r="A638" s="7" t="s">
        <v>59</v>
      </c>
      <c r="B638" s="2" t="s">
        <v>8148</v>
      </c>
      <c r="C638" s="2" t="s">
        <v>8149</v>
      </c>
      <c r="D638" s="2" t="s">
        <v>8150</v>
      </c>
      <c r="F638" s="3" t="s">
        <v>59</v>
      </c>
      <c r="G638" s="3" t="s">
        <v>60</v>
      </c>
      <c r="H638" s="3" t="s">
        <v>59</v>
      </c>
      <c r="I638" s="3" t="s">
        <v>59</v>
      </c>
      <c r="J638" s="3" t="s">
        <v>61</v>
      </c>
      <c r="L638" s="2" t="s">
        <v>8151</v>
      </c>
      <c r="M638" s="3" t="s">
        <v>519</v>
      </c>
      <c r="O638" s="3" t="s">
        <v>64</v>
      </c>
      <c r="P638" s="3" t="s">
        <v>8152</v>
      </c>
      <c r="Q638" s="2" t="s">
        <v>8153</v>
      </c>
      <c r="R638" s="3" t="s">
        <v>67</v>
      </c>
      <c r="S638" s="4">
        <v>4</v>
      </c>
      <c r="T638" s="4">
        <v>4</v>
      </c>
      <c r="U638" s="5" t="s">
        <v>8154</v>
      </c>
      <c r="V638" s="5" t="s">
        <v>8154</v>
      </c>
      <c r="W638" s="5" t="s">
        <v>4462</v>
      </c>
      <c r="X638" s="5" t="s">
        <v>4462</v>
      </c>
      <c r="Y638" s="4">
        <v>55</v>
      </c>
      <c r="Z638" s="4">
        <v>28</v>
      </c>
      <c r="AA638" s="4">
        <v>29</v>
      </c>
      <c r="AB638" s="4">
        <v>1</v>
      </c>
      <c r="AC638" s="4">
        <v>1</v>
      </c>
      <c r="AD638" s="4">
        <v>0</v>
      </c>
      <c r="AE638" s="4">
        <v>0</v>
      </c>
      <c r="AF638" s="4">
        <v>0</v>
      </c>
      <c r="AG638" s="4">
        <v>0</v>
      </c>
      <c r="AH638" s="4">
        <v>0</v>
      </c>
      <c r="AI638" s="4">
        <v>0</v>
      </c>
      <c r="AJ638" s="4">
        <v>0</v>
      </c>
      <c r="AK638" s="4">
        <v>0</v>
      </c>
      <c r="AL638" s="4">
        <v>0</v>
      </c>
      <c r="AM638" s="4">
        <v>0</v>
      </c>
      <c r="AN638" s="4">
        <v>0</v>
      </c>
      <c r="AO638" s="4">
        <v>0</v>
      </c>
      <c r="AP638" s="3" t="s">
        <v>59</v>
      </c>
      <c r="AQ638" s="3" t="s">
        <v>70</v>
      </c>
      <c r="AR638" s="6" t="str">
        <f>HYPERLINK("http://catalog.hathitrust.org/Record/007207037","HathiTrust Record")</f>
        <v>HathiTrust Record</v>
      </c>
      <c r="AS638" s="6" t="str">
        <f>HYPERLINK("https://creighton-primo.hosted.exlibrisgroup.com/primo-explore/search?tab=default_tab&amp;search_scope=EVERYTHING&amp;vid=01CRU&amp;lang=en_US&amp;offset=0&amp;query=any,contains,991002525329702656","Catalog Record")</f>
        <v>Catalog Record</v>
      </c>
      <c r="AT638" s="6" t="str">
        <f>HYPERLINK("http://www.worldcat.org/oclc/32846037","WorldCat Record")</f>
        <v>WorldCat Record</v>
      </c>
      <c r="AU638" s="3" t="s">
        <v>8155</v>
      </c>
      <c r="AV638" s="3" t="s">
        <v>8156</v>
      </c>
      <c r="AW638" s="3" t="s">
        <v>8157</v>
      </c>
      <c r="AX638" s="3" t="s">
        <v>8157</v>
      </c>
      <c r="AY638" s="3" t="s">
        <v>8158</v>
      </c>
      <c r="AZ638" s="3" t="s">
        <v>75</v>
      </c>
      <c r="BB638" s="3" t="s">
        <v>8159</v>
      </c>
      <c r="BC638" s="3" t="s">
        <v>8160</v>
      </c>
      <c r="BD638" s="3" t="s">
        <v>8161</v>
      </c>
    </row>
    <row r="639" spans="1:56" ht="48" customHeight="1" x14ac:dyDescent="0.25">
      <c r="A639" s="7" t="s">
        <v>59</v>
      </c>
      <c r="B639" s="2" t="s">
        <v>8162</v>
      </c>
      <c r="C639" s="2" t="s">
        <v>8163</v>
      </c>
      <c r="D639" s="2" t="s">
        <v>8164</v>
      </c>
      <c r="F639" s="3" t="s">
        <v>59</v>
      </c>
      <c r="G639" s="3" t="s">
        <v>60</v>
      </c>
      <c r="H639" s="3" t="s">
        <v>59</v>
      </c>
      <c r="I639" s="3" t="s">
        <v>59</v>
      </c>
      <c r="J639" s="3" t="s">
        <v>61</v>
      </c>
      <c r="L639" s="2" t="s">
        <v>8165</v>
      </c>
      <c r="M639" s="3" t="s">
        <v>897</v>
      </c>
      <c r="O639" s="3" t="s">
        <v>64</v>
      </c>
      <c r="P639" s="3" t="s">
        <v>130</v>
      </c>
      <c r="Q639" s="2" t="s">
        <v>8166</v>
      </c>
      <c r="R639" s="3" t="s">
        <v>67</v>
      </c>
      <c r="S639" s="4">
        <v>6</v>
      </c>
      <c r="T639" s="4">
        <v>6</v>
      </c>
      <c r="U639" s="5" t="s">
        <v>3433</v>
      </c>
      <c r="V639" s="5" t="s">
        <v>3433</v>
      </c>
      <c r="W639" s="5" t="s">
        <v>7334</v>
      </c>
      <c r="X639" s="5" t="s">
        <v>7334</v>
      </c>
      <c r="Y639" s="4">
        <v>123</v>
      </c>
      <c r="Z639" s="4">
        <v>98</v>
      </c>
      <c r="AA639" s="4">
        <v>105</v>
      </c>
      <c r="AB639" s="4">
        <v>1</v>
      </c>
      <c r="AC639" s="4">
        <v>1</v>
      </c>
      <c r="AD639" s="4">
        <v>2</v>
      </c>
      <c r="AE639" s="4">
        <v>2</v>
      </c>
      <c r="AF639" s="4">
        <v>0</v>
      </c>
      <c r="AG639" s="4">
        <v>0</v>
      </c>
      <c r="AH639" s="4">
        <v>1</v>
      </c>
      <c r="AI639" s="4">
        <v>1</v>
      </c>
      <c r="AJ639" s="4">
        <v>2</v>
      </c>
      <c r="AK639" s="4">
        <v>2</v>
      </c>
      <c r="AL639" s="4">
        <v>0</v>
      </c>
      <c r="AM639" s="4">
        <v>0</v>
      </c>
      <c r="AN639" s="4">
        <v>0</v>
      </c>
      <c r="AO639" s="4">
        <v>0</v>
      </c>
      <c r="AP639" s="3" t="s">
        <v>59</v>
      </c>
      <c r="AQ639" s="3" t="s">
        <v>70</v>
      </c>
      <c r="AR639" s="6" t="str">
        <f>HYPERLINK("http://catalog.hathitrust.org/Record/002493181","HathiTrust Record")</f>
        <v>HathiTrust Record</v>
      </c>
      <c r="AS639" s="6" t="str">
        <f>HYPERLINK("https://creighton-primo.hosted.exlibrisgroup.com/primo-explore/search?tab=default_tab&amp;search_scope=EVERYTHING&amp;vid=01CRU&amp;lang=en_US&amp;offset=0&amp;query=any,contains,991001889989702656","Catalog Record")</f>
        <v>Catalog Record</v>
      </c>
      <c r="AT639" s="6" t="str">
        <f>HYPERLINK("http://www.worldcat.org/oclc/23868152","WorldCat Record")</f>
        <v>WorldCat Record</v>
      </c>
      <c r="AU639" s="3" t="s">
        <v>8167</v>
      </c>
      <c r="AV639" s="3" t="s">
        <v>8168</v>
      </c>
      <c r="AW639" s="3" t="s">
        <v>8169</v>
      </c>
      <c r="AX639" s="3" t="s">
        <v>8169</v>
      </c>
      <c r="AY639" s="3" t="s">
        <v>8170</v>
      </c>
      <c r="AZ639" s="3" t="s">
        <v>75</v>
      </c>
      <c r="BB639" s="3" t="s">
        <v>8171</v>
      </c>
      <c r="BC639" s="3" t="s">
        <v>8172</v>
      </c>
      <c r="BD639" s="3" t="s">
        <v>8173</v>
      </c>
    </row>
    <row r="640" spans="1:56" ht="48" customHeight="1" x14ac:dyDescent="0.25">
      <c r="A640" s="7" t="s">
        <v>59</v>
      </c>
      <c r="B640" s="2" t="s">
        <v>8174</v>
      </c>
      <c r="C640" s="2" t="s">
        <v>8175</v>
      </c>
      <c r="D640" s="2" t="s">
        <v>8176</v>
      </c>
      <c r="F640" s="3" t="s">
        <v>59</v>
      </c>
      <c r="G640" s="3" t="s">
        <v>60</v>
      </c>
      <c r="H640" s="3" t="s">
        <v>59</v>
      </c>
      <c r="I640" s="3" t="s">
        <v>59</v>
      </c>
      <c r="J640" s="3" t="s">
        <v>61</v>
      </c>
      <c r="K640" s="2" t="s">
        <v>8177</v>
      </c>
      <c r="L640" s="2" t="s">
        <v>8178</v>
      </c>
      <c r="M640" s="3" t="s">
        <v>897</v>
      </c>
      <c r="N640" s="2" t="s">
        <v>731</v>
      </c>
      <c r="O640" s="3" t="s">
        <v>64</v>
      </c>
      <c r="P640" s="3" t="s">
        <v>84</v>
      </c>
      <c r="R640" s="3" t="s">
        <v>67</v>
      </c>
      <c r="S640" s="4">
        <v>21</v>
      </c>
      <c r="T640" s="4">
        <v>21</v>
      </c>
      <c r="U640" s="5" t="s">
        <v>8179</v>
      </c>
      <c r="V640" s="5" t="s">
        <v>8179</v>
      </c>
      <c r="W640" s="5" t="s">
        <v>8180</v>
      </c>
      <c r="X640" s="5" t="s">
        <v>8180</v>
      </c>
      <c r="Y640" s="4">
        <v>529</v>
      </c>
      <c r="Z640" s="4">
        <v>373</v>
      </c>
      <c r="AA640" s="4">
        <v>381</v>
      </c>
      <c r="AB640" s="4">
        <v>3</v>
      </c>
      <c r="AC640" s="4">
        <v>3</v>
      </c>
      <c r="AD640" s="4">
        <v>17</v>
      </c>
      <c r="AE640" s="4">
        <v>17</v>
      </c>
      <c r="AF640" s="4">
        <v>7</v>
      </c>
      <c r="AG640" s="4">
        <v>7</v>
      </c>
      <c r="AH640" s="4">
        <v>4</v>
      </c>
      <c r="AI640" s="4">
        <v>4</v>
      </c>
      <c r="AJ640" s="4">
        <v>11</v>
      </c>
      <c r="AK640" s="4">
        <v>11</v>
      </c>
      <c r="AL640" s="4">
        <v>2</v>
      </c>
      <c r="AM640" s="4">
        <v>2</v>
      </c>
      <c r="AN640" s="4">
        <v>0</v>
      </c>
      <c r="AO640" s="4">
        <v>0</v>
      </c>
      <c r="AP640" s="3" t="s">
        <v>59</v>
      </c>
      <c r="AQ640" s="3" t="s">
        <v>59</v>
      </c>
      <c r="AS640" s="6" t="str">
        <f>HYPERLINK("https://creighton-primo.hosted.exlibrisgroup.com/primo-explore/search?tab=default_tab&amp;search_scope=EVERYTHING&amp;vid=01CRU&amp;lang=en_US&amp;offset=0&amp;query=any,contains,991001854029702656","Catalog Record")</f>
        <v>Catalog Record</v>
      </c>
      <c r="AT640" s="6" t="str">
        <f>HYPERLINK("http://www.worldcat.org/oclc/23254606","WorldCat Record")</f>
        <v>WorldCat Record</v>
      </c>
      <c r="AU640" s="3" t="s">
        <v>8181</v>
      </c>
      <c r="AV640" s="3" t="s">
        <v>8182</v>
      </c>
      <c r="AW640" s="3" t="s">
        <v>8183</v>
      </c>
      <c r="AX640" s="3" t="s">
        <v>8183</v>
      </c>
      <c r="AY640" s="3" t="s">
        <v>8184</v>
      </c>
      <c r="AZ640" s="3" t="s">
        <v>75</v>
      </c>
      <c r="BB640" s="3" t="s">
        <v>8185</v>
      </c>
      <c r="BC640" s="3" t="s">
        <v>8186</v>
      </c>
      <c r="BD640" s="3" t="s">
        <v>8187</v>
      </c>
    </row>
    <row r="641" spans="1:56" ht="48" customHeight="1" x14ac:dyDescent="0.25">
      <c r="A641" s="7" t="s">
        <v>59</v>
      </c>
      <c r="B641" s="2" t="s">
        <v>8188</v>
      </c>
      <c r="C641" s="2" t="s">
        <v>8189</v>
      </c>
      <c r="D641" s="2" t="s">
        <v>8190</v>
      </c>
      <c r="F641" s="3" t="s">
        <v>59</v>
      </c>
      <c r="G641" s="3" t="s">
        <v>60</v>
      </c>
      <c r="H641" s="3" t="s">
        <v>59</v>
      </c>
      <c r="I641" s="3" t="s">
        <v>59</v>
      </c>
      <c r="J641" s="3" t="s">
        <v>61</v>
      </c>
      <c r="K641" s="2" t="s">
        <v>8191</v>
      </c>
      <c r="L641" s="2" t="s">
        <v>8192</v>
      </c>
      <c r="M641" s="3" t="s">
        <v>348</v>
      </c>
      <c r="O641" s="3" t="s">
        <v>64</v>
      </c>
      <c r="P641" s="3" t="s">
        <v>191</v>
      </c>
      <c r="R641" s="3" t="s">
        <v>67</v>
      </c>
      <c r="S641" s="4">
        <v>6</v>
      </c>
      <c r="T641" s="4">
        <v>6</v>
      </c>
      <c r="U641" s="5" t="s">
        <v>8193</v>
      </c>
      <c r="V641" s="5" t="s">
        <v>8193</v>
      </c>
      <c r="W641" s="5" t="s">
        <v>8194</v>
      </c>
      <c r="X641" s="5" t="s">
        <v>8194</v>
      </c>
      <c r="Y641" s="4">
        <v>188</v>
      </c>
      <c r="Z641" s="4">
        <v>153</v>
      </c>
      <c r="AA641" s="4">
        <v>163</v>
      </c>
      <c r="AB641" s="4">
        <v>1</v>
      </c>
      <c r="AC641" s="4">
        <v>1</v>
      </c>
      <c r="AD641" s="4">
        <v>3</v>
      </c>
      <c r="AE641" s="4">
        <v>3</v>
      </c>
      <c r="AF641" s="4">
        <v>1</v>
      </c>
      <c r="AG641" s="4">
        <v>1</v>
      </c>
      <c r="AH641" s="4">
        <v>2</v>
      </c>
      <c r="AI641" s="4">
        <v>2</v>
      </c>
      <c r="AJ641" s="4">
        <v>1</v>
      </c>
      <c r="AK641" s="4">
        <v>1</v>
      </c>
      <c r="AL641" s="4">
        <v>0</v>
      </c>
      <c r="AM641" s="4">
        <v>0</v>
      </c>
      <c r="AN641" s="4">
        <v>0</v>
      </c>
      <c r="AO641" s="4">
        <v>0</v>
      </c>
      <c r="AP641" s="3" t="s">
        <v>59</v>
      </c>
      <c r="AQ641" s="3" t="s">
        <v>59</v>
      </c>
      <c r="AS641" s="6" t="str">
        <f>HYPERLINK("https://creighton-primo.hosted.exlibrisgroup.com/primo-explore/search?tab=default_tab&amp;search_scope=EVERYTHING&amp;vid=01CRU&amp;lang=en_US&amp;offset=0&amp;query=any,contains,991002117539702656","Catalog Record")</f>
        <v>Catalog Record</v>
      </c>
      <c r="AT641" s="6" t="str">
        <f>HYPERLINK("http://www.worldcat.org/oclc/27144953","WorldCat Record")</f>
        <v>WorldCat Record</v>
      </c>
      <c r="AU641" s="3" t="s">
        <v>8195</v>
      </c>
      <c r="AV641" s="3" t="s">
        <v>8196</v>
      </c>
      <c r="AW641" s="3" t="s">
        <v>8197</v>
      </c>
      <c r="AX641" s="3" t="s">
        <v>8197</v>
      </c>
      <c r="AY641" s="3" t="s">
        <v>8198</v>
      </c>
      <c r="AZ641" s="3" t="s">
        <v>75</v>
      </c>
      <c r="BB641" s="3" t="s">
        <v>8199</v>
      </c>
      <c r="BC641" s="3" t="s">
        <v>8200</v>
      </c>
      <c r="BD641" s="3" t="s">
        <v>8201</v>
      </c>
    </row>
    <row r="642" spans="1:56" ht="48" customHeight="1" x14ac:dyDescent="0.25">
      <c r="A642" s="7" t="s">
        <v>59</v>
      </c>
      <c r="B642" s="2" t="s">
        <v>8202</v>
      </c>
      <c r="C642" s="2" t="s">
        <v>8203</v>
      </c>
      <c r="D642" s="2" t="s">
        <v>8204</v>
      </c>
      <c r="F642" s="3" t="s">
        <v>59</v>
      </c>
      <c r="G642" s="3" t="s">
        <v>60</v>
      </c>
      <c r="H642" s="3" t="s">
        <v>59</v>
      </c>
      <c r="I642" s="3" t="s">
        <v>59</v>
      </c>
      <c r="J642" s="3" t="s">
        <v>61</v>
      </c>
      <c r="L642" s="2" t="s">
        <v>8205</v>
      </c>
      <c r="M642" s="3" t="s">
        <v>843</v>
      </c>
      <c r="N642" s="2" t="s">
        <v>8206</v>
      </c>
      <c r="O642" s="3" t="s">
        <v>64</v>
      </c>
      <c r="P642" s="3" t="s">
        <v>1201</v>
      </c>
      <c r="R642" s="3" t="s">
        <v>67</v>
      </c>
      <c r="S642" s="4">
        <v>1</v>
      </c>
      <c r="T642" s="4">
        <v>1</v>
      </c>
      <c r="U642" s="5" t="s">
        <v>8207</v>
      </c>
      <c r="V642" s="5" t="s">
        <v>8207</v>
      </c>
      <c r="W642" s="5" t="s">
        <v>8207</v>
      </c>
      <c r="X642" s="5" t="s">
        <v>8207</v>
      </c>
      <c r="Y642" s="4">
        <v>275</v>
      </c>
      <c r="Z642" s="4">
        <v>158</v>
      </c>
      <c r="AA642" s="4">
        <v>493</v>
      </c>
      <c r="AB642" s="4">
        <v>3</v>
      </c>
      <c r="AC642" s="4">
        <v>5</v>
      </c>
      <c r="AD642" s="4">
        <v>9</v>
      </c>
      <c r="AE642" s="4">
        <v>24</v>
      </c>
      <c r="AF642" s="4">
        <v>4</v>
      </c>
      <c r="AG642" s="4">
        <v>9</v>
      </c>
      <c r="AH642" s="4">
        <v>3</v>
      </c>
      <c r="AI642" s="4">
        <v>5</v>
      </c>
      <c r="AJ642" s="4">
        <v>3</v>
      </c>
      <c r="AK642" s="4">
        <v>11</v>
      </c>
      <c r="AL642" s="4">
        <v>2</v>
      </c>
      <c r="AM642" s="4">
        <v>4</v>
      </c>
      <c r="AN642" s="4">
        <v>0</v>
      </c>
      <c r="AO642" s="4">
        <v>0</v>
      </c>
      <c r="AP642" s="3" t="s">
        <v>59</v>
      </c>
      <c r="AQ642" s="3" t="s">
        <v>59</v>
      </c>
      <c r="AS642" s="6" t="str">
        <f>HYPERLINK("https://creighton-primo.hosted.exlibrisgroup.com/primo-explore/search?tab=default_tab&amp;search_scope=EVERYTHING&amp;vid=01CRU&amp;lang=en_US&amp;offset=0&amp;query=any,contains,991005262849702656","Catalog Record")</f>
        <v>Catalog Record</v>
      </c>
      <c r="AT642" s="6" t="str">
        <f>HYPERLINK("http://www.worldcat.org/oclc/191889943","WorldCat Record")</f>
        <v>WorldCat Record</v>
      </c>
      <c r="AU642" s="3" t="s">
        <v>8208</v>
      </c>
      <c r="AV642" s="3" t="s">
        <v>8209</v>
      </c>
      <c r="AW642" s="3" t="s">
        <v>8210</v>
      </c>
      <c r="AX642" s="3" t="s">
        <v>8210</v>
      </c>
      <c r="AY642" s="3" t="s">
        <v>8211</v>
      </c>
      <c r="AZ642" s="3" t="s">
        <v>75</v>
      </c>
      <c r="BB642" s="3" t="s">
        <v>8212</v>
      </c>
      <c r="BC642" s="3" t="s">
        <v>8213</v>
      </c>
      <c r="BD642" s="3" t="s">
        <v>8214</v>
      </c>
    </row>
    <row r="643" spans="1:56" ht="48" customHeight="1" x14ac:dyDescent="0.25">
      <c r="A643" s="7" t="s">
        <v>59</v>
      </c>
      <c r="B643" s="2" t="s">
        <v>8215</v>
      </c>
      <c r="C643" s="2" t="s">
        <v>8216</v>
      </c>
      <c r="D643" s="2" t="s">
        <v>8217</v>
      </c>
      <c r="E643" s="3" t="s">
        <v>723</v>
      </c>
      <c r="F643" s="3" t="s">
        <v>70</v>
      </c>
      <c r="G643" s="3" t="s">
        <v>60</v>
      </c>
      <c r="H643" s="3" t="s">
        <v>59</v>
      </c>
      <c r="I643" s="3" t="s">
        <v>59</v>
      </c>
      <c r="J643" s="3" t="s">
        <v>61</v>
      </c>
      <c r="L643" s="2" t="s">
        <v>8218</v>
      </c>
      <c r="M643" s="3" t="s">
        <v>897</v>
      </c>
      <c r="O643" s="3" t="s">
        <v>64</v>
      </c>
      <c r="P643" s="3" t="s">
        <v>130</v>
      </c>
      <c r="R643" s="3" t="s">
        <v>67</v>
      </c>
      <c r="S643" s="4">
        <v>2</v>
      </c>
      <c r="T643" s="4">
        <v>2</v>
      </c>
      <c r="U643" s="5" t="s">
        <v>8219</v>
      </c>
      <c r="V643" s="5" t="s">
        <v>8219</v>
      </c>
      <c r="W643" s="5" t="s">
        <v>2089</v>
      </c>
      <c r="X643" s="5" t="s">
        <v>2089</v>
      </c>
      <c r="Y643" s="4">
        <v>124</v>
      </c>
      <c r="Z643" s="4">
        <v>102</v>
      </c>
      <c r="AA643" s="4">
        <v>103</v>
      </c>
      <c r="AB643" s="4">
        <v>2</v>
      </c>
      <c r="AC643" s="4">
        <v>2</v>
      </c>
      <c r="AD643" s="4">
        <v>4</v>
      </c>
      <c r="AE643" s="4">
        <v>4</v>
      </c>
      <c r="AF643" s="4">
        <v>1</v>
      </c>
      <c r="AG643" s="4">
        <v>1</v>
      </c>
      <c r="AH643" s="4">
        <v>1</v>
      </c>
      <c r="AI643" s="4">
        <v>1</v>
      </c>
      <c r="AJ643" s="4">
        <v>1</v>
      </c>
      <c r="AK643" s="4">
        <v>1</v>
      </c>
      <c r="AL643" s="4">
        <v>1</v>
      </c>
      <c r="AM643" s="4">
        <v>1</v>
      </c>
      <c r="AN643" s="4">
        <v>0</v>
      </c>
      <c r="AO643" s="4">
        <v>0</v>
      </c>
      <c r="AP643" s="3" t="s">
        <v>59</v>
      </c>
      <c r="AQ643" s="3" t="s">
        <v>70</v>
      </c>
      <c r="AR643" s="6" t="str">
        <f>HYPERLINK("http://catalog.hathitrust.org/Record/002444933","HathiTrust Record")</f>
        <v>HathiTrust Record</v>
      </c>
      <c r="AS643" s="6" t="str">
        <f>HYPERLINK("https://creighton-primo.hosted.exlibrisgroup.com/primo-explore/search?tab=default_tab&amp;search_scope=EVERYTHING&amp;vid=01CRU&amp;lang=en_US&amp;offset=0&amp;query=any,contains,991001817969702656","Catalog Record")</f>
        <v>Catalog Record</v>
      </c>
      <c r="AT643" s="6" t="str">
        <f>HYPERLINK("http://www.worldcat.org/oclc/22860073","WorldCat Record")</f>
        <v>WorldCat Record</v>
      </c>
      <c r="AU643" s="3" t="s">
        <v>8220</v>
      </c>
      <c r="AV643" s="3" t="s">
        <v>8221</v>
      </c>
      <c r="AW643" s="3" t="s">
        <v>8222</v>
      </c>
      <c r="AX643" s="3" t="s">
        <v>8222</v>
      </c>
      <c r="AY643" s="3" t="s">
        <v>8223</v>
      </c>
      <c r="AZ643" s="3" t="s">
        <v>75</v>
      </c>
      <c r="BB643" s="3" t="s">
        <v>8224</v>
      </c>
      <c r="BC643" s="3" t="s">
        <v>8225</v>
      </c>
      <c r="BD643" s="3" t="s">
        <v>8226</v>
      </c>
    </row>
    <row r="644" spans="1:56" ht="48" customHeight="1" x14ac:dyDescent="0.25">
      <c r="A644" s="7" t="s">
        <v>59</v>
      </c>
      <c r="B644" s="2" t="s">
        <v>8227</v>
      </c>
      <c r="C644" s="2" t="s">
        <v>8228</v>
      </c>
      <c r="D644" s="2" t="s">
        <v>8229</v>
      </c>
      <c r="E644" s="3" t="s">
        <v>723</v>
      </c>
      <c r="F644" s="3" t="s">
        <v>70</v>
      </c>
      <c r="G644" s="3" t="s">
        <v>60</v>
      </c>
      <c r="H644" s="3" t="s">
        <v>59</v>
      </c>
      <c r="I644" s="3" t="s">
        <v>59</v>
      </c>
      <c r="J644" s="3" t="s">
        <v>61</v>
      </c>
      <c r="K644" s="2" t="s">
        <v>8230</v>
      </c>
      <c r="L644" s="2" t="s">
        <v>8231</v>
      </c>
      <c r="M644" s="3" t="s">
        <v>1611</v>
      </c>
      <c r="O644" s="3" t="s">
        <v>64</v>
      </c>
      <c r="P644" s="3" t="s">
        <v>130</v>
      </c>
      <c r="R644" s="3" t="s">
        <v>67</v>
      </c>
      <c r="S644" s="4">
        <v>2</v>
      </c>
      <c r="T644" s="4">
        <v>4</v>
      </c>
      <c r="U644" s="5" t="s">
        <v>8232</v>
      </c>
      <c r="V644" s="5" t="s">
        <v>8232</v>
      </c>
      <c r="W644" s="5" t="s">
        <v>3567</v>
      </c>
      <c r="X644" s="5" t="s">
        <v>3567</v>
      </c>
      <c r="Y644" s="4">
        <v>58</v>
      </c>
      <c r="Z644" s="4">
        <v>49</v>
      </c>
      <c r="AA644" s="4">
        <v>51</v>
      </c>
      <c r="AB644" s="4">
        <v>1</v>
      </c>
      <c r="AC644" s="4">
        <v>1</v>
      </c>
      <c r="AD644" s="4">
        <v>0</v>
      </c>
      <c r="AE644" s="4">
        <v>0</v>
      </c>
      <c r="AF644" s="4">
        <v>0</v>
      </c>
      <c r="AG644" s="4">
        <v>0</v>
      </c>
      <c r="AH644" s="4">
        <v>0</v>
      </c>
      <c r="AI644" s="4">
        <v>0</v>
      </c>
      <c r="AJ644" s="4">
        <v>0</v>
      </c>
      <c r="AK644" s="4">
        <v>0</v>
      </c>
      <c r="AL644" s="4">
        <v>0</v>
      </c>
      <c r="AM644" s="4">
        <v>0</v>
      </c>
      <c r="AN644" s="4">
        <v>0</v>
      </c>
      <c r="AO644" s="4">
        <v>0</v>
      </c>
      <c r="AP644" s="3" t="s">
        <v>59</v>
      </c>
      <c r="AQ644" s="3" t="s">
        <v>70</v>
      </c>
      <c r="AR644" s="6" t="str">
        <f>HYPERLINK("http://catalog.hathitrust.org/Record/003108404","HathiTrust Record")</f>
        <v>HathiTrust Record</v>
      </c>
      <c r="AS644" s="6" t="str">
        <f>HYPERLINK("https://creighton-primo.hosted.exlibrisgroup.com/primo-explore/search?tab=default_tab&amp;search_scope=EVERYTHING&amp;vid=01CRU&amp;lang=en_US&amp;offset=0&amp;query=any,contains,991002653549702656","Catalog Record")</f>
        <v>Catalog Record</v>
      </c>
      <c r="AT644" s="6" t="str">
        <f>HYPERLINK("http://www.worldcat.org/oclc/34699500","WorldCat Record")</f>
        <v>WorldCat Record</v>
      </c>
      <c r="AU644" s="3" t="s">
        <v>8233</v>
      </c>
      <c r="AV644" s="3" t="s">
        <v>8234</v>
      </c>
      <c r="AW644" s="3" t="s">
        <v>8235</v>
      </c>
      <c r="AX644" s="3" t="s">
        <v>8235</v>
      </c>
      <c r="AY644" s="3" t="s">
        <v>8236</v>
      </c>
      <c r="AZ644" s="3" t="s">
        <v>75</v>
      </c>
      <c r="BB644" s="3" t="s">
        <v>8237</v>
      </c>
      <c r="BC644" s="3" t="s">
        <v>8238</v>
      </c>
      <c r="BD644" s="3" t="s">
        <v>8239</v>
      </c>
    </row>
    <row r="645" spans="1:56" ht="48" customHeight="1" x14ac:dyDescent="0.25">
      <c r="A645" s="7" t="s">
        <v>59</v>
      </c>
      <c r="B645" s="2" t="s">
        <v>8227</v>
      </c>
      <c r="C645" s="2" t="s">
        <v>8228</v>
      </c>
      <c r="D645" s="2" t="s">
        <v>8229</v>
      </c>
      <c r="E645" s="3" t="s">
        <v>713</v>
      </c>
      <c r="F645" s="3" t="s">
        <v>70</v>
      </c>
      <c r="G645" s="3" t="s">
        <v>60</v>
      </c>
      <c r="H645" s="3" t="s">
        <v>59</v>
      </c>
      <c r="I645" s="3" t="s">
        <v>59</v>
      </c>
      <c r="J645" s="3" t="s">
        <v>61</v>
      </c>
      <c r="K645" s="2" t="s">
        <v>8230</v>
      </c>
      <c r="L645" s="2" t="s">
        <v>8231</v>
      </c>
      <c r="M645" s="3" t="s">
        <v>1611</v>
      </c>
      <c r="O645" s="3" t="s">
        <v>64</v>
      </c>
      <c r="P645" s="3" t="s">
        <v>130</v>
      </c>
      <c r="R645" s="3" t="s">
        <v>67</v>
      </c>
      <c r="S645" s="4">
        <v>2</v>
      </c>
      <c r="T645" s="4">
        <v>4</v>
      </c>
      <c r="U645" s="5" t="s">
        <v>8232</v>
      </c>
      <c r="V645" s="5" t="s">
        <v>8232</v>
      </c>
      <c r="W645" s="5" t="s">
        <v>3567</v>
      </c>
      <c r="X645" s="5" t="s">
        <v>3567</v>
      </c>
      <c r="Y645" s="4">
        <v>58</v>
      </c>
      <c r="Z645" s="4">
        <v>49</v>
      </c>
      <c r="AA645" s="4">
        <v>51</v>
      </c>
      <c r="AB645" s="4">
        <v>1</v>
      </c>
      <c r="AC645" s="4">
        <v>1</v>
      </c>
      <c r="AD645" s="4">
        <v>0</v>
      </c>
      <c r="AE645" s="4">
        <v>0</v>
      </c>
      <c r="AF645" s="4">
        <v>0</v>
      </c>
      <c r="AG645" s="4">
        <v>0</v>
      </c>
      <c r="AH645" s="4">
        <v>0</v>
      </c>
      <c r="AI645" s="4">
        <v>0</v>
      </c>
      <c r="AJ645" s="4">
        <v>0</v>
      </c>
      <c r="AK645" s="4">
        <v>0</v>
      </c>
      <c r="AL645" s="4">
        <v>0</v>
      </c>
      <c r="AM645" s="4">
        <v>0</v>
      </c>
      <c r="AN645" s="4">
        <v>0</v>
      </c>
      <c r="AO645" s="4">
        <v>0</v>
      </c>
      <c r="AP645" s="3" t="s">
        <v>59</v>
      </c>
      <c r="AQ645" s="3" t="s">
        <v>70</v>
      </c>
      <c r="AR645" s="6" t="str">
        <f>HYPERLINK("http://catalog.hathitrust.org/Record/003108404","HathiTrust Record")</f>
        <v>HathiTrust Record</v>
      </c>
      <c r="AS645" s="6" t="str">
        <f>HYPERLINK("https://creighton-primo.hosted.exlibrisgroup.com/primo-explore/search?tab=default_tab&amp;search_scope=EVERYTHING&amp;vid=01CRU&amp;lang=en_US&amp;offset=0&amp;query=any,contains,991002653549702656","Catalog Record")</f>
        <v>Catalog Record</v>
      </c>
      <c r="AT645" s="6" t="str">
        <f>HYPERLINK("http://www.worldcat.org/oclc/34699500","WorldCat Record")</f>
        <v>WorldCat Record</v>
      </c>
      <c r="AU645" s="3" t="s">
        <v>8233</v>
      </c>
      <c r="AV645" s="3" t="s">
        <v>8234</v>
      </c>
      <c r="AW645" s="3" t="s">
        <v>8235</v>
      </c>
      <c r="AX645" s="3" t="s">
        <v>8235</v>
      </c>
      <c r="AY645" s="3" t="s">
        <v>8236</v>
      </c>
      <c r="AZ645" s="3" t="s">
        <v>75</v>
      </c>
      <c r="BB645" s="3" t="s">
        <v>8237</v>
      </c>
      <c r="BC645" s="3" t="s">
        <v>8240</v>
      </c>
      <c r="BD645" s="3" t="s">
        <v>8241</v>
      </c>
    </row>
    <row r="646" spans="1:56" ht="48" customHeight="1" x14ac:dyDescent="0.25">
      <c r="A646" s="7" t="s">
        <v>59</v>
      </c>
      <c r="B646" s="2" t="s">
        <v>8242</v>
      </c>
      <c r="C646" s="2" t="s">
        <v>8243</v>
      </c>
      <c r="D646" s="2" t="s">
        <v>8244</v>
      </c>
      <c r="F646" s="3" t="s">
        <v>70</v>
      </c>
      <c r="G646" s="3" t="s">
        <v>60</v>
      </c>
      <c r="H646" s="3" t="s">
        <v>59</v>
      </c>
      <c r="I646" s="3" t="s">
        <v>59</v>
      </c>
      <c r="J646" s="3" t="s">
        <v>61</v>
      </c>
      <c r="K646" s="2" t="s">
        <v>8245</v>
      </c>
      <c r="L646" s="2" t="s">
        <v>8246</v>
      </c>
      <c r="M646" s="3" t="s">
        <v>590</v>
      </c>
      <c r="O646" s="3" t="s">
        <v>64</v>
      </c>
      <c r="P646" s="3" t="s">
        <v>130</v>
      </c>
      <c r="R646" s="3" t="s">
        <v>67</v>
      </c>
      <c r="S646" s="4">
        <v>2</v>
      </c>
      <c r="T646" s="4">
        <v>2</v>
      </c>
      <c r="U646" s="5" t="s">
        <v>8247</v>
      </c>
      <c r="V646" s="5" t="s">
        <v>8247</v>
      </c>
      <c r="W646" s="5" t="s">
        <v>8248</v>
      </c>
      <c r="X646" s="5" t="s">
        <v>8248</v>
      </c>
      <c r="Y646" s="4">
        <v>124</v>
      </c>
      <c r="Z646" s="4">
        <v>101</v>
      </c>
      <c r="AA646" s="4">
        <v>103</v>
      </c>
      <c r="AB646" s="4">
        <v>1</v>
      </c>
      <c r="AC646" s="4">
        <v>1</v>
      </c>
      <c r="AD646" s="4">
        <v>1</v>
      </c>
      <c r="AE646" s="4">
        <v>1</v>
      </c>
      <c r="AF646" s="4">
        <v>0</v>
      </c>
      <c r="AG646" s="4">
        <v>0</v>
      </c>
      <c r="AH646" s="4">
        <v>1</v>
      </c>
      <c r="AI646" s="4">
        <v>1</v>
      </c>
      <c r="AJ646" s="4">
        <v>0</v>
      </c>
      <c r="AK646" s="4">
        <v>0</v>
      </c>
      <c r="AL646" s="4">
        <v>0</v>
      </c>
      <c r="AM646" s="4">
        <v>0</v>
      </c>
      <c r="AN646" s="4">
        <v>0</v>
      </c>
      <c r="AO646" s="4">
        <v>0</v>
      </c>
      <c r="AP646" s="3" t="s">
        <v>59</v>
      </c>
      <c r="AQ646" s="3" t="s">
        <v>70</v>
      </c>
      <c r="AR646" s="6" t="str">
        <f>HYPERLINK("http://catalog.hathitrust.org/Record/000916303","HathiTrust Record")</f>
        <v>HathiTrust Record</v>
      </c>
      <c r="AS646" s="6" t="str">
        <f>HYPERLINK("https://creighton-primo.hosted.exlibrisgroup.com/primo-explore/search?tab=default_tab&amp;search_scope=EVERYTHING&amp;vid=01CRU&amp;lang=en_US&amp;offset=0&amp;query=any,contains,991001226639702656","Catalog Record")</f>
        <v>Catalog Record</v>
      </c>
      <c r="AT646" s="6" t="str">
        <f>HYPERLINK("http://www.worldcat.org/oclc/17508160","WorldCat Record")</f>
        <v>WorldCat Record</v>
      </c>
      <c r="AU646" s="3" t="s">
        <v>8249</v>
      </c>
      <c r="AV646" s="3" t="s">
        <v>8250</v>
      </c>
      <c r="AW646" s="3" t="s">
        <v>8251</v>
      </c>
      <c r="AX646" s="3" t="s">
        <v>8251</v>
      </c>
      <c r="AY646" s="3" t="s">
        <v>8252</v>
      </c>
      <c r="AZ646" s="3" t="s">
        <v>75</v>
      </c>
      <c r="BB646" s="3" t="s">
        <v>8253</v>
      </c>
      <c r="BC646" s="3" t="s">
        <v>8254</v>
      </c>
      <c r="BD646" s="3" t="s">
        <v>8255</v>
      </c>
    </row>
    <row r="647" spans="1:56" ht="48" customHeight="1" x14ac:dyDescent="0.25">
      <c r="A647" s="7" t="s">
        <v>59</v>
      </c>
      <c r="B647" s="2" t="s">
        <v>8256</v>
      </c>
      <c r="C647" s="2" t="s">
        <v>8257</v>
      </c>
      <c r="D647" s="2" t="s">
        <v>8258</v>
      </c>
      <c r="F647" s="3" t="s">
        <v>59</v>
      </c>
      <c r="G647" s="3" t="s">
        <v>60</v>
      </c>
      <c r="H647" s="3" t="s">
        <v>59</v>
      </c>
      <c r="I647" s="3" t="s">
        <v>59</v>
      </c>
      <c r="J647" s="3" t="s">
        <v>61</v>
      </c>
      <c r="K647" s="2" t="s">
        <v>8259</v>
      </c>
      <c r="L647" s="2" t="s">
        <v>8260</v>
      </c>
      <c r="M647" s="3" t="s">
        <v>1817</v>
      </c>
      <c r="O647" s="3" t="s">
        <v>64</v>
      </c>
      <c r="P647" s="3" t="s">
        <v>912</v>
      </c>
      <c r="R647" s="3" t="s">
        <v>67</v>
      </c>
      <c r="S647" s="4">
        <v>1</v>
      </c>
      <c r="T647" s="4">
        <v>1</v>
      </c>
      <c r="U647" s="5" t="s">
        <v>8261</v>
      </c>
      <c r="V647" s="5" t="s">
        <v>8261</v>
      </c>
      <c r="W647" s="5" t="s">
        <v>8261</v>
      </c>
      <c r="X647" s="5" t="s">
        <v>8261</v>
      </c>
      <c r="Y647" s="4">
        <v>465</v>
      </c>
      <c r="Z647" s="4">
        <v>365</v>
      </c>
      <c r="AA647" s="4">
        <v>443</v>
      </c>
      <c r="AB647" s="4">
        <v>7</v>
      </c>
      <c r="AC647" s="4">
        <v>7</v>
      </c>
      <c r="AD647" s="4">
        <v>25</v>
      </c>
      <c r="AE647" s="4">
        <v>25</v>
      </c>
      <c r="AF647" s="4">
        <v>11</v>
      </c>
      <c r="AG647" s="4">
        <v>11</v>
      </c>
      <c r="AH647" s="4">
        <v>3</v>
      </c>
      <c r="AI647" s="4">
        <v>3</v>
      </c>
      <c r="AJ647" s="4">
        <v>10</v>
      </c>
      <c r="AK647" s="4">
        <v>10</v>
      </c>
      <c r="AL647" s="4">
        <v>6</v>
      </c>
      <c r="AM647" s="4">
        <v>6</v>
      </c>
      <c r="AN647" s="4">
        <v>0</v>
      </c>
      <c r="AO647" s="4">
        <v>0</v>
      </c>
      <c r="AP647" s="3" t="s">
        <v>59</v>
      </c>
      <c r="AQ647" s="3" t="s">
        <v>70</v>
      </c>
      <c r="AR647" s="6" t="str">
        <f>HYPERLINK("http://catalog.hathitrust.org/Record/004313571","HathiTrust Record")</f>
        <v>HathiTrust Record</v>
      </c>
      <c r="AS647" s="6" t="str">
        <f>HYPERLINK("https://creighton-primo.hosted.exlibrisgroup.com/primo-explore/search?tab=default_tab&amp;search_scope=EVERYTHING&amp;vid=01CRU&amp;lang=en_US&amp;offset=0&amp;query=any,contains,991004495249702656","Catalog Record")</f>
        <v>Catalog Record</v>
      </c>
      <c r="AT647" s="6" t="str">
        <f>HYPERLINK("http://www.worldcat.org/oclc/51242181","WorldCat Record")</f>
        <v>WorldCat Record</v>
      </c>
      <c r="AU647" s="3" t="s">
        <v>8262</v>
      </c>
      <c r="AV647" s="3" t="s">
        <v>8263</v>
      </c>
      <c r="AW647" s="3" t="s">
        <v>8264</v>
      </c>
      <c r="AX647" s="3" t="s">
        <v>8264</v>
      </c>
      <c r="AY647" s="3" t="s">
        <v>8265</v>
      </c>
      <c r="AZ647" s="3" t="s">
        <v>75</v>
      </c>
      <c r="BB647" s="3" t="s">
        <v>8266</v>
      </c>
      <c r="BC647" s="3" t="s">
        <v>8267</v>
      </c>
      <c r="BD647" s="3" t="s">
        <v>8268</v>
      </c>
    </row>
    <row r="648" spans="1:56" ht="48" customHeight="1" x14ac:dyDescent="0.25">
      <c r="A648" s="7" t="s">
        <v>59</v>
      </c>
      <c r="B648" s="2" t="s">
        <v>8269</v>
      </c>
      <c r="C648" s="2" t="s">
        <v>8270</v>
      </c>
      <c r="D648" s="2" t="s">
        <v>8271</v>
      </c>
      <c r="F648" s="3" t="s">
        <v>59</v>
      </c>
      <c r="G648" s="3" t="s">
        <v>60</v>
      </c>
      <c r="H648" s="3" t="s">
        <v>59</v>
      </c>
      <c r="I648" s="3" t="s">
        <v>59</v>
      </c>
      <c r="J648" s="3" t="s">
        <v>61</v>
      </c>
      <c r="K648" s="2" t="s">
        <v>8272</v>
      </c>
      <c r="L648" s="2" t="s">
        <v>8273</v>
      </c>
      <c r="M648" s="3" t="s">
        <v>175</v>
      </c>
      <c r="N648" s="2" t="s">
        <v>926</v>
      </c>
      <c r="O648" s="3" t="s">
        <v>64</v>
      </c>
      <c r="P648" s="3" t="s">
        <v>65</v>
      </c>
      <c r="Q648" s="2" t="s">
        <v>8274</v>
      </c>
      <c r="R648" s="3" t="s">
        <v>67</v>
      </c>
      <c r="S648" s="4">
        <v>23</v>
      </c>
      <c r="T648" s="4">
        <v>23</v>
      </c>
      <c r="U648" s="5" t="s">
        <v>8275</v>
      </c>
      <c r="V648" s="5" t="s">
        <v>8275</v>
      </c>
      <c r="W648" s="5" t="s">
        <v>8126</v>
      </c>
      <c r="X648" s="5" t="s">
        <v>8126</v>
      </c>
      <c r="Y648" s="4">
        <v>153</v>
      </c>
      <c r="Z648" s="4">
        <v>110</v>
      </c>
      <c r="AA648" s="4">
        <v>200</v>
      </c>
      <c r="AB648" s="4">
        <v>1</v>
      </c>
      <c r="AC648" s="4">
        <v>2</v>
      </c>
      <c r="AD648" s="4">
        <v>3</v>
      </c>
      <c r="AE648" s="4">
        <v>7</v>
      </c>
      <c r="AF648" s="4">
        <v>1</v>
      </c>
      <c r="AG648" s="4">
        <v>1</v>
      </c>
      <c r="AH648" s="4">
        <v>1</v>
      </c>
      <c r="AI648" s="4">
        <v>2</v>
      </c>
      <c r="AJ648" s="4">
        <v>1</v>
      </c>
      <c r="AK648" s="4">
        <v>4</v>
      </c>
      <c r="AL648" s="4">
        <v>0</v>
      </c>
      <c r="AM648" s="4">
        <v>1</v>
      </c>
      <c r="AN648" s="4">
        <v>0</v>
      </c>
      <c r="AO648" s="4">
        <v>0</v>
      </c>
      <c r="AP648" s="3" t="s">
        <v>59</v>
      </c>
      <c r="AQ648" s="3" t="s">
        <v>59</v>
      </c>
      <c r="AS648" s="6" t="str">
        <f>HYPERLINK("https://creighton-primo.hosted.exlibrisgroup.com/primo-explore/search?tab=default_tab&amp;search_scope=EVERYTHING&amp;vid=01CRU&amp;lang=en_US&amp;offset=0&amp;query=any,contains,991002956969702656","Catalog Record")</f>
        <v>Catalog Record</v>
      </c>
      <c r="AT648" s="6" t="str">
        <f>HYPERLINK("http://www.worldcat.org/oclc/39485297","WorldCat Record")</f>
        <v>WorldCat Record</v>
      </c>
      <c r="AU648" s="3" t="s">
        <v>8276</v>
      </c>
      <c r="AV648" s="3" t="s">
        <v>8277</v>
      </c>
      <c r="AW648" s="3" t="s">
        <v>8278</v>
      </c>
      <c r="AX648" s="3" t="s">
        <v>8278</v>
      </c>
      <c r="AY648" s="3" t="s">
        <v>8279</v>
      </c>
      <c r="AZ648" s="3" t="s">
        <v>75</v>
      </c>
      <c r="BB648" s="3" t="s">
        <v>8280</v>
      </c>
      <c r="BC648" s="3" t="s">
        <v>8281</v>
      </c>
      <c r="BD648" s="3" t="s">
        <v>8282</v>
      </c>
    </row>
    <row r="649" spans="1:56" ht="48" customHeight="1" x14ac:dyDescent="0.25">
      <c r="A649" s="7" t="s">
        <v>59</v>
      </c>
      <c r="B649" s="2" t="s">
        <v>8283</v>
      </c>
      <c r="C649" s="2" t="s">
        <v>8284</v>
      </c>
      <c r="D649" s="2" t="s">
        <v>8285</v>
      </c>
      <c r="F649" s="3" t="s">
        <v>59</v>
      </c>
      <c r="G649" s="3" t="s">
        <v>60</v>
      </c>
      <c r="H649" s="3" t="s">
        <v>59</v>
      </c>
      <c r="I649" s="3" t="s">
        <v>59</v>
      </c>
      <c r="J649" s="3" t="s">
        <v>61</v>
      </c>
      <c r="K649" s="2" t="s">
        <v>8286</v>
      </c>
      <c r="L649" s="2" t="s">
        <v>233</v>
      </c>
      <c r="M649" s="3" t="s">
        <v>234</v>
      </c>
      <c r="O649" s="3" t="s">
        <v>64</v>
      </c>
      <c r="P649" s="3" t="s">
        <v>130</v>
      </c>
      <c r="R649" s="3" t="s">
        <v>67</v>
      </c>
      <c r="S649" s="4">
        <v>5</v>
      </c>
      <c r="T649" s="4">
        <v>5</v>
      </c>
      <c r="U649" s="5" t="s">
        <v>8287</v>
      </c>
      <c r="V649" s="5" t="s">
        <v>8287</v>
      </c>
      <c r="W649" s="5" t="s">
        <v>1777</v>
      </c>
      <c r="X649" s="5" t="s">
        <v>1777</v>
      </c>
      <c r="Y649" s="4">
        <v>322</v>
      </c>
      <c r="Z649" s="4">
        <v>227</v>
      </c>
      <c r="AA649" s="4">
        <v>231</v>
      </c>
      <c r="AB649" s="4">
        <v>2</v>
      </c>
      <c r="AC649" s="4">
        <v>2</v>
      </c>
      <c r="AD649" s="4">
        <v>5</v>
      </c>
      <c r="AE649" s="4">
        <v>6</v>
      </c>
      <c r="AF649" s="4">
        <v>1</v>
      </c>
      <c r="AG649" s="4">
        <v>2</v>
      </c>
      <c r="AH649" s="4">
        <v>3</v>
      </c>
      <c r="AI649" s="4">
        <v>3</v>
      </c>
      <c r="AJ649" s="4">
        <v>3</v>
      </c>
      <c r="AK649" s="4">
        <v>4</v>
      </c>
      <c r="AL649" s="4">
        <v>1</v>
      </c>
      <c r="AM649" s="4">
        <v>1</v>
      </c>
      <c r="AN649" s="4">
        <v>0</v>
      </c>
      <c r="AO649" s="4">
        <v>0</v>
      </c>
      <c r="AP649" s="3" t="s">
        <v>59</v>
      </c>
      <c r="AQ649" s="3" t="s">
        <v>70</v>
      </c>
      <c r="AR649" s="6" t="str">
        <f>HYPERLINK("http://catalog.hathitrust.org/Record/001091068","HathiTrust Record")</f>
        <v>HathiTrust Record</v>
      </c>
      <c r="AS649" s="6" t="str">
        <f>HYPERLINK("https://creighton-primo.hosted.exlibrisgroup.com/primo-explore/search?tab=default_tab&amp;search_scope=EVERYTHING&amp;vid=01CRU&amp;lang=en_US&amp;offset=0&amp;query=any,contains,991001276589702656","Catalog Record")</f>
        <v>Catalog Record</v>
      </c>
      <c r="AT649" s="6" t="str">
        <f>HYPERLINK("http://www.worldcat.org/oclc/17875714","WorldCat Record")</f>
        <v>WorldCat Record</v>
      </c>
      <c r="AU649" s="3" t="s">
        <v>8288</v>
      </c>
      <c r="AV649" s="3" t="s">
        <v>8289</v>
      </c>
      <c r="AW649" s="3" t="s">
        <v>8290</v>
      </c>
      <c r="AX649" s="3" t="s">
        <v>8290</v>
      </c>
      <c r="AY649" s="3" t="s">
        <v>8291</v>
      </c>
      <c r="AZ649" s="3" t="s">
        <v>75</v>
      </c>
      <c r="BB649" s="3" t="s">
        <v>8292</v>
      </c>
      <c r="BC649" s="3" t="s">
        <v>8293</v>
      </c>
      <c r="BD649" s="3" t="s">
        <v>8294</v>
      </c>
    </row>
    <row r="650" spans="1:56" ht="48" customHeight="1" x14ac:dyDescent="0.25">
      <c r="A650" s="7" t="s">
        <v>59</v>
      </c>
      <c r="B650" s="2" t="s">
        <v>8295</v>
      </c>
      <c r="C650" s="2" t="s">
        <v>8296</v>
      </c>
      <c r="D650" s="2" t="s">
        <v>8297</v>
      </c>
      <c r="F650" s="3" t="s">
        <v>59</v>
      </c>
      <c r="G650" s="3" t="s">
        <v>60</v>
      </c>
      <c r="H650" s="3" t="s">
        <v>59</v>
      </c>
      <c r="I650" s="3" t="s">
        <v>59</v>
      </c>
      <c r="J650" s="3" t="s">
        <v>61</v>
      </c>
      <c r="K650" s="2" t="s">
        <v>8298</v>
      </c>
      <c r="L650" s="2" t="s">
        <v>8299</v>
      </c>
      <c r="M650" s="3" t="s">
        <v>348</v>
      </c>
      <c r="N650" s="2" t="s">
        <v>114</v>
      </c>
      <c r="O650" s="3" t="s">
        <v>64</v>
      </c>
      <c r="P650" s="3" t="s">
        <v>84</v>
      </c>
      <c r="R650" s="3" t="s">
        <v>67</v>
      </c>
      <c r="S650" s="4">
        <v>15</v>
      </c>
      <c r="T650" s="4">
        <v>15</v>
      </c>
      <c r="U650" s="5" t="s">
        <v>8300</v>
      </c>
      <c r="V650" s="5" t="s">
        <v>8300</v>
      </c>
      <c r="W650" s="5" t="s">
        <v>8301</v>
      </c>
      <c r="X650" s="5" t="s">
        <v>8301</v>
      </c>
      <c r="Y650" s="4">
        <v>318</v>
      </c>
      <c r="Z650" s="4">
        <v>169</v>
      </c>
      <c r="AA650" s="4">
        <v>333</v>
      </c>
      <c r="AB650" s="4">
        <v>1</v>
      </c>
      <c r="AC650" s="4">
        <v>3</v>
      </c>
      <c r="AD650" s="4">
        <v>7</v>
      </c>
      <c r="AE650" s="4">
        <v>14</v>
      </c>
      <c r="AF650" s="4">
        <v>1</v>
      </c>
      <c r="AG650" s="4">
        <v>3</v>
      </c>
      <c r="AH650" s="4">
        <v>4</v>
      </c>
      <c r="AI650" s="4">
        <v>5</v>
      </c>
      <c r="AJ650" s="4">
        <v>4</v>
      </c>
      <c r="AK650" s="4">
        <v>8</v>
      </c>
      <c r="AL650" s="4">
        <v>0</v>
      </c>
      <c r="AM650" s="4">
        <v>2</v>
      </c>
      <c r="AN650" s="4">
        <v>0</v>
      </c>
      <c r="AO650" s="4">
        <v>0</v>
      </c>
      <c r="AP650" s="3" t="s">
        <v>59</v>
      </c>
      <c r="AQ650" s="3" t="s">
        <v>70</v>
      </c>
      <c r="AR650" s="6" t="str">
        <f>HYPERLINK("http://catalog.hathitrust.org/Record/002643246","HathiTrust Record")</f>
        <v>HathiTrust Record</v>
      </c>
      <c r="AS650" s="6" t="str">
        <f>HYPERLINK("https://creighton-primo.hosted.exlibrisgroup.com/primo-explore/search?tab=default_tab&amp;search_scope=EVERYTHING&amp;vid=01CRU&amp;lang=en_US&amp;offset=0&amp;query=any,contains,991002032099702656","Catalog Record")</f>
        <v>Catalog Record</v>
      </c>
      <c r="AT650" s="6" t="str">
        <f>HYPERLINK("http://www.worldcat.org/oclc/25873509","WorldCat Record")</f>
        <v>WorldCat Record</v>
      </c>
      <c r="AU650" s="3" t="s">
        <v>8302</v>
      </c>
      <c r="AV650" s="3" t="s">
        <v>8303</v>
      </c>
      <c r="AW650" s="3" t="s">
        <v>8304</v>
      </c>
      <c r="AX650" s="3" t="s">
        <v>8304</v>
      </c>
      <c r="AY650" s="3" t="s">
        <v>8305</v>
      </c>
      <c r="AZ650" s="3" t="s">
        <v>75</v>
      </c>
      <c r="BB650" s="3" t="s">
        <v>8306</v>
      </c>
      <c r="BC650" s="3" t="s">
        <v>8307</v>
      </c>
      <c r="BD650" s="3" t="s">
        <v>8308</v>
      </c>
    </row>
    <row r="651" spans="1:56" ht="48" customHeight="1" x14ac:dyDescent="0.25">
      <c r="A651" s="7" t="s">
        <v>59</v>
      </c>
      <c r="B651" s="2" t="s">
        <v>8309</v>
      </c>
      <c r="C651" s="2" t="s">
        <v>8310</v>
      </c>
      <c r="D651" s="2" t="s">
        <v>8311</v>
      </c>
      <c r="F651" s="3" t="s">
        <v>59</v>
      </c>
      <c r="G651" s="3" t="s">
        <v>60</v>
      </c>
      <c r="H651" s="3" t="s">
        <v>59</v>
      </c>
      <c r="I651" s="3" t="s">
        <v>59</v>
      </c>
      <c r="J651" s="3" t="s">
        <v>61</v>
      </c>
      <c r="K651" s="2" t="s">
        <v>8312</v>
      </c>
      <c r="L651" s="2" t="s">
        <v>8313</v>
      </c>
      <c r="M651" s="3" t="s">
        <v>1351</v>
      </c>
      <c r="O651" s="3" t="s">
        <v>64</v>
      </c>
      <c r="P651" s="3" t="s">
        <v>84</v>
      </c>
      <c r="R651" s="3" t="s">
        <v>67</v>
      </c>
      <c r="S651" s="4">
        <v>2</v>
      </c>
      <c r="T651" s="4">
        <v>2</v>
      </c>
      <c r="U651" s="5" t="s">
        <v>8314</v>
      </c>
      <c r="V651" s="5" t="s">
        <v>8314</v>
      </c>
      <c r="W651" s="5" t="s">
        <v>8315</v>
      </c>
      <c r="X651" s="5" t="s">
        <v>8315</v>
      </c>
      <c r="Y651" s="4">
        <v>367</v>
      </c>
      <c r="Z651" s="4">
        <v>237</v>
      </c>
      <c r="AA651" s="4">
        <v>590</v>
      </c>
      <c r="AB651" s="4">
        <v>3</v>
      </c>
      <c r="AC651" s="4">
        <v>8</v>
      </c>
      <c r="AD651" s="4">
        <v>14</v>
      </c>
      <c r="AE651" s="4">
        <v>25</v>
      </c>
      <c r="AF651" s="4">
        <v>3</v>
      </c>
      <c r="AG651" s="4">
        <v>8</v>
      </c>
      <c r="AH651" s="4">
        <v>4</v>
      </c>
      <c r="AI651" s="4">
        <v>4</v>
      </c>
      <c r="AJ651" s="4">
        <v>7</v>
      </c>
      <c r="AK651" s="4">
        <v>9</v>
      </c>
      <c r="AL651" s="4">
        <v>2</v>
      </c>
      <c r="AM651" s="4">
        <v>7</v>
      </c>
      <c r="AN651" s="4">
        <v>0</v>
      </c>
      <c r="AO651" s="4">
        <v>0</v>
      </c>
      <c r="AP651" s="3" t="s">
        <v>59</v>
      </c>
      <c r="AQ651" s="3" t="s">
        <v>59</v>
      </c>
      <c r="AS651" s="6" t="str">
        <f>HYPERLINK("https://creighton-primo.hosted.exlibrisgroup.com/primo-explore/search?tab=default_tab&amp;search_scope=EVERYTHING&amp;vid=01CRU&amp;lang=en_US&amp;offset=0&amp;query=any,contains,991004724689702656","Catalog Record")</f>
        <v>Catalog Record</v>
      </c>
      <c r="AT651" s="6" t="str">
        <f>HYPERLINK("http://www.worldcat.org/oclc/56138932","WorldCat Record")</f>
        <v>WorldCat Record</v>
      </c>
      <c r="AU651" s="3" t="s">
        <v>8316</v>
      </c>
      <c r="AV651" s="3" t="s">
        <v>8317</v>
      </c>
      <c r="AW651" s="3" t="s">
        <v>8318</v>
      </c>
      <c r="AX651" s="3" t="s">
        <v>8318</v>
      </c>
      <c r="AY651" s="3" t="s">
        <v>8319</v>
      </c>
      <c r="AZ651" s="3" t="s">
        <v>75</v>
      </c>
      <c r="BB651" s="3" t="s">
        <v>8320</v>
      </c>
      <c r="BC651" s="3" t="s">
        <v>8321</v>
      </c>
      <c r="BD651" s="3" t="s">
        <v>8322</v>
      </c>
    </row>
    <row r="652" spans="1:56" ht="48" customHeight="1" x14ac:dyDescent="0.25">
      <c r="A652" s="7" t="s">
        <v>59</v>
      </c>
      <c r="B652" s="2" t="s">
        <v>8323</v>
      </c>
      <c r="C652" s="2" t="s">
        <v>8324</v>
      </c>
      <c r="D652" s="2" t="s">
        <v>8325</v>
      </c>
      <c r="F652" s="3" t="s">
        <v>59</v>
      </c>
      <c r="G652" s="3" t="s">
        <v>60</v>
      </c>
      <c r="H652" s="3" t="s">
        <v>59</v>
      </c>
      <c r="I652" s="3" t="s">
        <v>59</v>
      </c>
      <c r="J652" s="3" t="s">
        <v>61</v>
      </c>
      <c r="L652" s="2" t="s">
        <v>8326</v>
      </c>
      <c r="M652" s="3" t="s">
        <v>519</v>
      </c>
      <c r="N652" s="2" t="s">
        <v>2003</v>
      </c>
      <c r="O652" s="3" t="s">
        <v>64</v>
      </c>
      <c r="P652" s="3" t="s">
        <v>84</v>
      </c>
      <c r="R652" s="3" t="s">
        <v>67</v>
      </c>
      <c r="S652" s="4">
        <v>20</v>
      </c>
      <c r="T652" s="4">
        <v>20</v>
      </c>
      <c r="U652" s="5" t="s">
        <v>8327</v>
      </c>
      <c r="V652" s="5" t="s">
        <v>8327</v>
      </c>
      <c r="W652" s="5" t="s">
        <v>8328</v>
      </c>
      <c r="X652" s="5" t="s">
        <v>8328</v>
      </c>
      <c r="Y652" s="4">
        <v>377</v>
      </c>
      <c r="Z652" s="4">
        <v>207</v>
      </c>
      <c r="AA652" s="4">
        <v>374</v>
      </c>
      <c r="AB652" s="4">
        <v>2</v>
      </c>
      <c r="AC652" s="4">
        <v>4</v>
      </c>
      <c r="AD652" s="4">
        <v>8</v>
      </c>
      <c r="AE652" s="4">
        <v>17</v>
      </c>
      <c r="AF652" s="4">
        <v>2</v>
      </c>
      <c r="AG652" s="4">
        <v>5</v>
      </c>
      <c r="AH652" s="4">
        <v>2</v>
      </c>
      <c r="AI652" s="4">
        <v>4</v>
      </c>
      <c r="AJ652" s="4">
        <v>7</v>
      </c>
      <c r="AK652" s="4">
        <v>10</v>
      </c>
      <c r="AL652" s="4">
        <v>1</v>
      </c>
      <c r="AM652" s="4">
        <v>3</v>
      </c>
      <c r="AN652" s="4">
        <v>0</v>
      </c>
      <c r="AO652" s="4">
        <v>0</v>
      </c>
      <c r="AP652" s="3" t="s">
        <v>59</v>
      </c>
      <c r="AQ652" s="3" t="s">
        <v>59</v>
      </c>
      <c r="AS652" s="6" t="str">
        <f>HYPERLINK("https://creighton-primo.hosted.exlibrisgroup.com/primo-explore/search?tab=default_tab&amp;search_scope=EVERYTHING&amp;vid=01CRU&amp;lang=en_US&amp;offset=0&amp;query=any,contains,991002141079702656","Catalog Record")</f>
        <v>Catalog Record</v>
      </c>
      <c r="AT652" s="6" t="str">
        <f>HYPERLINK("http://www.worldcat.org/oclc/27431977","WorldCat Record")</f>
        <v>WorldCat Record</v>
      </c>
      <c r="AU652" s="3" t="s">
        <v>8329</v>
      </c>
      <c r="AV652" s="3" t="s">
        <v>8330</v>
      </c>
      <c r="AW652" s="3" t="s">
        <v>8331</v>
      </c>
      <c r="AX652" s="3" t="s">
        <v>8331</v>
      </c>
      <c r="AY652" s="3" t="s">
        <v>8332</v>
      </c>
      <c r="AZ652" s="3" t="s">
        <v>75</v>
      </c>
      <c r="BB652" s="3" t="s">
        <v>8333</v>
      </c>
      <c r="BC652" s="3" t="s">
        <v>8334</v>
      </c>
      <c r="BD652" s="3" t="s">
        <v>8335</v>
      </c>
    </row>
    <row r="653" spans="1:56" ht="48" customHeight="1" x14ac:dyDescent="0.25">
      <c r="A653" s="7" t="s">
        <v>59</v>
      </c>
      <c r="B653" s="2" t="s">
        <v>8336</v>
      </c>
      <c r="C653" s="2" t="s">
        <v>8337</v>
      </c>
      <c r="D653" s="2" t="s">
        <v>8338</v>
      </c>
      <c r="F653" s="3" t="s">
        <v>59</v>
      </c>
      <c r="G653" s="3" t="s">
        <v>60</v>
      </c>
      <c r="H653" s="3" t="s">
        <v>59</v>
      </c>
      <c r="I653" s="3" t="s">
        <v>59</v>
      </c>
      <c r="J653" s="3" t="s">
        <v>61</v>
      </c>
      <c r="K653" s="2" t="s">
        <v>8339</v>
      </c>
      <c r="L653" s="2" t="s">
        <v>8340</v>
      </c>
      <c r="M653" s="3" t="s">
        <v>348</v>
      </c>
      <c r="O653" s="3" t="s">
        <v>64</v>
      </c>
      <c r="P653" s="3" t="s">
        <v>1201</v>
      </c>
      <c r="R653" s="3" t="s">
        <v>67</v>
      </c>
      <c r="S653" s="4">
        <v>4</v>
      </c>
      <c r="T653" s="4">
        <v>4</v>
      </c>
      <c r="U653" s="5" t="s">
        <v>8341</v>
      </c>
      <c r="V653" s="5" t="s">
        <v>8341</v>
      </c>
      <c r="W653" s="5" t="s">
        <v>8342</v>
      </c>
      <c r="X653" s="5" t="s">
        <v>8342</v>
      </c>
      <c r="Y653" s="4">
        <v>271</v>
      </c>
      <c r="Z653" s="4">
        <v>161</v>
      </c>
      <c r="AA653" s="4">
        <v>179</v>
      </c>
      <c r="AB653" s="4">
        <v>2</v>
      </c>
      <c r="AC653" s="4">
        <v>2</v>
      </c>
      <c r="AD653" s="4">
        <v>5</v>
      </c>
      <c r="AE653" s="4">
        <v>5</v>
      </c>
      <c r="AF653" s="4">
        <v>1</v>
      </c>
      <c r="AG653" s="4">
        <v>1</v>
      </c>
      <c r="AH653" s="4">
        <v>2</v>
      </c>
      <c r="AI653" s="4">
        <v>2</v>
      </c>
      <c r="AJ653" s="4">
        <v>3</v>
      </c>
      <c r="AK653" s="4">
        <v>3</v>
      </c>
      <c r="AL653" s="4">
        <v>1</v>
      </c>
      <c r="AM653" s="4">
        <v>1</v>
      </c>
      <c r="AN653" s="4">
        <v>0</v>
      </c>
      <c r="AO653" s="4">
        <v>0</v>
      </c>
      <c r="AP653" s="3" t="s">
        <v>59</v>
      </c>
      <c r="AQ653" s="3" t="s">
        <v>70</v>
      </c>
      <c r="AR653" s="6" t="str">
        <f>HYPERLINK("http://catalog.hathitrust.org/Record/002730344","HathiTrust Record")</f>
        <v>HathiTrust Record</v>
      </c>
      <c r="AS653" s="6" t="str">
        <f>HYPERLINK("https://creighton-primo.hosted.exlibrisgroup.com/primo-explore/search?tab=default_tab&amp;search_scope=EVERYTHING&amp;vid=01CRU&amp;lang=en_US&amp;offset=0&amp;query=any,contains,991002173209702656","Catalog Record")</f>
        <v>Catalog Record</v>
      </c>
      <c r="AT653" s="6" t="str">
        <f>HYPERLINK("http://www.worldcat.org/oclc/27974851","WorldCat Record")</f>
        <v>WorldCat Record</v>
      </c>
      <c r="AU653" s="3" t="s">
        <v>8343</v>
      </c>
      <c r="AV653" s="3" t="s">
        <v>8344</v>
      </c>
      <c r="AW653" s="3" t="s">
        <v>8345</v>
      </c>
      <c r="AX653" s="3" t="s">
        <v>8345</v>
      </c>
      <c r="AY653" s="3" t="s">
        <v>8346</v>
      </c>
      <c r="AZ653" s="3" t="s">
        <v>75</v>
      </c>
      <c r="BB653" s="3" t="s">
        <v>8347</v>
      </c>
      <c r="BC653" s="3" t="s">
        <v>8348</v>
      </c>
      <c r="BD653" s="3" t="s">
        <v>8349</v>
      </c>
    </row>
    <row r="654" spans="1:56" ht="48" customHeight="1" x14ac:dyDescent="0.25">
      <c r="A654" s="7" t="s">
        <v>59</v>
      </c>
      <c r="B654" s="2" t="s">
        <v>8350</v>
      </c>
      <c r="C654" s="2" t="s">
        <v>8351</v>
      </c>
      <c r="D654" s="2" t="s">
        <v>8352</v>
      </c>
      <c r="F654" s="3" t="s">
        <v>59</v>
      </c>
      <c r="G654" s="3" t="s">
        <v>60</v>
      </c>
      <c r="H654" s="3" t="s">
        <v>59</v>
      </c>
      <c r="I654" s="3" t="s">
        <v>59</v>
      </c>
      <c r="J654" s="3" t="s">
        <v>61</v>
      </c>
      <c r="K654" s="2" t="s">
        <v>8353</v>
      </c>
      <c r="L654" s="2" t="s">
        <v>8354</v>
      </c>
      <c r="M654" s="3" t="s">
        <v>2680</v>
      </c>
      <c r="N654" s="2" t="s">
        <v>114</v>
      </c>
      <c r="O654" s="3" t="s">
        <v>64</v>
      </c>
      <c r="P654" s="3" t="s">
        <v>176</v>
      </c>
      <c r="R654" s="3" t="s">
        <v>67</v>
      </c>
      <c r="S654" s="4">
        <v>3</v>
      </c>
      <c r="T654" s="4">
        <v>3</v>
      </c>
      <c r="U654" s="5" t="s">
        <v>8355</v>
      </c>
      <c r="V654" s="5" t="s">
        <v>8355</v>
      </c>
      <c r="W654" s="5" t="s">
        <v>8356</v>
      </c>
      <c r="X654" s="5" t="s">
        <v>8356</v>
      </c>
      <c r="Y654" s="4">
        <v>232</v>
      </c>
      <c r="Z654" s="4">
        <v>170</v>
      </c>
      <c r="AA654" s="4">
        <v>332</v>
      </c>
      <c r="AB654" s="4">
        <v>2</v>
      </c>
      <c r="AC654" s="4">
        <v>2</v>
      </c>
      <c r="AD654" s="4">
        <v>10</v>
      </c>
      <c r="AE654" s="4">
        <v>13</v>
      </c>
      <c r="AF654" s="4">
        <v>3</v>
      </c>
      <c r="AG654" s="4">
        <v>4</v>
      </c>
      <c r="AH654" s="4">
        <v>2</v>
      </c>
      <c r="AI654" s="4">
        <v>4</v>
      </c>
      <c r="AJ654" s="4">
        <v>6</v>
      </c>
      <c r="AK654" s="4">
        <v>7</v>
      </c>
      <c r="AL654" s="4">
        <v>1</v>
      </c>
      <c r="AM654" s="4">
        <v>1</v>
      </c>
      <c r="AN654" s="4">
        <v>0</v>
      </c>
      <c r="AO654" s="4">
        <v>0</v>
      </c>
      <c r="AP654" s="3" t="s">
        <v>59</v>
      </c>
      <c r="AQ654" s="3" t="s">
        <v>70</v>
      </c>
      <c r="AR654" s="6" t="str">
        <f>HYPERLINK("http://catalog.hathitrust.org/Record/004088038","HathiTrust Record")</f>
        <v>HathiTrust Record</v>
      </c>
      <c r="AS654" s="6" t="str">
        <f>HYPERLINK("https://creighton-primo.hosted.exlibrisgroup.com/primo-explore/search?tab=default_tab&amp;search_scope=EVERYTHING&amp;vid=01CRU&amp;lang=en_US&amp;offset=0&amp;query=any,contains,991004687249702656","Catalog Record")</f>
        <v>Catalog Record</v>
      </c>
      <c r="AT654" s="6" t="str">
        <f>HYPERLINK("http://www.worldcat.org/oclc/43070163","WorldCat Record")</f>
        <v>WorldCat Record</v>
      </c>
      <c r="AU654" s="3" t="s">
        <v>8357</v>
      </c>
      <c r="AV654" s="3" t="s">
        <v>8358</v>
      </c>
      <c r="AW654" s="3" t="s">
        <v>8359</v>
      </c>
      <c r="AX654" s="3" t="s">
        <v>8359</v>
      </c>
      <c r="AY654" s="3" t="s">
        <v>8360</v>
      </c>
      <c r="AZ654" s="3" t="s">
        <v>75</v>
      </c>
      <c r="BB654" s="3" t="s">
        <v>8361</v>
      </c>
      <c r="BC654" s="3" t="s">
        <v>8362</v>
      </c>
      <c r="BD654" s="3" t="s">
        <v>8363</v>
      </c>
    </row>
    <row r="655" spans="1:56" ht="48" customHeight="1" x14ac:dyDescent="0.25">
      <c r="A655" s="7" t="s">
        <v>59</v>
      </c>
      <c r="B655" s="2" t="s">
        <v>8364</v>
      </c>
      <c r="C655" s="2" t="s">
        <v>8365</v>
      </c>
      <c r="D655" s="2" t="s">
        <v>8366</v>
      </c>
      <c r="F655" s="3" t="s">
        <v>59</v>
      </c>
      <c r="G655" s="3" t="s">
        <v>60</v>
      </c>
      <c r="H655" s="3" t="s">
        <v>70</v>
      </c>
      <c r="I655" s="3" t="s">
        <v>59</v>
      </c>
      <c r="J655" s="3" t="s">
        <v>61</v>
      </c>
      <c r="K655" s="2" t="s">
        <v>8367</v>
      </c>
      <c r="L655" s="2" t="s">
        <v>8368</v>
      </c>
      <c r="M655" s="3" t="s">
        <v>248</v>
      </c>
      <c r="O655" s="3" t="s">
        <v>64</v>
      </c>
      <c r="P655" s="3" t="s">
        <v>130</v>
      </c>
      <c r="R655" s="3" t="s">
        <v>67</v>
      </c>
      <c r="S655" s="4">
        <v>2</v>
      </c>
      <c r="T655" s="4">
        <v>8</v>
      </c>
      <c r="V655" s="5" t="s">
        <v>8369</v>
      </c>
      <c r="W655" s="5" t="s">
        <v>6862</v>
      </c>
      <c r="X655" s="5" t="s">
        <v>6862</v>
      </c>
      <c r="Y655" s="4">
        <v>357</v>
      </c>
      <c r="Z655" s="4">
        <v>292</v>
      </c>
      <c r="AA655" s="4">
        <v>293</v>
      </c>
      <c r="AB655" s="4">
        <v>4</v>
      </c>
      <c r="AC655" s="4">
        <v>4</v>
      </c>
      <c r="AD655" s="4">
        <v>10</v>
      </c>
      <c r="AE655" s="4">
        <v>10</v>
      </c>
      <c r="AF655" s="4">
        <v>3</v>
      </c>
      <c r="AG655" s="4">
        <v>3</v>
      </c>
      <c r="AH655" s="4">
        <v>3</v>
      </c>
      <c r="AI655" s="4">
        <v>3</v>
      </c>
      <c r="AJ655" s="4">
        <v>7</v>
      </c>
      <c r="AK655" s="4">
        <v>7</v>
      </c>
      <c r="AL655" s="4">
        <v>2</v>
      </c>
      <c r="AM655" s="4">
        <v>2</v>
      </c>
      <c r="AN655" s="4">
        <v>0</v>
      </c>
      <c r="AO655" s="4">
        <v>0</v>
      </c>
      <c r="AP655" s="3" t="s">
        <v>59</v>
      </c>
      <c r="AQ655" s="3" t="s">
        <v>70</v>
      </c>
      <c r="AR655" s="6" t="str">
        <f>HYPERLINK("http://catalog.hathitrust.org/Record/000310574","HathiTrust Record")</f>
        <v>HathiTrust Record</v>
      </c>
      <c r="AS655" s="6" t="str">
        <f>HYPERLINK("https://creighton-primo.hosted.exlibrisgroup.com/primo-explore/search?tab=default_tab&amp;search_scope=EVERYTHING&amp;vid=01CRU&amp;lang=en_US&amp;offset=0&amp;query=any,contains,991001771039702656","Catalog Record")</f>
        <v>Catalog Record</v>
      </c>
      <c r="AT655" s="6" t="str">
        <f>HYPERLINK("http://www.worldcat.org/oclc/6708092","WorldCat Record")</f>
        <v>WorldCat Record</v>
      </c>
      <c r="AU655" s="3" t="s">
        <v>8370</v>
      </c>
      <c r="AV655" s="3" t="s">
        <v>8371</v>
      </c>
      <c r="AW655" s="3" t="s">
        <v>8372</v>
      </c>
      <c r="AX655" s="3" t="s">
        <v>8372</v>
      </c>
      <c r="AY655" s="3" t="s">
        <v>8373</v>
      </c>
      <c r="AZ655" s="3" t="s">
        <v>75</v>
      </c>
      <c r="BB655" s="3" t="s">
        <v>8374</v>
      </c>
      <c r="BC655" s="3" t="s">
        <v>8375</v>
      </c>
      <c r="BD655" s="3" t="s">
        <v>8376</v>
      </c>
    </row>
    <row r="656" spans="1:56" ht="48" customHeight="1" x14ac:dyDescent="0.25">
      <c r="A656" s="7" t="s">
        <v>59</v>
      </c>
      <c r="B656" s="2" t="s">
        <v>8377</v>
      </c>
      <c r="C656" s="2" t="s">
        <v>8378</v>
      </c>
      <c r="D656" s="2" t="s">
        <v>8379</v>
      </c>
      <c r="F656" s="3" t="s">
        <v>59</v>
      </c>
      <c r="G656" s="3" t="s">
        <v>60</v>
      </c>
      <c r="H656" s="3" t="s">
        <v>59</v>
      </c>
      <c r="I656" s="3" t="s">
        <v>59</v>
      </c>
      <c r="J656" s="3" t="s">
        <v>61</v>
      </c>
      <c r="L656" s="2" t="s">
        <v>8380</v>
      </c>
      <c r="M656" s="3" t="s">
        <v>519</v>
      </c>
      <c r="N656" s="2" t="s">
        <v>114</v>
      </c>
      <c r="O656" s="3" t="s">
        <v>64</v>
      </c>
      <c r="P656" s="3" t="s">
        <v>84</v>
      </c>
      <c r="R656" s="3" t="s">
        <v>67</v>
      </c>
      <c r="S656" s="4">
        <v>1</v>
      </c>
      <c r="T656" s="4">
        <v>1</v>
      </c>
      <c r="U656" s="5" t="s">
        <v>8381</v>
      </c>
      <c r="V656" s="5" t="s">
        <v>8381</v>
      </c>
      <c r="W656" s="5" t="s">
        <v>6503</v>
      </c>
      <c r="X656" s="5" t="s">
        <v>6503</v>
      </c>
      <c r="Y656" s="4">
        <v>96</v>
      </c>
      <c r="Z656" s="4">
        <v>47</v>
      </c>
      <c r="AA656" s="4">
        <v>53</v>
      </c>
      <c r="AB656" s="4">
        <v>2</v>
      </c>
      <c r="AC656" s="4">
        <v>2</v>
      </c>
      <c r="AD656" s="4">
        <v>4</v>
      </c>
      <c r="AE656" s="4">
        <v>4</v>
      </c>
      <c r="AF656" s="4">
        <v>1</v>
      </c>
      <c r="AG656" s="4">
        <v>1</v>
      </c>
      <c r="AH656" s="4">
        <v>1</v>
      </c>
      <c r="AI656" s="4">
        <v>1</v>
      </c>
      <c r="AJ656" s="4">
        <v>3</v>
      </c>
      <c r="AK656" s="4">
        <v>3</v>
      </c>
      <c r="AL656" s="4">
        <v>1</v>
      </c>
      <c r="AM656" s="4">
        <v>1</v>
      </c>
      <c r="AN656" s="4">
        <v>0</v>
      </c>
      <c r="AO656" s="4">
        <v>0</v>
      </c>
      <c r="AP656" s="3" t="s">
        <v>59</v>
      </c>
      <c r="AQ656" s="3" t="s">
        <v>59</v>
      </c>
      <c r="AS656" s="6" t="str">
        <f>HYPERLINK("https://creighton-primo.hosted.exlibrisgroup.com/primo-explore/search?tab=default_tab&amp;search_scope=EVERYTHING&amp;vid=01CRU&amp;lang=en_US&amp;offset=0&amp;query=any,contains,991002391449702656","Catalog Record")</f>
        <v>Catalog Record</v>
      </c>
      <c r="AT656" s="6" t="str">
        <f>HYPERLINK("http://www.worldcat.org/oclc/31050404","WorldCat Record")</f>
        <v>WorldCat Record</v>
      </c>
      <c r="AU656" s="3" t="s">
        <v>8382</v>
      </c>
      <c r="AV656" s="3" t="s">
        <v>8383</v>
      </c>
      <c r="AW656" s="3" t="s">
        <v>8384</v>
      </c>
      <c r="AX656" s="3" t="s">
        <v>8384</v>
      </c>
      <c r="AY656" s="3" t="s">
        <v>8385</v>
      </c>
      <c r="AZ656" s="3" t="s">
        <v>75</v>
      </c>
      <c r="BB656" s="3" t="s">
        <v>8386</v>
      </c>
      <c r="BC656" s="3" t="s">
        <v>8387</v>
      </c>
      <c r="BD656" s="3" t="s">
        <v>8388</v>
      </c>
    </row>
    <row r="657" spans="1:56" ht="48" customHeight="1" x14ac:dyDescent="0.25">
      <c r="A657" s="7" t="s">
        <v>59</v>
      </c>
      <c r="B657" s="2" t="s">
        <v>8389</v>
      </c>
      <c r="C657" s="2" t="s">
        <v>8390</v>
      </c>
      <c r="D657" s="2" t="s">
        <v>8391</v>
      </c>
      <c r="F657" s="3" t="s">
        <v>59</v>
      </c>
      <c r="G657" s="3" t="s">
        <v>60</v>
      </c>
      <c r="H657" s="3" t="s">
        <v>59</v>
      </c>
      <c r="I657" s="3" t="s">
        <v>59</v>
      </c>
      <c r="J657" s="3" t="s">
        <v>61</v>
      </c>
      <c r="K657" s="2" t="s">
        <v>8392</v>
      </c>
      <c r="L657" s="2" t="s">
        <v>1675</v>
      </c>
      <c r="M657" s="3" t="s">
        <v>348</v>
      </c>
      <c r="O657" s="3" t="s">
        <v>64</v>
      </c>
      <c r="P657" s="3" t="s">
        <v>176</v>
      </c>
      <c r="R657" s="3" t="s">
        <v>67</v>
      </c>
      <c r="S657" s="4">
        <v>3</v>
      </c>
      <c r="T657" s="4">
        <v>3</v>
      </c>
      <c r="U657" s="5" t="s">
        <v>5546</v>
      </c>
      <c r="V657" s="5" t="s">
        <v>5546</v>
      </c>
      <c r="W657" s="5" t="s">
        <v>8393</v>
      </c>
      <c r="X657" s="5" t="s">
        <v>8393</v>
      </c>
      <c r="Y657" s="4">
        <v>249</v>
      </c>
      <c r="Z657" s="4">
        <v>152</v>
      </c>
      <c r="AA657" s="4">
        <v>196</v>
      </c>
      <c r="AB657" s="4">
        <v>3</v>
      </c>
      <c r="AC657" s="4">
        <v>4</v>
      </c>
      <c r="AD657" s="4">
        <v>5</v>
      </c>
      <c r="AE657" s="4">
        <v>9</v>
      </c>
      <c r="AF657" s="4">
        <v>0</v>
      </c>
      <c r="AG657" s="4">
        <v>2</v>
      </c>
      <c r="AH657" s="4">
        <v>1</v>
      </c>
      <c r="AI657" s="4">
        <v>3</v>
      </c>
      <c r="AJ657" s="4">
        <v>3</v>
      </c>
      <c r="AK657" s="4">
        <v>3</v>
      </c>
      <c r="AL657" s="4">
        <v>2</v>
      </c>
      <c r="AM657" s="4">
        <v>3</v>
      </c>
      <c r="AN657" s="4">
        <v>0</v>
      </c>
      <c r="AO657" s="4">
        <v>0</v>
      </c>
      <c r="AP657" s="3" t="s">
        <v>59</v>
      </c>
      <c r="AQ657" s="3" t="s">
        <v>70</v>
      </c>
      <c r="AR657" s="6" t="str">
        <f>HYPERLINK("http://catalog.hathitrust.org/Record/002631063","HathiTrust Record")</f>
        <v>HathiTrust Record</v>
      </c>
      <c r="AS657" s="6" t="str">
        <f>HYPERLINK("https://creighton-primo.hosted.exlibrisgroup.com/primo-explore/search?tab=default_tab&amp;search_scope=EVERYTHING&amp;vid=01CRU&amp;lang=en_US&amp;offset=0&amp;query=any,contains,991002175129702656","Catalog Record")</f>
        <v>Catalog Record</v>
      </c>
      <c r="AT657" s="6" t="str">
        <f>HYPERLINK("http://www.worldcat.org/oclc/31865767","WorldCat Record")</f>
        <v>WorldCat Record</v>
      </c>
      <c r="AU657" s="3" t="s">
        <v>8394</v>
      </c>
      <c r="AV657" s="3" t="s">
        <v>8395</v>
      </c>
      <c r="AW657" s="3" t="s">
        <v>8396</v>
      </c>
      <c r="AX657" s="3" t="s">
        <v>8396</v>
      </c>
      <c r="AY657" s="3" t="s">
        <v>8397</v>
      </c>
      <c r="AZ657" s="3" t="s">
        <v>75</v>
      </c>
      <c r="BB657" s="3" t="s">
        <v>8398</v>
      </c>
      <c r="BC657" s="3" t="s">
        <v>8399</v>
      </c>
      <c r="BD657" s="3" t="s">
        <v>8400</v>
      </c>
    </row>
    <row r="658" spans="1:56" ht="48" customHeight="1" x14ac:dyDescent="0.25">
      <c r="A658" s="7" t="s">
        <v>59</v>
      </c>
      <c r="B658" s="2" t="s">
        <v>8401</v>
      </c>
      <c r="C658" s="2" t="s">
        <v>8402</v>
      </c>
      <c r="D658" s="2" t="s">
        <v>8403</v>
      </c>
      <c r="F658" s="3" t="s">
        <v>59</v>
      </c>
      <c r="G658" s="3" t="s">
        <v>60</v>
      </c>
      <c r="H658" s="3" t="s">
        <v>59</v>
      </c>
      <c r="I658" s="3" t="s">
        <v>59</v>
      </c>
      <c r="J658" s="3" t="s">
        <v>61</v>
      </c>
      <c r="L658" s="2" t="s">
        <v>8404</v>
      </c>
      <c r="M658" s="3" t="s">
        <v>83</v>
      </c>
      <c r="O658" s="3" t="s">
        <v>64</v>
      </c>
      <c r="P658" s="3" t="s">
        <v>130</v>
      </c>
      <c r="R658" s="3" t="s">
        <v>67</v>
      </c>
      <c r="S658" s="4">
        <v>19</v>
      </c>
      <c r="T658" s="4">
        <v>19</v>
      </c>
      <c r="U658" s="5" t="s">
        <v>8405</v>
      </c>
      <c r="V658" s="5" t="s">
        <v>8405</v>
      </c>
      <c r="W658" s="5" t="s">
        <v>8406</v>
      </c>
      <c r="X658" s="5" t="s">
        <v>8406</v>
      </c>
      <c r="Y658" s="4">
        <v>360</v>
      </c>
      <c r="Z658" s="4">
        <v>258</v>
      </c>
      <c r="AA658" s="4">
        <v>259</v>
      </c>
      <c r="AB658" s="4">
        <v>2</v>
      </c>
      <c r="AC658" s="4">
        <v>2</v>
      </c>
      <c r="AD658" s="4">
        <v>9</v>
      </c>
      <c r="AE658" s="4">
        <v>9</v>
      </c>
      <c r="AF658" s="4">
        <v>3</v>
      </c>
      <c r="AG658" s="4">
        <v>3</v>
      </c>
      <c r="AH658" s="4">
        <v>3</v>
      </c>
      <c r="AI658" s="4">
        <v>3</v>
      </c>
      <c r="AJ658" s="4">
        <v>4</v>
      </c>
      <c r="AK658" s="4">
        <v>4</v>
      </c>
      <c r="AL658" s="4">
        <v>1</v>
      </c>
      <c r="AM658" s="4">
        <v>1</v>
      </c>
      <c r="AN658" s="4">
        <v>0</v>
      </c>
      <c r="AO658" s="4">
        <v>0</v>
      </c>
      <c r="AP658" s="3" t="s">
        <v>59</v>
      </c>
      <c r="AQ658" s="3" t="s">
        <v>70</v>
      </c>
      <c r="AR658" s="6" t="str">
        <f>HYPERLINK("http://catalog.hathitrust.org/Record/004334921","HathiTrust Record")</f>
        <v>HathiTrust Record</v>
      </c>
      <c r="AS658" s="6" t="str">
        <f>HYPERLINK("https://creighton-primo.hosted.exlibrisgroup.com/primo-explore/search?tab=default_tab&amp;search_scope=EVERYTHING&amp;vid=01CRU&amp;lang=en_US&amp;offset=0&amp;query=any,contains,991005424919702656","Catalog Record")</f>
        <v>Catalog Record</v>
      </c>
      <c r="AT658" s="6" t="str">
        <f>HYPERLINK("http://www.worldcat.org/oclc/35637508","WorldCat Record")</f>
        <v>WorldCat Record</v>
      </c>
      <c r="AU658" s="3" t="s">
        <v>8407</v>
      </c>
      <c r="AV658" s="3" t="s">
        <v>8408</v>
      </c>
      <c r="AW658" s="3" t="s">
        <v>8409</v>
      </c>
      <c r="AX658" s="3" t="s">
        <v>8409</v>
      </c>
      <c r="AY658" s="3" t="s">
        <v>8410</v>
      </c>
      <c r="AZ658" s="3" t="s">
        <v>75</v>
      </c>
      <c r="BB658" s="3" t="s">
        <v>8411</v>
      </c>
      <c r="BC658" s="3" t="s">
        <v>8412</v>
      </c>
      <c r="BD658" s="3" t="s">
        <v>8413</v>
      </c>
    </row>
    <row r="659" spans="1:56" ht="48" customHeight="1" x14ac:dyDescent="0.25">
      <c r="A659" s="7" t="s">
        <v>59</v>
      </c>
      <c r="B659" s="2" t="s">
        <v>8414</v>
      </c>
      <c r="C659" s="2" t="s">
        <v>8415</v>
      </c>
      <c r="D659" s="2" t="s">
        <v>8416</v>
      </c>
      <c r="F659" s="3" t="s">
        <v>59</v>
      </c>
      <c r="G659" s="3" t="s">
        <v>60</v>
      </c>
      <c r="H659" s="3" t="s">
        <v>59</v>
      </c>
      <c r="I659" s="3" t="s">
        <v>59</v>
      </c>
      <c r="J659" s="3" t="s">
        <v>61</v>
      </c>
      <c r="K659" s="2" t="s">
        <v>8417</v>
      </c>
      <c r="L659" s="2" t="s">
        <v>8418</v>
      </c>
      <c r="M659" s="3" t="s">
        <v>4596</v>
      </c>
      <c r="N659" s="2" t="s">
        <v>8419</v>
      </c>
      <c r="O659" s="3" t="s">
        <v>64</v>
      </c>
      <c r="P659" s="3" t="s">
        <v>1201</v>
      </c>
      <c r="R659" s="3" t="s">
        <v>67</v>
      </c>
      <c r="S659" s="4">
        <v>1</v>
      </c>
      <c r="T659" s="4">
        <v>1</v>
      </c>
      <c r="U659" s="5" t="s">
        <v>8420</v>
      </c>
      <c r="V659" s="5" t="s">
        <v>8420</v>
      </c>
      <c r="W659" s="5" t="s">
        <v>8420</v>
      </c>
      <c r="X659" s="5" t="s">
        <v>8420</v>
      </c>
      <c r="Y659" s="4">
        <v>482</v>
      </c>
      <c r="Z659" s="4">
        <v>355</v>
      </c>
      <c r="AA659" s="4">
        <v>715</v>
      </c>
      <c r="AB659" s="4">
        <v>2</v>
      </c>
      <c r="AC659" s="4">
        <v>8</v>
      </c>
      <c r="AD659" s="4">
        <v>21</v>
      </c>
      <c r="AE659" s="4">
        <v>41</v>
      </c>
      <c r="AF659" s="4">
        <v>9</v>
      </c>
      <c r="AG659" s="4">
        <v>19</v>
      </c>
      <c r="AH659" s="4">
        <v>4</v>
      </c>
      <c r="AI659" s="4">
        <v>7</v>
      </c>
      <c r="AJ659" s="4">
        <v>11</v>
      </c>
      <c r="AK659" s="4">
        <v>17</v>
      </c>
      <c r="AL659" s="4">
        <v>1</v>
      </c>
      <c r="AM659" s="4">
        <v>7</v>
      </c>
      <c r="AN659" s="4">
        <v>0</v>
      </c>
      <c r="AO659" s="4">
        <v>0</v>
      </c>
      <c r="AP659" s="3" t="s">
        <v>59</v>
      </c>
      <c r="AQ659" s="3" t="s">
        <v>70</v>
      </c>
      <c r="AR659" s="6" t="str">
        <f>HYPERLINK("http://catalog.hathitrust.org/Record/102043577","HathiTrust Record")</f>
        <v>HathiTrust Record</v>
      </c>
      <c r="AS659" s="6" t="str">
        <f>HYPERLINK("https://creighton-primo.hosted.exlibrisgroup.com/primo-explore/search?tab=default_tab&amp;search_scope=EVERYTHING&amp;vid=01CRU&amp;lang=en_US&amp;offset=0&amp;query=any,contains,991004724909702656","Catalog Record")</f>
        <v>Catalog Record</v>
      </c>
      <c r="AT659" s="6" t="str">
        <f>HYPERLINK("http://www.worldcat.org/oclc/59205064","WorldCat Record")</f>
        <v>WorldCat Record</v>
      </c>
      <c r="AU659" s="3" t="s">
        <v>8421</v>
      </c>
      <c r="AV659" s="3" t="s">
        <v>8422</v>
      </c>
      <c r="AW659" s="3" t="s">
        <v>8423</v>
      </c>
      <c r="AX659" s="3" t="s">
        <v>8423</v>
      </c>
      <c r="AY659" s="3" t="s">
        <v>8424</v>
      </c>
      <c r="AZ659" s="3" t="s">
        <v>75</v>
      </c>
      <c r="BB659" s="3" t="s">
        <v>8425</v>
      </c>
      <c r="BC659" s="3" t="s">
        <v>8426</v>
      </c>
      <c r="BD659" s="3" t="s">
        <v>8427</v>
      </c>
    </row>
    <row r="660" spans="1:56" ht="48" customHeight="1" x14ac:dyDescent="0.25">
      <c r="A660" s="7" t="s">
        <v>59</v>
      </c>
      <c r="B660" s="2" t="s">
        <v>8428</v>
      </c>
      <c r="C660" s="2" t="s">
        <v>8429</v>
      </c>
      <c r="D660" s="2" t="s">
        <v>8430</v>
      </c>
      <c r="F660" s="3" t="s">
        <v>59</v>
      </c>
      <c r="G660" s="3" t="s">
        <v>60</v>
      </c>
      <c r="H660" s="3" t="s">
        <v>59</v>
      </c>
      <c r="I660" s="3" t="s">
        <v>59</v>
      </c>
      <c r="J660" s="3" t="s">
        <v>61</v>
      </c>
      <c r="K660" s="2" t="s">
        <v>8431</v>
      </c>
      <c r="L660" s="2" t="s">
        <v>1859</v>
      </c>
      <c r="M660" s="3" t="s">
        <v>872</v>
      </c>
      <c r="O660" s="3" t="s">
        <v>64</v>
      </c>
      <c r="P660" s="3" t="s">
        <v>130</v>
      </c>
      <c r="R660" s="3" t="s">
        <v>67</v>
      </c>
      <c r="S660" s="4">
        <v>2</v>
      </c>
      <c r="T660" s="4">
        <v>2</v>
      </c>
      <c r="U660" s="5" t="s">
        <v>8432</v>
      </c>
      <c r="V660" s="5" t="s">
        <v>8432</v>
      </c>
      <c r="W660" s="5" t="s">
        <v>501</v>
      </c>
      <c r="X660" s="5" t="s">
        <v>501</v>
      </c>
      <c r="Y660" s="4">
        <v>400</v>
      </c>
      <c r="Z660" s="4">
        <v>280</v>
      </c>
      <c r="AA660" s="4">
        <v>322</v>
      </c>
      <c r="AB660" s="4">
        <v>2</v>
      </c>
      <c r="AC660" s="4">
        <v>3</v>
      </c>
      <c r="AD660" s="4">
        <v>11</v>
      </c>
      <c r="AE660" s="4">
        <v>15</v>
      </c>
      <c r="AF660" s="4">
        <v>2</v>
      </c>
      <c r="AG660" s="4">
        <v>4</v>
      </c>
      <c r="AH660" s="4">
        <v>3</v>
      </c>
      <c r="AI660" s="4">
        <v>5</v>
      </c>
      <c r="AJ660" s="4">
        <v>7</v>
      </c>
      <c r="AK660" s="4">
        <v>7</v>
      </c>
      <c r="AL660" s="4">
        <v>1</v>
      </c>
      <c r="AM660" s="4">
        <v>2</v>
      </c>
      <c r="AN660" s="4">
        <v>0</v>
      </c>
      <c r="AO660" s="4">
        <v>0</v>
      </c>
      <c r="AP660" s="3" t="s">
        <v>59</v>
      </c>
      <c r="AQ660" s="3" t="s">
        <v>70</v>
      </c>
      <c r="AR660" s="6" t="str">
        <f>HYPERLINK("http://catalog.hathitrust.org/Record/001555322","HathiTrust Record")</f>
        <v>HathiTrust Record</v>
      </c>
      <c r="AS660" s="6" t="str">
        <f>HYPERLINK("https://creighton-primo.hosted.exlibrisgroup.com/primo-explore/search?tab=default_tab&amp;search_scope=EVERYTHING&amp;vid=01CRU&amp;lang=en_US&amp;offset=0&amp;query=any,contains,991000090759702656","Catalog Record")</f>
        <v>Catalog Record</v>
      </c>
      <c r="AT660" s="6" t="str">
        <f>HYPERLINK("http://www.worldcat.org/oclc/36176","WorldCat Record")</f>
        <v>WorldCat Record</v>
      </c>
      <c r="AU660" s="3" t="s">
        <v>8433</v>
      </c>
      <c r="AV660" s="3" t="s">
        <v>8434</v>
      </c>
      <c r="AW660" s="3" t="s">
        <v>8435</v>
      </c>
      <c r="AX660" s="3" t="s">
        <v>8435</v>
      </c>
      <c r="AY660" s="3" t="s">
        <v>8436</v>
      </c>
      <c r="AZ660" s="3" t="s">
        <v>75</v>
      </c>
      <c r="BC660" s="3" t="s">
        <v>8437</v>
      </c>
      <c r="BD660" s="3" t="s">
        <v>8438</v>
      </c>
    </row>
    <row r="661" spans="1:56" ht="48" customHeight="1" x14ac:dyDescent="0.25">
      <c r="A661" s="7" t="s">
        <v>59</v>
      </c>
      <c r="B661" s="2" t="s">
        <v>8439</v>
      </c>
      <c r="C661" s="2" t="s">
        <v>8440</v>
      </c>
      <c r="D661" s="2" t="s">
        <v>8441</v>
      </c>
      <c r="F661" s="3" t="s">
        <v>59</v>
      </c>
      <c r="G661" s="3" t="s">
        <v>60</v>
      </c>
      <c r="H661" s="3" t="s">
        <v>59</v>
      </c>
      <c r="I661" s="3" t="s">
        <v>59</v>
      </c>
      <c r="J661" s="3" t="s">
        <v>61</v>
      </c>
      <c r="K661" s="2" t="s">
        <v>8431</v>
      </c>
      <c r="L661" s="2" t="s">
        <v>8442</v>
      </c>
      <c r="M661" s="3" t="s">
        <v>5740</v>
      </c>
      <c r="O661" s="3" t="s">
        <v>64</v>
      </c>
      <c r="P661" s="3" t="s">
        <v>130</v>
      </c>
      <c r="R661" s="3" t="s">
        <v>67</v>
      </c>
      <c r="S661" s="4">
        <v>2</v>
      </c>
      <c r="T661" s="4">
        <v>2</v>
      </c>
      <c r="U661" s="5" t="s">
        <v>8432</v>
      </c>
      <c r="V661" s="5" t="s">
        <v>8432</v>
      </c>
      <c r="W661" s="5" t="s">
        <v>501</v>
      </c>
      <c r="X661" s="5" t="s">
        <v>501</v>
      </c>
      <c r="Y661" s="4">
        <v>550</v>
      </c>
      <c r="Z661" s="4">
        <v>428</v>
      </c>
      <c r="AA661" s="4">
        <v>475</v>
      </c>
      <c r="AB661" s="4">
        <v>3</v>
      </c>
      <c r="AC661" s="4">
        <v>3</v>
      </c>
      <c r="AD661" s="4">
        <v>16</v>
      </c>
      <c r="AE661" s="4">
        <v>19</v>
      </c>
      <c r="AF661" s="4">
        <v>5</v>
      </c>
      <c r="AG661" s="4">
        <v>7</v>
      </c>
      <c r="AH661" s="4">
        <v>4</v>
      </c>
      <c r="AI661" s="4">
        <v>6</v>
      </c>
      <c r="AJ661" s="4">
        <v>10</v>
      </c>
      <c r="AK661" s="4">
        <v>10</v>
      </c>
      <c r="AL661" s="4">
        <v>2</v>
      </c>
      <c r="AM661" s="4">
        <v>2</v>
      </c>
      <c r="AN661" s="4">
        <v>0</v>
      </c>
      <c r="AO661" s="4">
        <v>0</v>
      </c>
      <c r="AP661" s="3" t="s">
        <v>59</v>
      </c>
      <c r="AQ661" s="3" t="s">
        <v>70</v>
      </c>
      <c r="AR661" s="6" t="str">
        <f>HYPERLINK("http://catalog.hathitrust.org/Record/001495922","HathiTrust Record")</f>
        <v>HathiTrust Record</v>
      </c>
      <c r="AS661" s="6" t="str">
        <f>HYPERLINK("https://creighton-primo.hosted.exlibrisgroup.com/primo-explore/search?tab=default_tab&amp;search_scope=EVERYTHING&amp;vid=01CRU&amp;lang=en_US&amp;offset=0&amp;query=any,contains,991001734019702656","Catalog Record")</f>
        <v>Catalog Record</v>
      </c>
      <c r="AT661" s="6" t="str">
        <f>HYPERLINK("http://www.worldcat.org/oclc/235033","WorldCat Record")</f>
        <v>WorldCat Record</v>
      </c>
      <c r="AU661" s="3" t="s">
        <v>8443</v>
      </c>
      <c r="AV661" s="3" t="s">
        <v>8444</v>
      </c>
      <c r="AW661" s="3" t="s">
        <v>8445</v>
      </c>
      <c r="AX661" s="3" t="s">
        <v>8445</v>
      </c>
      <c r="AY661" s="3" t="s">
        <v>8446</v>
      </c>
      <c r="AZ661" s="3" t="s">
        <v>75</v>
      </c>
      <c r="BC661" s="3" t="s">
        <v>8447</v>
      </c>
      <c r="BD661" s="3" t="s">
        <v>8448</v>
      </c>
    </row>
    <row r="662" spans="1:56" ht="48" customHeight="1" x14ac:dyDescent="0.25">
      <c r="A662" s="7" t="s">
        <v>59</v>
      </c>
      <c r="B662" s="2" t="s">
        <v>8449</v>
      </c>
      <c r="C662" s="2" t="s">
        <v>8450</v>
      </c>
      <c r="D662" s="2" t="s">
        <v>8451</v>
      </c>
      <c r="F662" s="3" t="s">
        <v>59</v>
      </c>
      <c r="G662" s="3" t="s">
        <v>60</v>
      </c>
      <c r="H662" s="3" t="s">
        <v>59</v>
      </c>
      <c r="I662" s="3" t="s">
        <v>59</v>
      </c>
      <c r="J662" s="3" t="s">
        <v>61</v>
      </c>
      <c r="K662" s="2" t="s">
        <v>8452</v>
      </c>
      <c r="L662" s="2" t="s">
        <v>8453</v>
      </c>
      <c r="M662" s="3" t="s">
        <v>443</v>
      </c>
      <c r="O662" s="3" t="s">
        <v>64</v>
      </c>
      <c r="P662" s="3" t="s">
        <v>130</v>
      </c>
      <c r="R662" s="3" t="s">
        <v>67</v>
      </c>
      <c r="S662" s="4">
        <v>1</v>
      </c>
      <c r="T662" s="4">
        <v>1</v>
      </c>
      <c r="U662" s="5" t="s">
        <v>8454</v>
      </c>
      <c r="V662" s="5" t="s">
        <v>8454</v>
      </c>
      <c r="W662" s="5" t="s">
        <v>621</v>
      </c>
      <c r="X662" s="5" t="s">
        <v>621</v>
      </c>
      <c r="Y662" s="4">
        <v>613</v>
      </c>
      <c r="Z662" s="4">
        <v>467</v>
      </c>
      <c r="AA662" s="4">
        <v>712</v>
      </c>
      <c r="AB662" s="4">
        <v>5</v>
      </c>
      <c r="AC662" s="4">
        <v>6</v>
      </c>
      <c r="AD662" s="4">
        <v>21</v>
      </c>
      <c r="AE662" s="4">
        <v>32</v>
      </c>
      <c r="AF662" s="4">
        <v>8</v>
      </c>
      <c r="AG662" s="4">
        <v>12</v>
      </c>
      <c r="AH662" s="4">
        <v>2</v>
      </c>
      <c r="AI662" s="4">
        <v>5</v>
      </c>
      <c r="AJ662" s="4">
        <v>10</v>
      </c>
      <c r="AK662" s="4">
        <v>16</v>
      </c>
      <c r="AL662" s="4">
        <v>4</v>
      </c>
      <c r="AM662" s="4">
        <v>5</v>
      </c>
      <c r="AN662" s="4">
        <v>0</v>
      </c>
      <c r="AO662" s="4">
        <v>0</v>
      </c>
      <c r="AP662" s="3" t="s">
        <v>59</v>
      </c>
      <c r="AQ662" s="3" t="s">
        <v>70</v>
      </c>
      <c r="AR662" s="6" t="str">
        <f>HYPERLINK("http://catalog.hathitrust.org/Record/001493080","HathiTrust Record")</f>
        <v>HathiTrust Record</v>
      </c>
      <c r="AS662" s="6" t="str">
        <f>HYPERLINK("https://creighton-primo.hosted.exlibrisgroup.com/primo-explore/search?tab=default_tab&amp;search_scope=EVERYTHING&amp;vid=01CRU&amp;lang=en_US&amp;offset=0&amp;query=any,contains,991003156649702656","Catalog Record")</f>
        <v>Catalog Record</v>
      </c>
      <c r="AT662" s="6" t="str">
        <f>HYPERLINK("http://www.worldcat.org/oclc/695680","WorldCat Record")</f>
        <v>WorldCat Record</v>
      </c>
      <c r="AU662" s="3" t="s">
        <v>8455</v>
      </c>
      <c r="AV662" s="3" t="s">
        <v>8456</v>
      </c>
      <c r="AW662" s="3" t="s">
        <v>8457</v>
      </c>
      <c r="AX662" s="3" t="s">
        <v>8457</v>
      </c>
      <c r="AY662" s="3" t="s">
        <v>8458</v>
      </c>
      <c r="AZ662" s="3" t="s">
        <v>75</v>
      </c>
      <c r="BB662" s="3" t="s">
        <v>8459</v>
      </c>
      <c r="BC662" s="3" t="s">
        <v>8460</v>
      </c>
      <c r="BD662" s="3" t="s">
        <v>8461</v>
      </c>
    </row>
    <row r="663" spans="1:56" ht="48" customHeight="1" x14ac:dyDescent="0.25">
      <c r="A663" s="7" t="s">
        <v>59</v>
      </c>
      <c r="B663" s="2" t="s">
        <v>8462</v>
      </c>
      <c r="C663" s="2" t="s">
        <v>8463</v>
      </c>
      <c r="D663" s="2" t="s">
        <v>8464</v>
      </c>
      <c r="F663" s="3" t="s">
        <v>59</v>
      </c>
      <c r="G663" s="3" t="s">
        <v>60</v>
      </c>
      <c r="H663" s="3" t="s">
        <v>59</v>
      </c>
      <c r="I663" s="3" t="s">
        <v>59</v>
      </c>
      <c r="J663" s="3" t="s">
        <v>61</v>
      </c>
      <c r="L663" s="2" t="s">
        <v>8465</v>
      </c>
      <c r="M663" s="3" t="s">
        <v>519</v>
      </c>
      <c r="O663" s="3" t="s">
        <v>64</v>
      </c>
      <c r="P663" s="3" t="s">
        <v>115</v>
      </c>
      <c r="R663" s="3" t="s">
        <v>67</v>
      </c>
      <c r="S663" s="4">
        <v>3</v>
      </c>
      <c r="T663" s="4">
        <v>3</v>
      </c>
      <c r="U663" s="5" t="s">
        <v>8466</v>
      </c>
      <c r="V663" s="5" t="s">
        <v>8466</v>
      </c>
      <c r="W663" s="5" t="s">
        <v>8467</v>
      </c>
      <c r="X663" s="5" t="s">
        <v>8467</v>
      </c>
      <c r="Y663" s="4">
        <v>592</v>
      </c>
      <c r="Z663" s="4">
        <v>412</v>
      </c>
      <c r="AA663" s="4">
        <v>501</v>
      </c>
      <c r="AB663" s="4">
        <v>3</v>
      </c>
      <c r="AC663" s="4">
        <v>3</v>
      </c>
      <c r="AD663" s="4">
        <v>18</v>
      </c>
      <c r="AE663" s="4">
        <v>20</v>
      </c>
      <c r="AF663" s="4">
        <v>7</v>
      </c>
      <c r="AG663" s="4">
        <v>7</v>
      </c>
      <c r="AH663" s="4">
        <v>2</v>
      </c>
      <c r="AI663" s="4">
        <v>3</v>
      </c>
      <c r="AJ663" s="4">
        <v>12</v>
      </c>
      <c r="AK663" s="4">
        <v>13</v>
      </c>
      <c r="AL663" s="4">
        <v>2</v>
      </c>
      <c r="AM663" s="4">
        <v>2</v>
      </c>
      <c r="AN663" s="4">
        <v>0</v>
      </c>
      <c r="AO663" s="4">
        <v>0</v>
      </c>
      <c r="AP663" s="3" t="s">
        <v>59</v>
      </c>
      <c r="AQ663" s="3" t="s">
        <v>70</v>
      </c>
      <c r="AR663" s="6" t="str">
        <f>HYPERLINK("http://catalog.hathitrust.org/Record/002802214","HathiTrust Record")</f>
        <v>HathiTrust Record</v>
      </c>
      <c r="AS663" s="6" t="str">
        <f>HYPERLINK("https://creighton-primo.hosted.exlibrisgroup.com/primo-explore/search?tab=default_tab&amp;search_scope=EVERYTHING&amp;vid=01CRU&amp;lang=en_US&amp;offset=0&amp;query=any,contains,991002270439702656","Catalog Record")</f>
        <v>Catalog Record</v>
      </c>
      <c r="AT663" s="6" t="str">
        <f>HYPERLINK("http://www.worldcat.org/oclc/29467565","WorldCat Record")</f>
        <v>WorldCat Record</v>
      </c>
      <c r="AU663" s="3" t="s">
        <v>8468</v>
      </c>
      <c r="AV663" s="3" t="s">
        <v>8469</v>
      </c>
      <c r="AW663" s="3" t="s">
        <v>8470</v>
      </c>
      <c r="AX663" s="3" t="s">
        <v>8470</v>
      </c>
      <c r="AY663" s="3" t="s">
        <v>8471</v>
      </c>
      <c r="AZ663" s="3" t="s">
        <v>75</v>
      </c>
      <c r="BB663" s="3" t="s">
        <v>8472</v>
      </c>
      <c r="BC663" s="3" t="s">
        <v>8473</v>
      </c>
      <c r="BD663" s="3" t="s">
        <v>8474</v>
      </c>
    </row>
    <row r="664" spans="1:56" ht="48" customHeight="1" x14ac:dyDescent="0.25">
      <c r="A664" s="7" t="s">
        <v>59</v>
      </c>
      <c r="B664" s="2" t="s">
        <v>8475</v>
      </c>
      <c r="C664" s="2" t="s">
        <v>8476</v>
      </c>
      <c r="D664" s="2" t="s">
        <v>8477</v>
      </c>
      <c r="F664" s="3" t="s">
        <v>59</v>
      </c>
      <c r="G664" s="3" t="s">
        <v>60</v>
      </c>
      <c r="H664" s="3" t="s">
        <v>59</v>
      </c>
      <c r="I664" s="3" t="s">
        <v>59</v>
      </c>
      <c r="J664" s="3" t="s">
        <v>61</v>
      </c>
      <c r="L664" s="2" t="s">
        <v>8478</v>
      </c>
      <c r="M664" s="3" t="s">
        <v>2825</v>
      </c>
      <c r="O664" s="3" t="s">
        <v>64</v>
      </c>
      <c r="P664" s="3" t="s">
        <v>176</v>
      </c>
      <c r="R664" s="3" t="s">
        <v>67</v>
      </c>
      <c r="S664" s="4">
        <v>2</v>
      </c>
      <c r="T664" s="4">
        <v>2</v>
      </c>
      <c r="U664" s="5" t="s">
        <v>8479</v>
      </c>
      <c r="V664" s="5" t="s">
        <v>8479</v>
      </c>
      <c r="W664" s="5" t="s">
        <v>8479</v>
      </c>
      <c r="X664" s="5" t="s">
        <v>8479</v>
      </c>
      <c r="Y664" s="4">
        <v>478</v>
      </c>
      <c r="Z664" s="4">
        <v>369</v>
      </c>
      <c r="AA664" s="4">
        <v>439</v>
      </c>
      <c r="AB664" s="4">
        <v>4</v>
      </c>
      <c r="AC664" s="4">
        <v>4</v>
      </c>
      <c r="AD664" s="4">
        <v>25</v>
      </c>
      <c r="AE664" s="4">
        <v>25</v>
      </c>
      <c r="AF664" s="4">
        <v>10</v>
      </c>
      <c r="AG664" s="4">
        <v>10</v>
      </c>
      <c r="AH664" s="4">
        <v>4</v>
      </c>
      <c r="AI664" s="4">
        <v>4</v>
      </c>
      <c r="AJ664" s="4">
        <v>14</v>
      </c>
      <c r="AK664" s="4">
        <v>14</v>
      </c>
      <c r="AL664" s="4">
        <v>3</v>
      </c>
      <c r="AM664" s="4">
        <v>3</v>
      </c>
      <c r="AN664" s="4">
        <v>0</v>
      </c>
      <c r="AO664" s="4">
        <v>0</v>
      </c>
      <c r="AP664" s="3" t="s">
        <v>59</v>
      </c>
      <c r="AQ664" s="3" t="s">
        <v>59</v>
      </c>
      <c r="AS664" s="6" t="str">
        <f>HYPERLINK("https://creighton-primo.hosted.exlibrisgroup.com/primo-explore/search?tab=default_tab&amp;search_scope=EVERYTHING&amp;vid=01CRU&amp;lang=en_US&amp;offset=0&amp;query=any,contains,991005048509702656","Catalog Record")</f>
        <v>Catalog Record</v>
      </c>
      <c r="AT664" s="6" t="str">
        <f>HYPERLINK("http://www.worldcat.org/oclc/65400780","WorldCat Record")</f>
        <v>WorldCat Record</v>
      </c>
      <c r="AU664" s="3" t="s">
        <v>8480</v>
      </c>
      <c r="AV664" s="3" t="s">
        <v>8481</v>
      </c>
      <c r="AW664" s="3" t="s">
        <v>8482</v>
      </c>
      <c r="AX664" s="3" t="s">
        <v>8482</v>
      </c>
      <c r="AY664" s="3" t="s">
        <v>8483</v>
      </c>
      <c r="AZ664" s="3" t="s">
        <v>75</v>
      </c>
      <c r="BB664" s="3" t="s">
        <v>8484</v>
      </c>
      <c r="BC664" s="3" t="s">
        <v>8485</v>
      </c>
      <c r="BD664" s="3" t="s">
        <v>8486</v>
      </c>
    </row>
    <row r="665" spans="1:56" ht="48" customHeight="1" x14ac:dyDescent="0.25">
      <c r="A665" s="7" t="s">
        <v>59</v>
      </c>
      <c r="B665" s="2" t="s">
        <v>8487</v>
      </c>
      <c r="C665" s="2" t="s">
        <v>8488</v>
      </c>
      <c r="D665" s="2" t="s">
        <v>8489</v>
      </c>
      <c r="F665" s="3" t="s">
        <v>59</v>
      </c>
      <c r="G665" s="3" t="s">
        <v>60</v>
      </c>
      <c r="H665" s="3" t="s">
        <v>59</v>
      </c>
      <c r="I665" s="3" t="s">
        <v>59</v>
      </c>
      <c r="J665" s="3" t="s">
        <v>61</v>
      </c>
      <c r="K665" s="2" t="s">
        <v>8490</v>
      </c>
      <c r="L665" s="2" t="s">
        <v>8491</v>
      </c>
      <c r="M665" s="3" t="s">
        <v>319</v>
      </c>
      <c r="O665" s="3" t="s">
        <v>64</v>
      </c>
      <c r="P665" s="3" t="s">
        <v>84</v>
      </c>
      <c r="Q665" s="2" t="s">
        <v>8492</v>
      </c>
      <c r="R665" s="3" t="s">
        <v>67</v>
      </c>
      <c r="S665" s="4">
        <v>2</v>
      </c>
      <c r="T665" s="4">
        <v>2</v>
      </c>
      <c r="U665" s="5" t="s">
        <v>8493</v>
      </c>
      <c r="V665" s="5" t="s">
        <v>8493</v>
      </c>
      <c r="W665" s="5" t="s">
        <v>8494</v>
      </c>
      <c r="X665" s="5" t="s">
        <v>8494</v>
      </c>
      <c r="Y665" s="4">
        <v>502</v>
      </c>
      <c r="Z665" s="4">
        <v>360</v>
      </c>
      <c r="AA665" s="4">
        <v>388</v>
      </c>
      <c r="AB665" s="4">
        <v>2</v>
      </c>
      <c r="AC665" s="4">
        <v>2</v>
      </c>
      <c r="AD665" s="4">
        <v>13</v>
      </c>
      <c r="AE665" s="4">
        <v>15</v>
      </c>
      <c r="AF665" s="4">
        <v>3</v>
      </c>
      <c r="AG665" s="4">
        <v>4</v>
      </c>
      <c r="AH665" s="4">
        <v>6</v>
      </c>
      <c r="AI665" s="4">
        <v>6</v>
      </c>
      <c r="AJ665" s="4">
        <v>8</v>
      </c>
      <c r="AK665" s="4">
        <v>10</v>
      </c>
      <c r="AL665" s="4">
        <v>1</v>
      </c>
      <c r="AM665" s="4">
        <v>1</v>
      </c>
      <c r="AN665" s="4">
        <v>0</v>
      </c>
      <c r="AO665" s="4">
        <v>0</v>
      </c>
      <c r="AP665" s="3" t="s">
        <v>59</v>
      </c>
      <c r="AQ665" s="3" t="s">
        <v>70</v>
      </c>
      <c r="AR665" s="6" t="str">
        <f>HYPERLINK("http://catalog.hathitrust.org/Record/000412503","HathiTrust Record")</f>
        <v>HathiTrust Record</v>
      </c>
      <c r="AS665" s="6" t="str">
        <f>HYPERLINK("https://creighton-primo.hosted.exlibrisgroup.com/primo-explore/search?tab=default_tab&amp;search_scope=EVERYTHING&amp;vid=01CRU&amp;lang=en_US&amp;offset=0&amp;query=any,contains,991000392269702656","Catalog Record")</f>
        <v>Catalog Record</v>
      </c>
      <c r="AT665" s="6" t="str">
        <f>HYPERLINK("http://www.worldcat.org/oclc/10558336","WorldCat Record")</f>
        <v>WorldCat Record</v>
      </c>
      <c r="AU665" s="3" t="s">
        <v>8495</v>
      </c>
      <c r="AV665" s="3" t="s">
        <v>8496</v>
      </c>
      <c r="AW665" s="3" t="s">
        <v>8497</v>
      </c>
      <c r="AX665" s="3" t="s">
        <v>8497</v>
      </c>
      <c r="AY665" s="3" t="s">
        <v>8498</v>
      </c>
      <c r="AZ665" s="3" t="s">
        <v>75</v>
      </c>
      <c r="BB665" s="3" t="s">
        <v>8499</v>
      </c>
      <c r="BC665" s="3" t="s">
        <v>8500</v>
      </c>
      <c r="BD665" s="3" t="s">
        <v>8501</v>
      </c>
    </row>
    <row r="666" spans="1:56" ht="48" customHeight="1" x14ac:dyDescent="0.25">
      <c r="A666" s="7" t="s">
        <v>59</v>
      </c>
      <c r="B666" s="2" t="s">
        <v>8502</v>
      </c>
      <c r="C666" s="2" t="s">
        <v>8503</v>
      </c>
      <c r="D666" s="2" t="s">
        <v>8504</v>
      </c>
      <c r="F666" s="3" t="s">
        <v>59</v>
      </c>
      <c r="G666" s="3" t="s">
        <v>60</v>
      </c>
      <c r="H666" s="3" t="s">
        <v>59</v>
      </c>
      <c r="I666" s="3" t="s">
        <v>59</v>
      </c>
      <c r="J666" s="3" t="s">
        <v>61</v>
      </c>
      <c r="K666" s="2" t="s">
        <v>8505</v>
      </c>
      <c r="L666" s="2" t="s">
        <v>8506</v>
      </c>
      <c r="M666" s="3" t="s">
        <v>843</v>
      </c>
      <c r="O666" s="3" t="s">
        <v>64</v>
      </c>
      <c r="P666" s="3" t="s">
        <v>1257</v>
      </c>
      <c r="R666" s="3" t="s">
        <v>67</v>
      </c>
      <c r="S666" s="4">
        <v>1</v>
      </c>
      <c r="T666" s="4">
        <v>1</v>
      </c>
      <c r="U666" s="5" t="s">
        <v>8507</v>
      </c>
      <c r="V666" s="5" t="s">
        <v>8507</v>
      </c>
      <c r="W666" s="5" t="s">
        <v>8507</v>
      </c>
      <c r="X666" s="5" t="s">
        <v>8507</v>
      </c>
      <c r="Y666" s="4">
        <v>196</v>
      </c>
      <c r="Z666" s="4">
        <v>125</v>
      </c>
      <c r="AA666" s="4">
        <v>146</v>
      </c>
      <c r="AB666" s="4">
        <v>2</v>
      </c>
      <c r="AC666" s="4">
        <v>3</v>
      </c>
      <c r="AD666" s="4">
        <v>10</v>
      </c>
      <c r="AE666" s="4">
        <v>11</v>
      </c>
      <c r="AF666" s="4">
        <v>5</v>
      </c>
      <c r="AG666" s="4">
        <v>5</v>
      </c>
      <c r="AH666" s="4">
        <v>2</v>
      </c>
      <c r="AI666" s="4">
        <v>2</v>
      </c>
      <c r="AJ666" s="4">
        <v>4</v>
      </c>
      <c r="AK666" s="4">
        <v>4</v>
      </c>
      <c r="AL666" s="4">
        <v>1</v>
      </c>
      <c r="AM666" s="4">
        <v>2</v>
      </c>
      <c r="AN666" s="4">
        <v>0</v>
      </c>
      <c r="AO666" s="4">
        <v>0</v>
      </c>
      <c r="AP666" s="3" t="s">
        <v>59</v>
      </c>
      <c r="AQ666" s="3" t="s">
        <v>59</v>
      </c>
      <c r="AS666" s="6" t="str">
        <f>HYPERLINK("https://creighton-primo.hosted.exlibrisgroup.com/primo-explore/search?tab=default_tab&amp;search_scope=EVERYTHING&amp;vid=01CRU&amp;lang=en_US&amp;offset=0&amp;query=any,contains,991005363609702656","Catalog Record")</f>
        <v>Catalog Record</v>
      </c>
      <c r="AT666" s="6" t="str">
        <f>HYPERLINK("http://www.worldcat.org/oclc/213839467","WorldCat Record")</f>
        <v>WorldCat Record</v>
      </c>
      <c r="AU666" s="3" t="s">
        <v>8508</v>
      </c>
      <c r="AV666" s="3" t="s">
        <v>8509</v>
      </c>
      <c r="AW666" s="3" t="s">
        <v>8510</v>
      </c>
      <c r="AX666" s="3" t="s">
        <v>8510</v>
      </c>
      <c r="AY666" s="3" t="s">
        <v>8511</v>
      </c>
      <c r="AZ666" s="3" t="s">
        <v>75</v>
      </c>
      <c r="BB666" s="3" t="s">
        <v>8512</v>
      </c>
      <c r="BC666" s="3" t="s">
        <v>8513</v>
      </c>
      <c r="BD666" s="3" t="s">
        <v>8514</v>
      </c>
    </row>
    <row r="667" spans="1:56" ht="48" customHeight="1" x14ac:dyDescent="0.25">
      <c r="A667" s="7" t="s">
        <v>59</v>
      </c>
      <c r="B667" s="2" t="s">
        <v>8515</v>
      </c>
      <c r="C667" s="2" t="s">
        <v>8516</v>
      </c>
      <c r="D667" s="2" t="s">
        <v>8517</v>
      </c>
      <c r="F667" s="3" t="s">
        <v>59</v>
      </c>
      <c r="G667" s="3" t="s">
        <v>60</v>
      </c>
      <c r="H667" s="3" t="s">
        <v>59</v>
      </c>
      <c r="I667" s="3" t="s">
        <v>59</v>
      </c>
      <c r="J667" s="3" t="s">
        <v>61</v>
      </c>
      <c r="K667" s="2" t="s">
        <v>8518</v>
      </c>
      <c r="L667" s="2" t="s">
        <v>8519</v>
      </c>
      <c r="M667" s="3" t="s">
        <v>2825</v>
      </c>
      <c r="N667" s="2" t="s">
        <v>114</v>
      </c>
      <c r="O667" s="3" t="s">
        <v>64</v>
      </c>
      <c r="P667" s="3" t="s">
        <v>912</v>
      </c>
      <c r="R667" s="3" t="s">
        <v>67</v>
      </c>
      <c r="S667" s="4">
        <v>1</v>
      </c>
      <c r="T667" s="4">
        <v>1</v>
      </c>
      <c r="U667" s="5" t="s">
        <v>8520</v>
      </c>
      <c r="V667" s="5" t="s">
        <v>8520</v>
      </c>
      <c r="W667" s="5" t="s">
        <v>8520</v>
      </c>
      <c r="X667" s="5" t="s">
        <v>8520</v>
      </c>
      <c r="Y667" s="4">
        <v>389</v>
      </c>
      <c r="Z667" s="4">
        <v>287</v>
      </c>
      <c r="AA667" s="4">
        <v>954</v>
      </c>
      <c r="AB667" s="4">
        <v>3</v>
      </c>
      <c r="AC667" s="4">
        <v>31</v>
      </c>
      <c r="AD667" s="4">
        <v>13</v>
      </c>
      <c r="AE667" s="4">
        <v>44</v>
      </c>
      <c r="AF667" s="4">
        <v>5</v>
      </c>
      <c r="AG667" s="4">
        <v>15</v>
      </c>
      <c r="AH667" s="4">
        <v>1</v>
      </c>
      <c r="AI667" s="4">
        <v>6</v>
      </c>
      <c r="AJ667" s="4">
        <v>8</v>
      </c>
      <c r="AK667" s="4">
        <v>15</v>
      </c>
      <c r="AL667" s="4">
        <v>2</v>
      </c>
      <c r="AM667" s="4">
        <v>16</v>
      </c>
      <c r="AN667" s="4">
        <v>0</v>
      </c>
      <c r="AO667" s="4">
        <v>0</v>
      </c>
      <c r="AP667" s="3" t="s">
        <v>59</v>
      </c>
      <c r="AQ667" s="3" t="s">
        <v>70</v>
      </c>
      <c r="AR667" s="6" t="str">
        <f>HYPERLINK("http://catalog.hathitrust.org/Record/102054140","HathiTrust Record")</f>
        <v>HathiTrust Record</v>
      </c>
      <c r="AS667" s="6" t="str">
        <f>HYPERLINK("https://creighton-primo.hosted.exlibrisgroup.com/primo-explore/search?tab=default_tab&amp;search_scope=EVERYTHING&amp;vid=01CRU&amp;lang=en_US&amp;offset=0&amp;query=any,contains,991005200879702656","Catalog Record")</f>
        <v>Catalog Record</v>
      </c>
      <c r="AT667" s="6" t="str">
        <f>HYPERLINK("http://www.worldcat.org/oclc/126230917","WorldCat Record")</f>
        <v>WorldCat Record</v>
      </c>
      <c r="AU667" s="3" t="s">
        <v>8521</v>
      </c>
      <c r="AV667" s="3" t="s">
        <v>8522</v>
      </c>
      <c r="AW667" s="3" t="s">
        <v>8523</v>
      </c>
      <c r="AX667" s="3" t="s">
        <v>8523</v>
      </c>
      <c r="AY667" s="3" t="s">
        <v>8524</v>
      </c>
      <c r="AZ667" s="3" t="s">
        <v>75</v>
      </c>
      <c r="BB667" s="3" t="s">
        <v>8525</v>
      </c>
      <c r="BC667" s="3" t="s">
        <v>8526</v>
      </c>
      <c r="BD667" s="3" t="s">
        <v>8527</v>
      </c>
    </row>
    <row r="668" spans="1:56" ht="48" customHeight="1" x14ac:dyDescent="0.25">
      <c r="A668" s="7" t="s">
        <v>59</v>
      </c>
      <c r="B668" s="2" t="s">
        <v>8528</v>
      </c>
      <c r="C668" s="2" t="s">
        <v>8529</v>
      </c>
      <c r="D668" s="2" t="s">
        <v>8530</v>
      </c>
      <c r="F668" s="3" t="s">
        <v>59</v>
      </c>
      <c r="G668" s="3" t="s">
        <v>60</v>
      </c>
      <c r="H668" s="3" t="s">
        <v>59</v>
      </c>
      <c r="I668" s="3" t="s">
        <v>70</v>
      </c>
      <c r="J668" s="3" t="s">
        <v>61</v>
      </c>
      <c r="K668" s="2" t="s">
        <v>8531</v>
      </c>
      <c r="L668" s="2" t="s">
        <v>8532</v>
      </c>
      <c r="M668" s="3" t="s">
        <v>63</v>
      </c>
      <c r="N668" s="2" t="s">
        <v>2003</v>
      </c>
      <c r="O668" s="3" t="s">
        <v>64</v>
      </c>
      <c r="P668" s="3" t="s">
        <v>130</v>
      </c>
      <c r="R668" s="3" t="s">
        <v>67</v>
      </c>
      <c r="S668" s="4">
        <v>1</v>
      </c>
      <c r="T668" s="4">
        <v>1</v>
      </c>
      <c r="U668" s="5" t="s">
        <v>8533</v>
      </c>
      <c r="V668" s="5" t="s">
        <v>8533</v>
      </c>
      <c r="W668" s="5" t="s">
        <v>8534</v>
      </c>
      <c r="X668" s="5" t="s">
        <v>8534</v>
      </c>
      <c r="Y668" s="4">
        <v>437</v>
      </c>
      <c r="Z668" s="4">
        <v>288</v>
      </c>
      <c r="AA668" s="4">
        <v>566</v>
      </c>
      <c r="AB668" s="4">
        <v>4</v>
      </c>
      <c r="AC668" s="4">
        <v>6</v>
      </c>
      <c r="AD668" s="4">
        <v>7</v>
      </c>
      <c r="AE668" s="4">
        <v>16</v>
      </c>
      <c r="AF668" s="4">
        <v>1</v>
      </c>
      <c r="AG668" s="4">
        <v>4</v>
      </c>
      <c r="AH668" s="4">
        <v>2</v>
      </c>
      <c r="AI668" s="4">
        <v>5</v>
      </c>
      <c r="AJ668" s="4">
        <v>3</v>
      </c>
      <c r="AK668" s="4">
        <v>6</v>
      </c>
      <c r="AL668" s="4">
        <v>3</v>
      </c>
      <c r="AM668" s="4">
        <v>3</v>
      </c>
      <c r="AN668" s="4">
        <v>0</v>
      </c>
      <c r="AO668" s="4">
        <v>0</v>
      </c>
      <c r="AP668" s="3" t="s">
        <v>59</v>
      </c>
      <c r="AQ668" s="3" t="s">
        <v>70</v>
      </c>
      <c r="AR668" s="6" t="str">
        <f>HYPERLINK("http://catalog.hathitrust.org/Record/000082895","HathiTrust Record")</f>
        <v>HathiTrust Record</v>
      </c>
      <c r="AS668" s="6" t="str">
        <f>HYPERLINK("https://creighton-primo.hosted.exlibrisgroup.com/primo-explore/search?tab=default_tab&amp;search_scope=EVERYTHING&amp;vid=01CRU&amp;lang=en_US&amp;offset=0&amp;query=any,contains,991004144779702656","Catalog Record")</f>
        <v>Catalog Record</v>
      </c>
      <c r="AT668" s="6" t="str">
        <f>HYPERLINK("http://www.worldcat.org/oclc/2507616","WorldCat Record")</f>
        <v>WorldCat Record</v>
      </c>
      <c r="AU668" s="3" t="s">
        <v>8535</v>
      </c>
      <c r="AV668" s="3" t="s">
        <v>8536</v>
      </c>
      <c r="AW668" s="3" t="s">
        <v>8537</v>
      </c>
      <c r="AX668" s="3" t="s">
        <v>8537</v>
      </c>
      <c r="AY668" s="3" t="s">
        <v>8538</v>
      </c>
      <c r="AZ668" s="3" t="s">
        <v>75</v>
      </c>
      <c r="BB668" s="3" t="s">
        <v>8539</v>
      </c>
      <c r="BC668" s="3" t="s">
        <v>8540</v>
      </c>
      <c r="BD668" s="3" t="s">
        <v>8541</v>
      </c>
    </row>
    <row r="669" spans="1:56" ht="48" customHeight="1" x14ac:dyDescent="0.25">
      <c r="A669" s="7" t="s">
        <v>59</v>
      </c>
      <c r="B669" s="2" t="s">
        <v>8542</v>
      </c>
      <c r="C669" s="2" t="s">
        <v>8543</v>
      </c>
      <c r="D669" s="2" t="s">
        <v>8544</v>
      </c>
      <c r="F669" s="3" t="s">
        <v>59</v>
      </c>
      <c r="G669" s="3" t="s">
        <v>60</v>
      </c>
      <c r="H669" s="3" t="s">
        <v>59</v>
      </c>
      <c r="I669" s="3" t="s">
        <v>59</v>
      </c>
      <c r="J669" s="3" t="s">
        <v>61</v>
      </c>
      <c r="L669" s="2" t="s">
        <v>8545</v>
      </c>
      <c r="M669" s="3" t="s">
        <v>248</v>
      </c>
      <c r="O669" s="3" t="s">
        <v>64</v>
      </c>
      <c r="P669" s="3" t="s">
        <v>84</v>
      </c>
      <c r="R669" s="3" t="s">
        <v>67</v>
      </c>
      <c r="S669" s="4">
        <v>1</v>
      </c>
      <c r="T669" s="4">
        <v>1</v>
      </c>
      <c r="U669" s="5" t="s">
        <v>8546</v>
      </c>
      <c r="V669" s="5" t="s">
        <v>8546</v>
      </c>
      <c r="W669" s="5" t="s">
        <v>8546</v>
      </c>
      <c r="X669" s="5" t="s">
        <v>8546</v>
      </c>
      <c r="Y669" s="4">
        <v>235</v>
      </c>
      <c r="Z669" s="4">
        <v>154</v>
      </c>
      <c r="AA669" s="4">
        <v>155</v>
      </c>
      <c r="AB669" s="4">
        <v>2</v>
      </c>
      <c r="AC669" s="4">
        <v>2</v>
      </c>
      <c r="AD669" s="4">
        <v>3</v>
      </c>
      <c r="AE669" s="4">
        <v>3</v>
      </c>
      <c r="AF669" s="4">
        <v>1</v>
      </c>
      <c r="AG669" s="4">
        <v>1</v>
      </c>
      <c r="AH669" s="4">
        <v>1</v>
      </c>
      <c r="AI669" s="4">
        <v>1</v>
      </c>
      <c r="AJ669" s="4">
        <v>0</v>
      </c>
      <c r="AK669" s="4">
        <v>0</v>
      </c>
      <c r="AL669" s="4">
        <v>1</v>
      </c>
      <c r="AM669" s="4">
        <v>1</v>
      </c>
      <c r="AN669" s="4">
        <v>0</v>
      </c>
      <c r="AO669" s="4">
        <v>0</v>
      </c>
      <c r="AP669" s="3" t="s">
        <v>59</v>
      </c>
      <c r="AQ669" s="3" t="s">
        <v>70</v>
      </c>
      <c r="AR669" s="6" t="str">
        <f>HYPERLINK("http://catalog.hathitrust.org/Record/000122136","HathiTrust Record")</f>
        <v>HathiTrust Record</v>
      </c>
      <c r="AS669" s="6" t="str">
        <f>HYPERLINK("https://creighton-primo.hosted.exlibrisgroup.com/primo-explore/search?tab=default_tab&amp;search_scope=EVERYTHING&amp;vid=01CRU&amp;lang=en_US&amp;offset=0&amp;query=any,contains,991005217849702656","Catalog Record")</f>
        <v>Catalog Record</v>
      </c>
      <c r="AT669" s="6" t="str">
        <f>HYPERLINK("http://www.worldcat.org/oclc/8197330","WorldCat Record")</f>
        <v>WorldCat Record</v>
      </c>
      <c r="AU669" s="3" t="s">
        <v>8547</v>
      </c>
      <c r="AV669" s="3" t="s">
        <v>8548</v>
      </c>
      <c r="AW669" s="3" t="s">
        <v>8549</v>
      </c>
      <c r="AX669" s="3" t="s">
        <v>8549</v>
      </c>
      <c r="AY669" s="3" t="s">
        <v>8550</v>
      </c>
      <c r="AZ669" s="3" t="s">
        <v>75</v>
      </c>
      <c r="BB669" s="3" t="s">
        <v>8551</v>
      </c>
      <c r="BC669" s="3" t="s">
        <v>8552</v>
      </c>
      <c r="BD669" s="3" t="s">
        <v>8553</v>
      </c>
    </row>
    <row r="670" spans="1:56" ht="48" customHeight="1" x14ac:dyDescent="0.25">
      <c r="A670" s="7" t="s">
        <v>59</v>
      </c>
      <c r="B670" s="2" t="s">
        <v>8554</v>
      </c>
      <c r="C670" s="2" t="s">
        <v>8555</v>
      </c>
      <c r="D670" s="2" t="s">
        <v>8556</v>
      </c>
      <c r="F670" s="3" t="s">
        <v>59</v>
      </c>
      <c r="G670" s="3" t="s">
        <v>60</v>
      </c>
      <c r="H670" s="3" t="s">
        <v>59</v>
      </c>
      <c r="I670" s="3" t="s">
        <v>59</v>
      </c>
      <c r="J670" s="3" t="s">
        <v>61</v>
      </c>
      <c r="L670" s="2" t="s">
        <v>8557</v>
      </c>
      <c r="M670" s="3" t="s">
        <v>333</v>
      </c>
      <c r="O670" s="3" t="s">
        <v>64</v>
      </c>
      <c r="P670" s="3" t="s">
        <v>1201</v>
      </c>
      <c r="R670" s="3" t="s">
        <v>67</v>
      </c>
      <c r="S670" s="4">
        <v>2</v>
      </c>
      <c r="T670" s="4">
        <v>2</v>
      </c>
      <c r="U670" s="5" t="s">
        <v>8558</v>
      </c>
      <c r="V670" s="5" t="s">
        <v>8558</v>
      </c>
      <c r="W670" s="5" t="s">
        <v>6862</v>
      </c>
      <c r="X670" s="5" t="s">
        <v>6862</v>
      </c>
      <c r="Y670" s="4">
        <v>315</v>
      </c>
      <c r="Z670" s="4">
        <v>200</v>
      </c>
      <c r="AA670" s="4">
        <v>223</v>
      </c>
      <c r="AB670" s="4">
        <v>3</v>
      </c>
      <c r="AC670" s="4">
        <v>3</v>
      </c>
      <c r="AD670" s="4">
        <v>8</v>
      </c>
      <c r="AE670" s="4">
        <v>9</v>
      </c>
      <c r="AF670" s="4">
        <v>2</v>
      </c>
      <c r="AG670" s="4">
        <v>3</v>
      </c>
      <c r="AH670" s="4">
        <v>2</v>
      </c>
      <c r="AI670" s="4">
        <v>2</v>
      </c>
      <c r="AJ670" s="4">
        <v>5</v>
      </c>
      <c r="AK670" s="4">
        <v>6</v>
      </c>
      <c r="AL670" s="4">
        <v>2</v>
      </c>
      <c r="AM670" s="4">
        <v>2</v>
      </c>
      <c r="AN670" s="4">
        <v>0</v>
      </c>
      <c r="AO670" s="4">
        <v>0</v>
      </c>
      <c r="AP670" s="3" t="s">
        <v>59</v>
      </c>
      <c r="AQ670" s="3" t="s">
        <v>70</v>
      </c>
      <c r="AR670" s="6" t="str">
        <f>HYPERLINK("http://catalog.hathitrust.org/Record/000464024","HathiTrust Record")</f>
        <v>HathiTrust Record</v>
      </c>
      <c r="AS670" s="6" t="str">
        <f>HYPERLINK("https://creighton-primo.hosted.exlibrisgroup.com/primo-explore/search?tab=default_tab&amp;search_scope=EVERYTHING&amp;vid=01CRU&amp;lang=en_US&amp;offset=0&amp;query=any,contains,991000525299702656","Catalog Record")</f>
        <v>Catalog Record</v>
      </c>
      <c r="AT670" s="6" t="str">
        <f>HYPERLINK("http://www.worldcat.org/oclc/11370131","WorldCat Record")</f>
        <v>WorldCat Record</v>
      </c>
      <c r="AU670" s="3" t="s">
        <v>8559</v>
      </c>
      <c r="AV670" s="3" t="s">
        <v>8560</v>
      </c>
      <c r="AW670" s="3" t="s">
        <v>8561</v>
      </c>
      <c r="AX670" s="3" t="s">
        <v>8561</v>
      </c>
      <c r="AY670" s="3" t="s">
        <v>8562</v>
      </c>
      <c r="AZ670" s="3" t="s">
        <v>75</v>
      </c>
      <c r="BB670" s="3" t="s">
        <v>8563</v>
      </c>
      <c r="BC670" s="3" t="s">
        <v>8564</v>
      </c>
      <c r="BD670" s="3" t="s">
        <v>8565</v>
      </c>
    </row>
    <row r="671" spans="1:56" ht="48" customHeight="1" x14ac:dyDescent="0.25">
      <c r="A671" s="7" t="s">
        <v>59</v>
      </c>
      <c r="B671" s="2" t="s">
        <v>8566</v>
      </c>
      <c r="C671" s="2" t="s">
        <v>8567</v>
      </c>
      <c r="D671" s="2" t="s">
        <v>8568</v>
      </c>
      <c r="F671" s="3" t="s">
        <v>59</v>
      </c>
      <c r="G671" s="3" t="s">
        <v>60</v>
      </c>
      <c r="H671" s="3" t="s">
        <v>59</v>
      </c>
      <c r="I671" s="3" t="s">
        <v>59</v>
      </c>
      <c r="J671" s="3" t="s">
        <v>61</v>
      </c>
      <c r="L671" s="2" t="s">
        <v>8569</v>
      </c>
      <c r="M671" s="3" t="s">
        <v>2680</v>
      </c>
      <c r="O671" s="3" t="s">
        <v>64</v>
      </c>
      <c r="P671" s="3" t="s">
        <v>191</v>
      </c>
      <c r="Q671" s="2" t="s">
        <v>8570</v>
      </c>
      <c r="R671" s="3" t="s">
        <v>67</v>
      </c>
      <c r="S671" s="4">
        <v>7</v>
      </c>
      <c r="T671" s="4">
        <v>7</v>
      </c>
      <c r="U671" s="5" t="s">
        <v>8571</v>
      </c>
      <c r="V671" s="5" t="s">
        <v>8571</v>
      </c>
      <c r="W671" s="5" t="s">
        <v>8572</v>
      </c>
      <c r="X671" s="5" t="s">
        <v>8572</v>
      </c>
      <c r="Y671" s="4">
        <v>197</v>
      </c>
      <c r="Z671" s="4">
        <v>155</v>
      </c>
      <c r="AA671" s="4">
        <v>219</v>
      </c>
      <c r="AB671" s="4">
        <v>1</v>
      </c>
      <c r="AC671" s="4">
        <v>1</v>
      </c>
      <c r="AD671" s="4">
        <v>4</v>
      </c>
      <c r="AE671" s="4">
        <v>4</v>
      </c>
      <c r="AF671" s="4">
        <v>0</v>
      </c>
      <c r="AG671" s="4">
        <v>0</v>
      </c>
      <c r="AH671" s="4">
        <v>2</v>
      </c>
      <c r="AI671" s="4">
        <v>2</v>
      </c>
      <c r="AJ671" s="4">
        <v>3</v>
      </c>
      <c r="AK671" s="4">
        <v>3</v>
      </c>
      <c r="AL671" s="4">
        <v>0</v>
      </c>
      <c r="AM671" s="4">
        <v>0</v>
      </c>
      <c r="AN671" s="4">
        <v>0</v>
      </c>
      <c r="AO671" s="4">
        <v>0</v>
      </c>
      <c r="AP671" s="3" t="s">
        <v>59</v>
      </c>
      <c r="AQ671" s="3" t="s">
        <v>59</v>
      </c>
      <c r="AS671" s="6" t="str">
        <f>HYPERLINK("https://creighton-primo.hosted.exlibrisgroup.com/primo-explore/search?tab=default_tab&amp;search_scope=EVERYTHING&amp;vid=01CRU&amp;lang=en_US&amp;offset=0&amp;query=any,contains,991003208339702656","Catalog Record")</f>
        <v>Catalog Record</v>
      </c>
      <c r="AT671" s="6" t="str">
        <f>HYPERLINK("http://www.worldcat.org/oclc/42049355","WorldCat Record")</f>
        <v>WorldCat Record</v>
      </c>
      <c r="AU671" s="3" t="s">
        <v>8573</v>
      </c>
      <c r="AV671" s="3" t="s">
        <v>8574</v>
      </c>
      <c r="AW671" s="3" t="s">
        <v>8575</v>
      </c>
      <c r="AX671" s="3" t="s">
        <v>8575</v>
      </c>
      <c r="AY671" s="3" t="s">
        <v>8576</v>
      </c>
      <c r="AZ671" s="3" t="s">
        <v>75</v>
      </c>
      <c r="BB671" s="3" t="s">
        <v>8577</v>
      </c>
      <c r="BC671" s="3" t="s">
        <v>8578</v>
      </c>
      <c r="BD671" s="3" t="s">
        <v>8579</v>
      </c>
    </row>
    <row r="672" spans="1:56" ht="48" customHeight="1" x14ac:dyDescent="0.25">
      <c r="A672" s="7" t="s">
        <v>59</v>
      </c>
      <c r="B672" s="2" t="s">
        <v>8580</v>
      </c>
      <c r="C672" s="2" t="s">
        <v>8581</v>
      </c>
      <c r="D672" s="2" t="s">
        <v>8582</v>
      </c>
      <c r="F672" s="3" t="s">
        <v>59</v>
      </c>
      <c r="G672" s="3" t="s">
        <v>60</v>
      </c>
      <c r="H672" s="3" t="s">
        <v>70</v>
      </c>
      <c r="I672" s="3" t="s">
        <v>59</v>
      </c>
      <c r="J672" s="3" t="s">
        <v>61</v>
      </c>
      <c r="K672" s="2" t="s">
        <v>8583</v>
      </c>
      <c r="L672" s="2" t="s">
        <v>8584</v>
      </c>
      <c r="M672" s="3" t="s">
        <v>417</v>
      </c>
      <c r="O672" s="3" t="s">
        <v>64</v>
      </c>
      <c r="P672" s="3" t="s">
        <v>84</v>
      </c>
      <c r="Q672" s="2" t="s">
        <v>8585</v>
      </c>
      <c r="R672" s="3" t="s">
        <v>67</v>
      </c>
      <c r="S672" s="4">
        <v>1</v>
      </c>
      <c r="T672" s="4">
        <v>1</v>
      </c>
      <c r="U672" s="5" t="s">
        <v>7035</v>
      </c>
      <c r="V672" s="5" t="s">
        <v>7035</v>
      </c>
      <c r="W672" s="5" t="s">
        <v>6862</v>
      </c>
      <c r="X672" s="5" t="s">
        <v>6862</v>
      </c>
      <c r="Y672" s="4">
        <v>448</v>
      </c>
      <c r="Z672" s="4">
        <v>323</v>
      </c>
      <c r="AA672" s="4">
        <v>325</v>
      </c>
      <c r="AB672" s="4">
        <v>3</v>
      </c>
      <c r="AC672" s="4">
        <v>3</v>
      </c>
      <c r="AD672" s="4">
        <v>15</v>
      </c>
      <c r="AE672" s="4">
        <v>15</v>
      </c>
      <c r="AF672" s="4">
        <v>6</v>
      </c>
      <c r="AG672" s="4">
        <v>6</v>
      </c>
      <c r="AH672" s="4">
        <v>5</v>
      </c>
      <c r="AI672" s="4">
        <v>5</v>
      </c>
      <c r="AJ672" s="4">
        <v>8</v>
      </c>
      <c r="AK672" s="4">
        <v>8</v>
      </c>
      <c r="AL672" s="4">
        <v>1</v>
      </c>
      <c r="AM672" s="4">
        <v>1</v>
      </c>
      <c r="AN672" s="4">
        <v>0</v>
      </c>
      <c r="AO672" s="4">
        <v>0</v>
      </c>
      <c r="AP672" s="3" t="s">
        <v>59</v>
      </c>
      <c r="AQ672" s="3" t="s">
        <v>70</v>
      </c>
      <c r="AR672" s="6" t="str">
        <f>HYPERLINK("http://catalog.hathitrust.org/Record/000203548","HathiTrust Record")</f>
        <v>HathiTrust Record</v>
      </c>
      <c r="AS672" s="6" t="str">
        <f>HYPERLINK("https://creighton-primo.hosted.exlibrisgroup.com/primo-explore/search?tab=default_tab&amp;search_scope=EVERYTHING&amp;vid=01CRU&amp;lang=en_US&amp;offset=0&amp;query=any,contains,991005249089702656","Catalog Record")</f>
        <v>Catalog Record</v>
      </c>
      <c r="AT672" s="6" t="str">
        <f>HYPERLINK("http://www.worldcat.org/oclc/8476156","WorldCat Record")</f>
        <v>WorldCat Record</v>
      </c>
      <c r="AU672" s="3" t="s">
        <v>8586</v>
      </c>
      <c r="AV672" s="3" t="s">
        <v>8587</v>
      </c>
      <c r="AW672" s="3" t="s">
        <v>8588</v>
      </c>
      <c r="AX672" s="3" t="s">
        <v>8588</v>
      </c>
      <c r="AY672" s="3" t="s">
        <v>8589</v>
      </c>
      <c r="AZ672" s="3" t="s">
        <v>75</v>
      </c>
      <c r="BB672" s="3" t="s">
        <v>8590</v>
      </c>
      <c r="BC672" s="3" t="s">
        <v>8591</v>
      </c>
      <c r="BD672" s="3" t="s">
        <v>8592</v>
      </c>
    </row>
    <row r="673" spans="1:56" ht="48" customHeight="1" x14ac:dyDescent="0.25">
      <c r="A673" s="7" t="s">
        <v>59</v>
      </c>
      <c r="B673" s="2" t="s">
        <v>8593</v>
      </c>
      <c r="C673" s="2" t="s">
        <v>8594</v>
      </c>
      <c r="D673" s="2" t="s">
        <v>8595</v>
      </c>
      <c r="F673" s="3" t="s">
        <v>59</v>
      </c>
      <c r="G673" s="3" t="s">
        <v>60</v>
      </c>
      <c r="H673" s="3" t="s">
        <v>59</v>
      </c>
      <c r="I673" s="3" t="s">
        <v>59</v>
      </c>
      <c r="J673" s="3" t="s">
        <v>61</v>
      </c>
      <c r="L673" s="2" t="s">
        <v>8596</v>
      </c>
      <c r="M673" s="3" t="s">
        <v>333</v>
      </c>
      <c r="O673" s="3" t="s">
        <v>64</v>
      </c>
      <c r="P673" s="3" t="s">
        <v>84</v>
      </c>
      <c r="R673" s="3" t="s">
        <v>67</v>
      </c>
      <c r="S673" s="4">
        <v>4</v>
      </c>
      <c r="T673" s="4">
        <v>4</v>
      </c>
      <c r="U673" s="5" t="s">
        <v>8597</v>
      </c>
      <c r="V673" s="5" t="s">
        <v>8597</v>
      </c>
      <c r="W673" s="5" t="s">
        <v>6862</v>
      </c>
      <c r="X673" s="5" t="s">
        <v>6862</v>
      </c>
      <c r="Y673" s="4">
        <v>123</v>
      </c>
      <c r="Z673" s="4">
        <v>92</v>
      </c>
      <c r="AA673" s="4">
        <v>93</v>
      </c>
      <c r="AB673" s="4">
        <v>2</v>
      </c>
      <c r="AC673" s="4">
        <v>2</v>
      </c>
      <c r="AD673" s="4">
        <v>5</v>
      </c>
      <c r="AE673" s="4">
        <v>5</v>
      </c>
      <c r="AF673" s="4">
        <v>1</v>
      </c>
      <c r="AG673" s="4">
        <v>1</v>
      </c>
      <c r="AH673" s="4">
        <v>2</v>
      </c>
      <c r="AI673" s="4">
        <v>2</v>
      </c>
      <c r="AJ673" s="4">
        <v>3</v>
      </c>
      <c r="AK673" s="4">
        <v>3</v>
      </c>
      <c r="AL673" s="4">
        <v>1</v>
      </c>
      <c r="AM673" s="4">
        <v>1</v>
      </c>
      <c r="AN673" s="4">
        <v>0</v>
      </c>
      <c r="AO673" s="4">
        <v>0</v>
      </c>
      <c r="AP673" s="3" t="s">
        <v>59</v>
      </c>
      <c r="AQ673" s="3" t="s">
        <v>70</v>
      </c>
      <c r="AR673" s="6" t="str">
        <f>HYPERLINK("http://catalog.hathitrust.org/Record/006248367","HathiTrust Record")</f>
        <v>HathiTrust Record</v>
      </c>
      <c r="AS673" s="6" t="str">
        <f>HYPERLINK("https://creighton-primo.hosted.exlibrisgroup.com/primo-explore/search?tab=default_tab&amp;search_scope=EVERYTHING&amp;vid=01CRU&amp;lang=en_US&amp;offset=0&amp;query=any,contains,991000769779702656","Catalog Record")</f>
        <v>Catalog Record</v>
      </c>
      <c r="AT673" s="6" t="str">
        <f>HYPERLINK("http://www.worldcat.org/oclc/13010180","WorldCat Record")</f>
        <v>WorldCat Record</v>
      </c>
      <c r="AU673" s="3" t="s">
        <v>8598</v>
      </c>
      <c r="AV673" s="3" t="s">
        <v>8599</v>
      </c>
      <c r="AW673" s="3" t="s">
        <v>8600</v>
      </c>
      <c r="AX673" s="3" t="s">
        <v>8600</v>
      </c>
      <c r="AY673" s="3" t="s">
        <v>8601</v>
      </c>
      <c r="AZ673" s="3" t="s">
        <v>75</v>
      </c>
      <c r="BB673" s="3" t="s">
        <v>8602</v>
      </c>
      <c r="BC673" s="3" t="s">
        <v>8603</v>
      </c>
      <c r="BD673" s="3" t="s">
        <v>8604</v>
      </c>
    </row>
    <row r="674" spans="1:56" ht="48" customHeight="1" x14ac:dyDescent="0.25">
      <c r="A674" s="7" t="s">
        <v>59</v>
      </c>
      <c r="B674" s="2" t="s">
        <v>8605</v>
      </c>
      <c r="C674" s="2" t="s">
        <v>8606</v>
      </c>
      <c r="D674" s="2" t="s">
        <v>8607</v>
      </c>
      <c r="F674" s="3" t="s">
        <v>59</v>
      </c>
      <c r="G674" s="3" t="s">
        <v>60</v>
      </c>
      <c r="H674" s="3" t="s">
        <v>59</v>
      </c>
      <c r="I674" s="3" t="s">
        <v>59</v>
      </c>
      <c r="J674" s="3" t="s">
        <v>61</v>
      </c>
      <c r="K674" s="2" t="s">
        <v>8608</v>
      </c>
      <c r="L674" s="2" t="s">
        <v>4396</v>
      </c>
      <c r="M674" s="3" t="s">
        <v>234</v>
      </c>
      <c r="O674" s="3" t="s">
        <v>64</v>
      </c>
      <c r="P674" s="3" t="s">
        <v>130</v>
      </c>
      <c r="Q674" s="2" t="s">
        <v>8609</v>
      </c>
      <c r="R674" s="3" t="s">
        <v>67</v>
      </c>
      <c r="S674" s="4">
        <v>2</v>
      </c>
      <c r="T674" s="4">
        <v>2</v>
      </c>
      <c r="U674" s="5" t="s">
        <v>8610</v>
      </c>
      <c r="V674" s="5" t="s">
        <v>8610</v>
      </c>
      <c r="W674" s="5" t="s">
        <v>8611</v>
      </c>
      <c r="X674" s="5" t="s">
        <v>8611</v>
      </c>
      <c r="Y674" s="4">
        <v>226</v>
      </c>
      <c r="Z674" s="4">
        <v>179</v>
      </c>
      <c r="AA674" s="4">
        <v>196</v>
      </c>
      <c r="AB674" s="4">
        <v>1</v>
      </c>
      <c r="AC674" s="4">
        <v>1</v>
      </c>
      <c r="AD674" s="4">
        <v>6</v>
      </c>
      <c r="AE674" s="4">
        <v>7</v>
      </c>
      <c r="AF674" s="4">
        <v>1</v>
      </c>
      <c r="AG674" s="4">
        <v>2</v>
      </c>
      <c r="AH674" s="4">
        <v>3</v>
      </c>
      <c r="AI674" s="4">
        <v>3</v>
      </c>
      <c r="AJ674" s="4">
        <v>4</v>
      </c>
      <c r="AK674" s="4">
        <v>5</v>
      </c>
      <c r="AL674" s="4">
        <v>0</v>
      </c>
      <c r="AM674" s="4">
        <v>0</v>
      </c>
      <c r="AN674" s="4">
        <v>0</v>
      </c>
      <c r="AO674" s="4">
        <v>0</v>
      </c>
      <c r="AP674" s="3" t="s">
        <v>59</v>
      </c>
      <c r="AQ674" s="3" t="s">
        <v>59</v>
      </c>
      <c r="AS674" s="6" t="str">
        <f>HYPERLINK("https://creighton-primo.hosted.exlibrisgroup.com/primo-explore/search?tab=default_tab&amp;search_scope=EVERYTHING&amp;vid=01CRU&amp;lang=en_US&amp;offset=0&amp;query=any,contains,991001565539702656","Catalog Record")</f>
        <v>Catalog Record</v>
      </c>
      <c r="AT674" s="6" t="str">
        <f>HYPERLINK("http://www.worldcat.org/oclc/20320419","WorldCat Record")</f>
        <v>WorldCat Record</v>
      </c>
      <c r="AU674" s="3" t="s">
        <v>8612</v>
      </c>
      <c r="AV674" s="3" t="s">
        <v>8613</v>
      </c>
      <c r="AW674" s="3" t="s">
        <v>8614</v>
      </c>
      <c r="AX674" s="3" t="s">
        <v>8614</v>
      </c>
      <c r="AY674" s="3" t="s">
        <v>8615</v>
      </c>
      <c r="AZ674" s="3" t="s">
        <v>75</v>
      </c>
      <c r="BB674" s="3" t="s">
        <v>8616</v>
      </c>
      <c r="BC674" s="3" t="s">
        <v>8617</v>
      </c>
      <c r="BD674" s="3" t="s">
        <v>8618</v>
      </c>
    </row>
    <row r="675" spans="1:56" ht="48" customHeight="1" x14ac:dyDescent="0.25">
      <c r="A675" s="7" t="s">
        <v>59</v>
      </c>
      <c r="B675" s="2" t="s">
        <v>8619</v>
      </c>
      <c r="C675" s="2" t="s">
        <v>8620</v>
      </c>
      <c r="D675" s="2" t="s">
        <v>8621</v>
      </c>
      <c r="F675" s="3" t="s">
        <v>59</v>
      </c>
      <c r="G675" s="3" t="s">
        <v>60</v>
      </c>
      <c r="H675" s="3" t="s">
        <v>59</v>
      </c>
      <c r="I675" s="3" t="s">
        <v>59</v>
      </c>
      <c r="J675" s="3" t="s">
        <v>61</v>
      </c>
      <c r="L675" s="2" t="s">
        <v>8622</v>
      </c>
      <c r="M675" s="3" t="s">
        <v>363</v>
      </c>
      <c r="O675" s="3" t="s">
        <v>64</v>
      </c>
      <c r="P675" s="3" t="s">
        <v>130</v>
      </c>
      <c r="Q675" s="2" t="s">
        <v>8623</v>
      </c>
      <c r="R675" s="3" t="s">
        <v>67</v>
      </c>
      <c r="S675" s="4">
        <v>2</v>
      </c>
      <c r="T675" s="4">
        <v>2</v>
      </c>
      <c r="U675" s="5" t="s">
        <v>8342</v>
      </c>
      <c r="V675" s="5" t="s">
        <v>8342</v>
      </c>
      <c r="W675" s="5" t="s">
        <v>6862</v>
      </c>
      <c r="X675" s="5" t="s">
        <v>6862</v>
      </c>
      <c r="Y675" s="4">
        <v>230</v>
      </c>
      <c r="Z675" s="4">
        <v>182</v>
      </c>
      <c r="AA675" s="4">
        <v>188</v>
      </c>
      <c r="AB675" s="4">
        <v>2</v>
      </c>
      <c r="AC675" s="4">
        <v>2</v>
      </c>
      <c r="AD675" s="4">
        <v>4</v>
      </c>
      <c r="AE675" s="4">
        <v>6</v>
      </c>
      <c r="AF675" s="4">
        <v>0</v>
      </c>
      <c r="AG675" s="4">
        <v>1</v>
      </c>
      <c r="AH675" s="4">
        <v>1</v>
      </c>
      <c r="AI675" s="4">
        <v>2</v>
      </c>
      <c r="AJ675" s="4">
        <v>3</v>
      </c>
      <c r="AK675" s="4">
        <v>5</v>
      </c>
      <c r="AL675" s="4">
        <v>1</v>
      </c>
      <c r="AM675" s="4">
        <v>1</v>
      </c>
      <c r="AN675" s="4">
        <v>0</v>
      </c>
      <c r="AO675" s="4">
        <v>0</v>
      </c>
      <c r="AP675" s="3" t="s">
        <v>59</v>
      </c>
      <c r="AQ675" s="3" t="s">
        <v>70</v>
      </c>
      <c r="AR675" s="6" t="str">
        <f>HYPERLINK("http://catalog.hathitrust.org/Record/000762412","HathiTrust Record")</f>
        <v>HathiTrust Record</v>
      </c>
      <c r="AS675" s="6" t="str">
        <f>HYPERLINK("https://creighton-primo.hosted.exlibrisgroup.com/primo-explore/search?tab=default_tab&amp;search_scope=EVERYTHING&amp;vid=01CRU&amp;lang=en_US&amp;offset=0&amp;query=any,contains,991005180189702656","Catalog Record")</f>
        <v>Catalog Record</v>
      </c>
      <c r="AT675" s="6" t="str">
        <f>HYPERLINK("http://www.worldcat.org/oclc/7945190","WorldCat Record")</f>
        <v>WorldCat Record</v>
      </c>
      <c r="AU675" s="3" t="s">
        <v>8624</v>
      </c>
      <c r="AV675" s="3" t="s">
        <v>8625</v>
      </c>
      <c r="AW675" s="3" t="s">
        <v>8626</v>
      </c>
      <c r="AX675" s="3" t="s">
        <v>8626</v>
      </c>
      <c r="AY675" s="3" t="s">
        <v>8627</v>
      </c>
      <c r="AZ675" s="3" t="s">
        <v>75</v>
      </c>
      <c r="BB675" s="3" t="s">
        <v>8628</v>
      </c>
      <c r="BC675" s="3" t="s">
        <v>8629</v>
      </c>
      <c r="BD675" s="3" t="s">
        <v>8630</v>
      </c>
    </row>
    <row r="676" spans="1:56" ht="48" customHeight="1" x14ac:dyDescent="0.25">
      <c r="A676" s="7" t="s">
        <v>59</v>
      </c>
      <c r="B676" s="2" t="s">
        <v>8631</v>
      </c>
      <c r="C676" s="2" t="s">
        <v>8632</v>
      </c>
      <c r="D676" s="2" t="s">
        <v>8633</v>
      </c>
      <c r="F676" s="3" t="s">
        <v>59</v>
      </c>
      <c r="G676" s="3" t="s">
        <v>60</v>
      </c>
      <c r="H676" s="3" t="s">
        <v>59</v>
      </c>
      <c r="I676" s="3" t="s">
        <v>59</v>
      </c>
      <c r="J676" s="3" t="s">
        <v>61</v>
      </c>
      <c r="L676" s="2" t="s">
        <v>8634</v>
      </c>
      <c r="M676" s="3" t="s">
        <v>376</v>
      </c>
      <c r="O676" s="3" t="s">
        <v>64</v>
      </c>
      <c r="P676" s="3" t="s">
        <v>84</v>
      </c>
      <c r="R676" s="3" t="s">
        <v>67</v>
      </c>
      <c r="S676" s="4">
        <v>2</v>
      </c>
      <c r="T676" s="4">
        <v>2</v>
      </c>
      <c r="U676" s="5" t="s">
        <v>8635</v>
      </c>
      <c r="V676" s="5" t="s">
        <v>8635</v>
      </c>
      <c r="W676" s="5" t="s">
        <v>8636</v>
      </c>
      <c r="X676" s="5" t="s">
        <v>8636</v>
      </c>
      <c r="Y676" s="4">
        <v>332</v>
      </c>
      <c r="Z676" s="4">
        <v>237</v>
      </c>
      <c r="AA676" s="4">
        <v>245</v>
      </c>
      <c r="AB676" s="4">
        <v>2</v>
      </c>
      <c r="AC676" s="4">
        <v>2</v>
      </c>
      <c r="AD676" s="4">
        <v>6</v>
      </c>
      <c r="AE676" s="4">
        <v>6</v>
      </c>
      <c r="AF676" s="4">
        <v>1</v>
      </c>
      <c r="AG676" s="4">
        <v>1</v>
      </c>
      <c r="AH676" s="4">
        <v>1</v>
      </c>
      <c r="AI676" s="4">
        <v>1</v>
      </c>
      <c r="AJ676" s="4">
        <v>3</v>
      </c>
      <c r="AK676" s="4">
        <v>3</v>
      </c>
      <c r="AL676" s="4">
        <v>1</v>
      </c>
      <c r="AM676" s="4">
        <v>1</v>
      </c>
      <c r="AN676" s="4">
        <v>0</v>
      </c>
      <c r="AO676" s="4">
        <v>0</v>
      </c>
      <c r="AP676" s="3" t="s">
        <v>59</v>
      </c>
      <c r="AQ676" s="3" t="s">
        <v>70</v>
      </c>
      <c r="AR676" s="6" t="str">
        <f>HYPERLINK("http://catalog.hathitrust.org/Record/001555367","HathiTrust Record")</f>
        <v>HathiTrust Record</v>
      </c>
      <c r="AS676" s="6" t="str">
        <f>HYPERLINK("https://creighton-primo.hosted.exlibrisgroup.com/primo-explore/search?tab=default_tab&amp;search_scope=EVERYTHING&amp;vid=01CRU&amp;lang=en_US&amp;offset=0&amp;query=any,contains,991002384869702656","Catalog Record")</f>
        <v>Catalog Record</v>
      </c>
      <c r="AT676" s="6" t="str">
        <f>HYPERLINK("http://www.worldcat.org/oclc/329570","WorldCat Record")</f>
        <v>WorldCat Record</v>
      </c>
      <c r="AU676" s="3" t="s">
        <v>8637</v>
      </c>
      <c r="AV676" s="3" t="s">
        <v>8638</v>
      </c>
      <c r="AW676" s="3" t="s">
        <v>8639</v>
      </c>
      <c r="AX676" s="3" t="s">
        <v>8639</v>
      </c>
      <c r="AY676" s="3" t="s">
        <v>8640</v>
      </c>
      <c r="AZ676" s="3" t="s">
        <v>75</v>
      </c>
      <c r="BB676" s="3" t="s">
        <v>8641</v>
      </c>
      <c r="BC676" s="3" t="s">
        <v>8642</v>
      </c>
      <c r="BD676" s="3" t="s">
        <v>8643</v>
      </c>
    </row>
    <row r="677" spans="1:56" ht="48" customHeight="1" x14ac:dyDescent="0.25">
      <c r="A677" s="7" t="s">
        <v>59</v>
      </c>
      <c r="B677" s="2" t="s">
        <v>8644</v>
      </c>
      <c r="C677" s="2" t="s">
        <v>8645</v>
      </c>
      <c r="D677" s="2" t="s">
        <v>8646</v>
      </c>
      <c r="F677" s="3" t="s">
        <v>59</v>
      </c>
      <c r="G677" s="3" t="s">
        <v>60</v>
      </c>
      <c r="H677" s="3" t="s">
        <v>59</v>
      </c>
      <c r="I677" s="3" t="s">
        <v>59</v>
      </c>
      <c r="J677" s="3" t="s">
        <v>61</v>
      </c>
      <c r="K677" s="2" t="s">
        <v>8647</v>
      </c>
      <c r="L677" s="2" t="s">
        <v>8648</v>
      </c>
      <c r="M677" s="3" t="s">
        <v>98</v>
      </c>
      <c r="O677" s="3" t="s">
        <v>64</v>
      </c>
      <c r="P677" s="3" t="s">
        <v>84</v>
      </c>
      <c r="R677" s="3" t="s">
        <v>67</v>
      </c>
      <c r="S677" s="4">
        <v>2</v>
      </c>
      <c r="T677" s="4">
        <v>2</v>
      </c>
      <c r="U677" s="5" t="s">
        <v>8649</v>
      </c>
      <c r="V677" s="5" t="s">
        <v>8649</v>
      </c>
      <c r="W677" s="5" t="s">
        <v>501</v>
      </c>
      <c r="X677" s="5" t="s">
        <v>501</v>
      </c>
      <c r="Y677" s="4">
        <v>473</v>
      </c>
      <c r="Z677" s="4">
        <v>325</v>
      </c>
      <c r="AA677" s="4">
        <v>348</v>
      </c>
      <c r="AB677" s="4">
        <v>3</v>
      </c>
      <c r="AC677" s="4">
        <v>3</v>
      </c>
      <c r="AD677" s="4">
        <v>8</v>
      </c>
      <c r="AE677" s="4">
        <v>9</v>
      </c>
      <c r="AF677" s="4">
        <v>2</v>
      </c>
      <c r="AG677" s="4">
        <v>3</v>
      </c>
      <c r="AH677" s="4">
        <v>3</v>
      </c>
      <c r="AI677" s="4">
        <v>3</v>
      </c>
      <c r="AJ677" s="4">
        <v>3</v>
      </c>
      <c r="AK677" s="4">
        <v>4</v>
      </c>
      <c r="AL677" s="4">
        <v>2</v>
      </c>
      <c r="AM677" s="4">
        <v>2</v>
      </c>
      <c r="AN677" s="4">
        <v>0</v>
      </c>
      <c r="AO677" s="4">
        <v>0</v>
      </c>
      <c r="AP677" s="3" t="s">
        <v>59</v>
      </c>
      <c r="AQ677" s="3" t="s">
        <v>70</v>
      </c>
      <c r="AR677" s="6" t="str">
        <f>HYPERLINK("http://catalog.hathitrust.org/Record/001555368","HathiTrust Record")</f>
        <v>HathiTrust Record</v>
      </c>
      <c r="AS677" s="6" t="str">
        <f>HYPERLINK("https://creighton-primo.hosted.exlibrisgroup.com/primo-explore/search?tab=default_tab&amp;search_scope=EVERYTHING&amp;vid=01CRU&amp;lang=en_US&amp;offset=0&amp;query=any,contains,991002107739702656","Catalog Record")</f>
        <v>Catalog Record</v>
      </c>
      <c r="AT677" s="6" t="str">
        <f>HYPERLINK("http://www.worldcat.org/oclc/266727","WorldCat Record")</f>
        <v>WorldCat Record</v>
      </c>
      <c r="AU677" s="3" t="s">
        <v>8650</v>
      </c>
      <c r="AV677" s="3" t="s">
        <v>8651</v>
      </c>
      <c r="AW677" s="3" t="s">
        <v>8652</v>
      </c>
      <c r="AX677" s="3" t="s">
        <v>8652</v>
      </c>
      <c r="AY677" s="3" t="s">
        <v>8653</v>
      </c>
      <c r="AZ677" s="3" t="s">
        <v>75</v>
      </c>
      <c r="BB677" s="3" t="s">
        <v>8654</v>
      </c>
      <c r="BC677" s="3" t="s">
        <v>8655</v>
      </c>
      <c r="BD677" s="3" t="s">
        <v>8656</v>
      </c>
    </row>
    <row r="678" spans="1:56" ht="48" customHeight="1" x14ac:dyDescent="0.25">
      <c r="A678" s="7" t="s">
        <v>59</v>
      </c>
      <c r="B678" s="2" t="s">
        <v>8657</v>
      </c>
      <c r="C678" s="2" t="s">
        <v>8658</v>
      </c>
      <c r="D678" s="2" t="s">
        <v>8659</v>
      </c>
      <c r="F678" s="3" t="s">
        <v>59</v>
      </c>
      <c r="G678" s="3" t="s">
        <v>60</v>
      </c>
      <c r="H678" s="3" t="s">
        <v>70</v>
      </c>
      <c r="I678" s="3" t="s">
        <v>59</v>
      </c>
      <c r="J678" s="3" t="s">
        <v>61</v>
      </c>
      <c r="K678" s="2" t="s">
        <v>8660</v>
      </c>
      <c r="L678" s="2" t="s">
        <v>8661</v>
      </c>
      <c r="M678" s="3" t="s">
        <v>363</v>
      </c>
      <c r="O678" s="3" t="s">
        <v>64</v>
      </c>
      <c r="P678" s="3" t="s">
        <v>1201</v>
      </c>
      <c r="R678" s="3" t="s">
        <v>67</v>
      </c>
      <c r="S678" s="4">
        <v>15</v>
      </c>
      <c r="T678" s="4">
        <v>15</v>
      </c>
      <c r="U678" s="5" t="s">
        <v>5776</v>
      </c>
      <c r="V678" s="5" t="s">
        <v>5776</v>
      </c>
      <c r="W678" s="5" t="s">
        <v>4794</v>
      </c>
      <c r="X678" s="5" t="s">
        <v>4794</v>
      </c>
      <c r="Y678" s="4">
        <v>386</v>
      </c>
      <c r="Z678" s="4">
        <v>284</v>
      </c>
      <c r="AA678" s="4">
        <v>289</v>
      </c>
      <c r="AB678" s="4">
        <v>3</v>
      </c>
      <c r="AC678" s="4">
        <v>3</v>
      </c>
      <c r="AD678" s="4">
        <v>7</v>
      </c>
      <c r="AE678" s="4">
        <v>7</v>
      </c>
      <c r="AF678" s="4">
        <v>2</v>
      </c>
      <c r="AG678" s="4">
        <v>2</v>
      </c>
      <c r="AH678" s="4">
        <v>2</v>
      </c>
      <c r="AI678" s="4">
        <v>2</v>
      </c>
      <c r="AJ678" s="4">
        <v>2</v>
      </c>
      <c r="AK678" s="4">
        <v>2</v>
      </c>
      <c r="AL678" s="4">
        <v>1</v>
      </c>
      <c r="AM678" s="4">
        <v>1</v>
      </c>
      <c r="AN678" s="4">
        <v>0</v>
      </c>
      <c r="AO678" s="4">
        <v>0</v>
      </c>
      <c r="AP678" s="3" t="s">
        <v>59</v>
      </c>
      <c r="AQ678" s="3" t="s">
        <v>70</v>
      </c>
      <c r="AR678" s="6" t="str">
        <f>HYPERLINK("http://catalog.hathitrust.org/Record/000121583","HathiTrust Record")</f>
        <v>HathiTrust Record</v>
      </c>
      <c r="AS678" s="6" t="str">
        <f>HYPERLINK("https://creighton-primo.hosted.exlibrisgroup.com/primo-explore/search?tab=default_tab&amp;search_scope=EVERYTHING&amp;vid=01CRU&amp;lang=en_US&amp;offset=0&amp;query=any,contains,991005227469702656","Catalog Record")</f>
        <v>Catalog Record</v>
      </c>
      <c r="AT678" s="6" t="str">
        <f>HYPERLINK("http://www.worldcat.org/oclc/8283860","WorldCat Record")</f>
        <v>WorldCat Record</v>
      </c>
      <c r="AU678" s="3" t="s">
        <v>8662</v>
      </c>
      <c r="AV678" s="3" t="s">
        <v>8663</v>
      </c>
      <c r="AW678" s="3" t="s">
        <v>8664</v>
      </c>
      <c r="AX678" s="3" t="s">
        <v>8664</v>
      </c>
      <c r="AY678" s="3" t="s">
        <v>8665</v>
      </c>
      <c r="AZ678" s="3" t="s">
        <v>75</v>
      </c>
      <c r="BB678" s="3" t="s">
        <v>8666</v>
      </c>
      <c r="BC678" s="3" t="s">
        <v>8667</v>
      </c>
      <c r="BD678" s="3" t="s">
        <v>8668</v>
      </c>
    </row>
    <row r="679" spans="1:56" ht="48" customHeight="1" x14ac:dyDescent="0.25">
      <c r="A679" s="7" t="s">
        <v>59</v>
      </c>
      <c r="B679" s="2" t="s">
        <v>8669</v>
      </c>
      <c r="C679" s="2" t="s">
        <v>8670</v>
      </c>
      <c r="D679" s="2" t="s">
        <v>8671</v>
      </c>
      <c r="F679" s="3" t="s">
        <v>59</v>
      </c>
      <c r="G679" s="3" t="s">
        <v>60</v>
      </c>
      <c r="H679" s="3" t="s">
        <v>59</v>
      </c>
      <c r="I679" s="3" t="s">
        <v>59</v>
      </c>
      <c r="J679" s="3" t="s">
        <v>61</v>
      </c>
      <c r="L679" s="2" t="s">
        <v>8672</v>
      </c>
      <c r="M679" s="3" t="s">
        <v>333</v>
      </c>
      <c r="O679" s="3" t="s">
        <v>64</v>
      </c>
      <c r="P679" s="3" t="s">
        <v>191</v>
      </c>
      <c r="R679" s="3" t="s">
        <v>67</v>
      </c>
      <c r="S679" s="4">
        <v>6</v>
      </c>
      <c r="T679" s="4">
        <v>6</v>
      </c>
      <c r="U679" s="5" t="s">
        <v>8673</v>
      </c>
      <c r="V679" s="5" t="s">
        <v>8673</v>
      </c>
      <c r="W679" s="5" t="s">
        <v>4768</v>
      </c>
      <c r="X679" s="5" t="s">
        <v>4768</v>
      </c>
      <c r="Y679" s="4">
        <v>280</v>
      </c>
      <c r="Z679" s="4">
        <v>208</v>
      </c>
      <c r="AA679" s="4">
        <v>238</v>
      </c>
      <c r="AB679" s="4">
        <v>2</v>
      </c>
      <c r="AC679" s="4">
        <v>2</v>
      </c>
      <c r="AD679" s="4">
        <v>7</v>
      </c>
      <c r="AE679" s="4">
        <v>7</v>
      </c>
      <c r="AF679" s="4">
        <v>2</v>
      </c>
      <c r="AG679" s="4">
        <v>2</v>
      </c>
      <c r="AH679" s="4">
        <v>2</v>
      </c>
      <c r="AI679" s="4">
        <v>2</v>
      </c>
      <c r="AJ679" s="4">
        <v>5</v>
      </c>
      <c r="AK679" s="4">
        <v>5</v>
      </c>
      <c r="AL679" s="4">
        <v>1</v>
      </c>
      <c r="AM679" s="4">
        <v>1</v>
      </c>
      <c r="AN679" s="4">
        <v>0</v>
      </c>
      <c r="AO679" s="4">
        <v>0</v>
      </c>
      <c r="AP679" s="3" t="s">
        <v>59</v>
      </c>
      <c r="AQ679" s="3" t="s">
        <v>70</v>
      </c>
      <c r="AR679" s="6" t="str">
        <f>HYPERLINK("http://catalog.hathitrust.org/Record/000626593","HathiTrust Record")</f>
        <v>HathiTrust Record</v>
      </c>
      <c r="AS679" s="6" t="str">
        <f>HYPERLINK("https://creighton-primo.hosted.exlibrisgroup.com/primo-explore/search?tab=default_tab&amp;search_scope=EVERYTHING&amp;vid=01CRU&amp;lang=en_US&amp;offset=0&amp;query=any,contains,991000603229702656","Catalog Record")</f>
        <v>Catalog Record</v>
      </c>
      <c r="AT679" s="6" t="str">
        <f>HYPERLINK("http://www.worldcat.org/oclc/11842763","WorldCat Record")</f>
        <v>WorldCat Record</v>
      </c>
      <c r="AU679" s="3" t="s">
        <v>8674</v>
      </c>
      <c r="AV679" s="3" t="s">
        <v>8675</v>
      </c>
      <c r="AW679" s="3" t="s">
        <v>8676</v>
      </c>
      <c r="AX679" s="3" t="s">
        <v>8676</v>
      </c>
      <c r="AY679" s="3" t="s">
        <v>8677</v>
      </c>
      <c r="AZ679" s="3" t="s">
        <v>75</v>
      </c>
      <c r="BB679" s="3" t="s">
        <v>8678</v>
      </c>
      <c r="BC679" s="3" t="s">
        <v>8679</v>
      </c>
      <c r="BD679" s="3" t="s">
        <v>8680</v>
      </c>
    </row>
    <row r="680" spans="1:56" ht="48" customHeight="1" x14ac:dyDescent="0.25">
      <c r="A680" s="7" t="s">
        <v>59</v>
      </c>
      <c r="B680" s="2" t="s">
        <v>8681</v>
      </c>
      <c r="C680" s="2" t="s">
        <v>8682</v>
      </c>
      <c r="D680" s="2" t="s">
        <v>8683</v>
      </c>
      <c r="F680" s="3" t="s">
        <v>59</v>
      </c>
      <c r="G680" s="3" t="s">
        <v>60</v>
      </c>
      <c r="H680" s="3" t="s">
        <v>59</v>
      </c>
      <c r="I680" s="3" t="s">
        <v>59</v>
      </c>
      <c r="J680" s="3" t="s">
        <v>61</v>
      </c>
      <c r="K680" s="2" t="s">
        <v>8684</v>
      </c>
      <c r="L680" s="2" t="s">
        <v>8685</v>
      </c>
      <c r="M680" s="3" t="s">
        <v>897</v>
      </c>
      <c r="O680" s="3" t="s">
        <v>64</v>
      </c>
      <c r="P680" s="3" t="s">
        <v>84</v>
      </c>
      <c r="Q680" s="2" t="s">
        <v>8686</v>
      </c>
      <c r="R680" s="3" t="s">
        <v>67</v>
      </c>
      <c r="S680" s="4">
        <v>3</v>
      </c>
      <c r="T680" s="4">
        <v>3</v>
      </c>
      <c r="U680" s="5" t="s">
        <v>8687</v>
      </c>
      <c r="V680" s="5" t="s">
        <v>8687</v>
      </c>
      <c r="W680" s="5" t="s">
        <v>8688</v>
      </c>
      <c r="X680" s="5" t="s">
        <v>8688</v>
      </c>
      <c r="Y680" s="4">
        <v>354</v>
      </c>
      <c r="Z680" s="4">
        <v>273</v>
      </c>
      <c r="AA680" s="4">
        <v>276</v>
      </c>
      <c r="AB680" s="4">
        <v>1</v>
      </c>
      <c r="AC680" s="4">
        <v>1</v>
      </c>
      <c r="AD680" s="4">
        <v>13</v>
      </c>
      <c r="AE680" s="4">
        <v>13</v>
      </c>
      <c r="AF680" s="4">
        <v>7</v>
      </c>
      <c r="AG680" s="4">
        <v>7</v>
      </c>
      <c r="AH680" s="4">
        <v>3</v>
      </c>
      <c r="AI680" s="4">
        <v>3</v>
      </c>
      <c r="AJ680" s="4">
        <v>8</v>
      </c>
      <c r="AK680" s="4">
        <v>8</v>
      </c>
      <c r="AL680" s="4">
        <v>0</v>
      </c>
      <c r="AM680" s="4">
        <v>0</v>
      </c>
      <c r="AN680" s="4">
        <v>0</v>
      </c>
      <c r="AO680" s="4">
        <v>0</v>
      </c>
      <c r="AP680" s="3" t="s">
        <v>59</v>
      </c>
      <c r="AQ680" s="3" t="s">
        <v>70</v>
      </c>
      <c r="AR680" s="6" t="str">
        <f>HYPERLINK("http://catalog.hathitrust.org/Record/002500952","HathiTrust Record")</f>
        <v>HathiTrust Record</v>
      </c>
      <c r="AS680" s="6" t="str">
        <f>HYPERLINK("https://creighton-primo.hosted.exlibrisgroup.com/primo-explore/search?tab=default_tab&amp;search_scope=EVERYTHING&amp;vid=01CRU&amp;lang=en_US&amp;offset=0&amp;query=any,contains,991001816489702656","Catalog Record")</f>
        <v>Catalog Record</v>
      </c>
      <c r="AT680" s="6" t="str">
        <f>HYPERLINK("http://www.worldcat.org/oclc/22813726","WorldCat Record")</f>
        <v>WorldCat Record</v>
      </c>
      <c r="AU680" s="3" t="s">
        <v>8689</v>
      </c>
      <c r="AV680" s="3" t="s">
        <v>8690</v>
      </c>
      <c r="AW680" s="3" t="s">
        <v>8691</v>
      </c>
      <c r="AX680" s="3" t="s">
        <v>8691</v>
      </c>
      <c r="AY680" s="3" t="s">
        <v>8692</v>
      </c>
      <c r="AZ680" s="3" t="s">
        <v>75</v>
      </c>
      <c r="BB680" s="3" t="s">
        <v>8693</v>
      </c>
      <c r="BC680" s="3" t="s">
        <v>8694</v>
      </c>
      <c r="BD680" s="3" t="s">
        <v>8695</v>
      </c>
    </row>
    <row r="681" spans="1:56" ht="48" customHeight="1" x14ac:dyDescent="0.25">
      <c r="A681" s="7" t="s">
        <v>59</v>
      </c>
      <c r="B681" s="2" t="s">
        <v>8696</v>
      </c>
      <c r="C681" s="2" t="s">
        <v>8697</v>
      </c>
      <c r="D681" s="2" t="s">
        <v>8698</v>
      </c>
      <c r="F681" s="3" t="s">
        <v>59</v>
      </c>
      <c r="G681" s="3" t="s">
        <v>60</v>
      </c>
      <c r="H681" s="3" t="s">
        <v>59</v>
      </c>
      <c r="I681" s="3" t="s">
        <v>59</v>
      </c>
      <c r="J681" s="3" t="s">
        <v>61</v>
      </c>
      <c r="K681" s="2" t="s">
        <v>8699</v>
      </c>
      <c r="L681" s="2" t="s">
        <v>8700</v>
      </c>
      <c r="M681" s="3" t="s">
        <v>590</v>
      </c>
      <c r="O681" s="3" t="s">
        <v>64</v>
      </c>
      <c r="P681" s="3" t="s">
        <v>912</v>
      </c>
      <c r="R681" s="3" t="s">
        <v>67</v>
      </c>
      <c r="S681" s="4">
        <v>1</v>
      </c>
      <c r="T681" s="4">
        <v>1</v>
      </c>
      <c r="U681" s="5" t="s">
        <v>8701</v>
      </c>
      <c r="V681" s="5" t="s">
        <v>8701</v>
      </c>
      <c r="W681" s="5" t="s">
        <v>8701</v>
      </c>
      <c r="X681" s="5" t="s">
        <v>8701</v>
      </c>
      <c r="Y681" s="4">
        <v>254</v>
      </c>
      <c r="Z681" s="4">
        <v>188</v>
      </c>
      <c r="AA681" s="4">
        <v>190</v>
      </c>
      <c r="AB681" s="4">
        <v>1</v>
      </c>
      <c r="AC681" s="4">
        <v>1</v>
      </c>
      <c r="AD681" s="4">
        <v>9</v>
      </c>
      <c r="AE681" s="4">
        <v>9</v>
      </c>
      <c r="AF681" s="4">
        <v>4</v>
      </c>
      <c r="AG681" s="4">
        <v>4</v>
      </c>
      <c r="AH681" s="4">
        <v>1</v>
      </c>
      <c r="AI681" s="4">
        <v>1</v>
      </c>
      <c r="AJ681" s="4">
        <v>8</v>
      </c>
      <c r="AK681" s="4">
        <v>8</v>
      </c>
      <c r="AL681" s="4">
        <v>0</v>
      </c>
      <c r="AM681" s="4">
        <v>0</v>
      </c>
      <c r="AN681" s="4">
        <v>0</v>
      </c>
      <c r="AO681" s="4">
        <v>0</v>
      </c>
      <c r="AP681" s="3" t="s">
        <v>59</v>
      </c>
      <c r="AQ681" s="3" t="s">
        <v>70</v>
      </c>
      <c r="AR681" s="6" t="str">
        <f>HYPERLINK("http://catalog.hathitrust.org/Record/000845949","HathiTrust Record")</f>
        <v>HathiTrust Record</v>
      </c>
      <c r="AS681" s="6" t="str">
        <f>HYPERLINK("https://creighton-primo.hosted.exlibrisgroup.com/primo-explore/search?tab=default_tab&amp;search_scope=EVERYTHING&amp;vid=01CRU&amp;lang=en_US&amp;offset=0&amp;query=any,contains,991003341179702656","Catalog Record")</f>
        <v>Catalog Record</v>
      </c>
      <c r="AT681" s="6" t="str">
        <f>HYPERLINK("http://www.worldcat.org/oclc/15428488","WorldCat Record")</f>
        <v>WorldCat Record</v>
      </c>
      <c r="AU681" s="3" t="s">
        <v>8702</v>
      </c>
      <c r="AV681" s="3" t="s">
        <v>8703</v>
      </c>
      <c r="AW681" s="3" t="s">
        <v>8704</v>
      </c>
      <c r="AX681" s="3" t="s">
        <v>8704</v>
      </c>
      <c r="AY681" s="3" t="s">
        <v>8705</v>
      </c>
      <c r="AZ681" s="3" t="s">
        <v>75</v>
      </c>
      <c r="BB681" s="3" t="s">
        <v>8706</v>
      </c>
      <c r="BC681" s="3" t="s">
        <v>8707</v>
      </c>
      <c r="BD681" s="3" t="s">
        <v>8708</v>
      </c>
    </row>
    <row r="682" spans="1:56" ht="48" customHeight="1" x14ac:dyDescent="0.25">
      <c r="A682" s="7" t="s">
        <v>59</v>
      </c>
      <c r="B682" s="2" t="s">
        <v>8709</v>
      </c>
      <c r="C682" s="2" t="s">
        <v>8710</v>
      </c>
      <c r="D682" s="2" t="s">
        <v>8711</v>
      </c>
      <c r="F682" s="3" t="s">
        <v>59</v>
      </c>
      <c r="G682" s="3" t="s">
        <v>60</v>
      </c>
      <c r="H682" s="3" t="s">
        <v>59</v>
      </c>
      <c r="I682" s="3" t="s">
        <v>59</v>
      </c>
      <c r="J682" s="3" t="s">
        <v>61</v>
      </c>
      <c r="L682" s="2" t="s">
        <v>8712</v>
      </c>
      <c r="M682" s="3" t="s">
        <v>925</v>
      </c>
      <c r="O682" s="3" t="s">
        <v>64</v>
      </c>
      <c r="P682" s="3" t="s">
        <v>130</v>
      </c>
      <c r="Q682" s="2" t="s">
        <v>8713</v>
      </c>
      <c r="R682" s="3" t="s">
        <v>67</v>
      </c>
      <c r="S682" s="4">
        <v>9</v>
      </c>
      <c r="T682" s="4">
        <v>9</v>
      </c>
      <c r="U682" s="5" t="s">
        <v>1587</v>
      </c>
      <c r="V682" s="5" t="s">
        <v>1587</v>
      </c>
      <c r="W682" s="5" t="s">
        <v>8714</v>
      </c>
      <c r="X682" s="5" t="s">
        <v>8714</v>
      </c>
      <c r="Y682" s="4">
        <v>344</v>
      </c>
      <c r="Z682" s="4">
        <v>249</v>
      </c>
      <c r="AA682" s="4">
        <v>249</v>
      </c>
      <c r="AB682" s="4">
        <v>3</v>
      </c>
      <c r="AC682" s="4">
        <v>3</v>
      </c>
      <c r="AD682" s="4">
        <v>13</v>
      </c>
      <c r="AE682" s="4">
        <v>13</v>
      </c>
      <c r="AF682" s="4">
        <v>2</v>
      </c>
      <c r="AG682" s="4">
        <v>2</v>
      </c>
      <c r="AH682" s="4">
        <v>3</v>
      </c>
      <c r="AI682" s="4">
        <v>3</v>
      </c>
      <c r="AJ682" s="4">
        <v>7</v>
      </c>
      <c r="AK682" s="4">
        <v>7</v>
      </c>
      <c r="AL682" s="4">
        <v>2</v>
      </c>
      <c r="AM682" s="4">
        <v>2</v>
      </c>
      <c r="AN682" s="4">
        <v>0</v>
      </c>
      <c r="AO682" s="4">
        <v>0</v>
      </c>
      <c r="AP682" s="3" t="s">
        <v>59</v>
      </c>
      <c r="AQ682" s="3" t="s">
        <v>59</v>
      </c>
      <c r="AS682" s="6" t="str">
        <f>HYPERLINK("https://creighton-primo.hosted.exlibrisgroup.com/primo-explore/search?tab=default_tab&amp;search_scope=EVERYTHING&amp;vid=01CRU&amp;lang=en_US&amp;offset=0&amp;query=any,contains,991002828059702656","Catalog Record")</f>
        <v>Catalog Record</v>
      </c>
      <c r="AT682" s="6" t="str">
        <f>HYPERLINK("http://www.worldcat.org/oclc/37239017","WorldCat Record")</f>
        <v>WorldCat Record</v>
      </c>
      <c r="AU682" s="3" t="s">
        <v>8715</v>
      </c>
      <c r="AV682" s="3" t="s">
        <v>8716</v>
      </c>
      <c r="AW682" s="3" t="s">
        <v>8717</v>
      </c>
      <c r="AX682" s="3" t="s">
        <v>8717</v>
      </c>
      <c r="AY682" s="3" t="s">
        <v>8718</v>
      </c>
      <c r="AZ682" s="3" t="s">
        <v>75</v>
      </c>
      <c r="BB682" s="3" t="s">
        <v>8719</v>
      </c>
      <c r="BC682" s="3" t="s">
        <v>8720</v>
      </c>
      <c r="BD682" s="3" t="s">
        <v>8721</v>
      </c>
    </row>
    <row r="683" spans="1:56" ht="48" customHeight="1" x14ac:dyDescent="0.25">
      <c r="A683" s="7" t="s">
        <v>59</v>
      </c>
      <c r="B683" s="2" t="s">
        <v>8722</v>
      </c>
      <c r="C683" s="2" t="s">
        <v>8723</v>
      </c>
      <c r="D683" s="2" t="s">
        <v>8724</v>
      </c>
      <c r="F683" s="3" t="s">
        <v>59</v>
      </c>
      <c r="G683" s="3" t="s">
        <v>60</v>
      </c>
      <c r="H683" s="3" t="s">
        <v>59</v>
      </c>
      <c r="I683" s="3" t="s">
        <v>70</v>
      </c>
      <c r="J683" s="3" t="s">
        <v>61</v>
      </c>
      <c r="K683" s="2" t="s">
        <v>8725</v>
      </c>
      <c r="L683" s="2" t="s">
        <v>8726</v>
      </c>
      <c r="M683" s="3" t="s">
        <v>897</v>
      </c>
      <c r="O683" s="3" t="s">
        <v>64</v>
      </c>
      <c r="P683" s="3" t="s">
        <v>130</v>
      </c>
      <c r="R683" s="3" t="s">
        <v>67</v>
      </c>
      <c r="S683" s="4">
        <v>14</v>
      </c>
      <c r="T683" s="4">
        <v>14</v>
      </c>
      <c r="U683" s="5" t="s">
        <v>8727</v>
      </c>
      <c r="V683" s="5" t="s">
        <v>8727</v>
      </c>
      <c r="W683" s="5" t="s">
        <v>8728</v>
      </c>
      <c r="X683" s="5" t="s">
        <v>8728</v>
      </c>
      <c r="Y683" s="4">
        <v>717</v>
      </c>
      <c r="Z683" s="4">
        <v>527</v>
      </c>
      <c r="AA683" s="4">
        <v>848</v>
      </c>
      <c r="AB683" s="4">
        <v>5</v>
      </c>
      <c r="AC683" s="4">
        <v>8</v>
      </c>
      <c r="AD683" s="4">
        <v>27</v>
      </c>
      <c r="AE683" s="4">
        <v>41</v>
      </c>
      <c r="AF683" s="4">
        <v>8</v>
      </c>
      <c r="AG683" s="4">
        <v>15</v>
      </c>
      <c r="AH683" s="4">
        <v>6</v>
      </c>
      <c r="AI683" s="4">
        <v>7</v>
      </c>
      <c r="AJ683" s="4">
        <v>16</v>
      </c>
      <c r="AK683" s="4">
        <v>23</v>
      </c>
      <c r="AL683" s="4">
        <v>4</v>
      </c>
      <c r="AM683" s="4">
        <v>6</v>
      </c>
      <c r="AN683" s="4">
        <v>0</v>
      </c>
      <c r="AO683" s="4">
        <v>0</v>
      </c>
      <c r="AP683" s="3" t="s">
        <v>59</v>
      </c>
      <c r="AQ683" s="3" t="s">
        <v>70</v>
      </c>
      <c r="AR683" s="6" t="str">
        <f>HYPERLINK("http://catalog.hathitrust.org/Record/002482085","HathiTrust Record")</f>
        <v>HathiTrust Record</v>
      </c>
      <c r="AS683" s="6" t="str">
        <f>HYPERLINK("https://creighton-primo.hosted.exlibrisgroup.com/primo-explore/search?tab=default_tab&amp;search_scope=EVERYTHING&amp;vid=01CRU&amp;lang=en_US&amp;offset=0&amp;query=any,contains,991005309139702656","Catalog Record")</f>
        <v>Catalog Record</v>
      </c>
      <c r="AT683" s="6" t="str">
        <f>HYPERLINK("http://www.worldcat.org/oclc/23286817","WorldCat Record")</f>
        <v>WorldCat Record</v>
      </c>
      <c r="AU683" s="3" t="s">
        <v>8729</v>
      </c>
      <c r="AV683" s="3" t="s">
        <v>8730</v>
      </c>
      <c r="AW683" s="3" t="s">
        <v>8731</v>
      </c>
      <c r="AX683" s="3" t="s">
        <v>8731</v>
      </c>
      <c r="AY683" s="3" t="s">
        <v>8732</v>
      </c>
      <c r="AZ683" s="3" t="s">
        <v>75</v>
      </c>
      <c r="BB683" s="3" t="s">
        <v>8733</v>
      </c>
      <c r="BC683" s="3" t="s">
        <v>8734</v>
      </c>
      <c r="BD683" s="3" t="s">
        <v>8735</v>
      </c>
    </row>
    <row r="684" spans="1:56" ht="48" customHeight="1" x14ac:dyDescent="0.25">
      <c r="A684" s="7" t="s">
        <v>59</v>
      </c>
      <c r="B684" s="2" t="s">
        <v>8736</v>
      </c>
      <c r="C684" s="2" t="s">
        <v>8737</v>
      </c>
      <c r="D684" s="2" t="s">
        <v>8738</v>
      </c>
      <c r="F684" s="3" t="s">
        <v>59</v>
      </c>
      <c r="G684" s="3" t="s">
        <v>60</v>
      </c>
      <c r="H684" s="3" t="s">
        <v>59</v>
      </c>
      <c r="I684" s="3" t="s">
        <v>59</v>
      </c>
      <c r="J684" s="3" t="s">
        <v>61</v>
      </c>
      <c r="K684" s="2" t="s">
        <v>8739</v>
      </c>
      <c r="L684" s="2" t="s">
        <v>8740</v>
      </c>
      <c r="M684" s="3" t="s">
        <v>417</v>
      </c>
      <c r="O684" s="3" t="s">
        <v>64</v>
      </c>
      <c r="P684" s="3" t="s">
        <v>130</v>
      </c>
      <c r="R684" s="3" t="s">
        <v>67</v>
      </c>
      <c r="S684" s="4">
        <v>11</v>
      </c>
      <c r="T684" s="4">
        <v>11</v>
      </c>
      <c r="U684" s="5" t="s">
        <v>8741</v>
      </c>
      <c r="V684" s="5" t="s">
        <v>8741</v>
      </c>
      <c r="W684" s="5" t="s">
        <v>8742</v>
      </c>
      <c r="X684" s="5" t="s">
        <v>8742</v>
      </c>
      <c r="Y684" s="4">
        <v>578</v>
      </c>
      <c r="Z684" s="4">
        <v>480</v>
      </c>
      <c r="AA684" s="4">
        <v>536</v>
      </c>
      <c r="AB684" s="4">
        <v>3</v>
      </c>
      <c r="AC684" s="4">
        <v>3</v>
      </c>
      <c r="AD684" s="4">
        <v>17</v>
      </c>
      <c r="AE684" s="4">
        <v>18</v>
      </c>
      <c r="AF684" s="4">
        <v>4</v>
      </c>
      <c r="AG684" s="4">
        <v>5</v>
      </c>
      <c r="AH684" s="4">
        <v>5</v>
      </c>
      <c r="AI684" s="4">
        <v>5</v>
      </c>
      <c r="AJ684" s="4">
        <v>11</v>
      </c>
      <c r="AK684" s="4">
        <v>12</v>
      </c>
      <c r="AL684" s="4">
        <v>1</v>
      </c>
      <c r="AM684" s="4">
        <v>1</v>
      </c>
      <c r="AN684" s="4">
        <v>0</v>
      </c>
      <c r="AO684" s="4">
        <v>0</v>
      </c>
      <c r="AP684" s="3" t="s">
        <v>59</v>
      </c>
      <c r="AQ684" s="3" t="s">
        <v>59</v>
      </c>
      <c r="AS684" s="6" t="str">
        <f>HYPERLINK("https://creighton-primo.hosted.exlibrisgroup.com/primo-explore/search?tab=default_tab&amp;search_scope=EVERYTHING&amp;vid=01CRU&amp;lang=en_US&amp;offset=0&amp;query=any,contains,991000288429702656","Catalog Record")</f>
        <v>Catalog Record</v>
      </c>
      <c r="AT684" s="6" t="str">
        <f>HYPERLINK("http://www.worldcat.org/oclc/9946342","WorldCat Record")</f>
        <v>WorldCat Record</v>
      </c>
      <c r="AU684" s="3" t="s">
        <v>8743</v>
      </c>
      <c r="AV684" s="3" t="s">
        <v>8744</v>
      </c>
      <c r="AW684" s="3" t="s">
        <v>8745</v>
      </c>
      <c r="AX684" s="3" t="s">
        <v>8745</v>
      </c>
      <c r="AY684" s="3" t="s">
        <v>8746</v>
      </c>
      <c r="AZ684" s="3" t="s">
        <v>75</v>
      </c>
      <c r="BB684" s="3" t="s">
        <v>8747</v>
      </c>
      <c r="BC684" s="3" t="s">
        <v>8748</v>
      </c>
      <c r="BD684" s="3" t="s">
        <v>8749</v>
      </c>
    </row>
    <row r="685" spans="1:56" ht="48" customHeight="1" x14ac:dyDescent="0.25">
      <c r="A685" s="7" t="s">
        <v>59</v>
      </c>
      <c r="B685" s="2" t="s">
        <v>8750</v>
      </c>
      <c r="C685" s="2" t="s">
        <v>8751</v>
      </c>
      <c r="D685" s="2" t="s">
        <v>8752</v>
      </c>
      <c r="F685" s="3" t="s">
        <v>59</v>
      </c>
      <c r="G685" s="3" t="s">
        <v>60</v>
      </c>
      <c r="H685" s="3" t="s">
        <v>59</v>
      </c>
      <c r="I685" s="3" t="s">
        <v>59</v>
      </c>
      <c r="J685" s="3" t="s">
        <v>61</v>
      </c>
      <c r="K685" s="2" t="s">
        <v>8753</v>
      </c>
      <c r="L685" s="2" t="s">
        <v>8754</v>
      </c>
      <c r="M685" s="3" t="s">
        <v>98</v>
      </c>
      <c r="O685" s="3" t="s">
        <v>64</v>
      </c>
      <c r="P685" s="3" t="s">
        <v>912</v>
      </c>
      <c r="Q685" s="2" t="s">
        <v>8755</v>
      </c>
      <c r="R685" s="3" t="s">
        <v>67</v>
      </c>
      <c r="S685" s="4">
        <v>4</v>
      </c>
      <c r="T685" s="4">
        <v>4</v>
      </c>
      <c r="U685" s="5" t="s">
        <v>1803</v>
      </c>
      <c r="V685" s="5" t="s">
        <v>1803</v>
      </c>
      <c r="W685" s="5" t="s">
        <v>8756</v>
      </c>
      <c r="X685" s="5" t="s">
        <v>8756</v>
      </c>
      <c r="Y685" s="4">
        <v>459</v>
      </c>
      <c r="Z685" s="4">
        <v>379</v>
      </c>
      <c r="AA685" s="4">
        <v>379</v>
      </c>
      <c r="AB685" s="4">
        <v>6</v>
      </c>
      <c r="AC685" s="4">
        <v>6</v>
      </c>
      <c r="AD685" s="4">
        <v>17</v>
      </c>
      <c r="AE685" s="4">
        <v>17</v>
      </c>
      <c r="AF685" s="4">
        <v>5</v>
      </c>
      <c r="AG685" s="4">
        <v>5</v>
      </c>
      <c r="AH685" s="4">
        <v>1</v>
      </c>
      <c r="AI685" s="4">
        <v>1</v>
      </c>
      <c r="AJ685" s="4">
        <v>8</v>
      </c>
      <c r="AK685" s="4">
        <v>8</v>
      </c>
      <c r="AL685" s="4">
        <v>5</v>
      </c>
      <c r="AM685" s="4">
        <v>5</v>
      </c>
      <c r="AN685" s="4">
        <v>0</v>
      </c>
      <c r="AO685" s="4">
        <v>0</v>
      </c>
      <c r="AP685" s="3" t="s">
        <v>59</v>
      </c>
      <c r="AQ685" s="3" t="s">
        <v>70</v>
      </c>
      <c r="AR685" s="6" t="str">
        <f>HYPERLINK("http://catalog.hathitrust.org/Record/004420218","HathiTrust Record")</f>
        <v>HathiTrust Record</v>
      </c>
      <c r="AS685" s="6" t="str">
        <f>HYPERLINK("https://creighton-primo.hosted.exlibrisgroup.com/primo-explore/search?tab=default_tab&amp;search_scope=EVERYTHING&amp;vid=01CRU&amp;lang=en_US&amp;offset=0&amp;query=any,contains,991001248499702656","Catalog Record")</f>
        <v>Catalog Record</v>
      </c>
      <c r="AT685" s="6" t="str">
        <f>HYPERLINK("http://www.worldcat.org/oclc/208402","WorldCat Record")</f>
        <v>WorldCat Record</v>
      </c>
      <c r="AU685" s="3" t="s">
        <v>8757</v>
      </c>
      <c r="AV685" s="3" t="s">
        <v>8758</v>
      </c>
      <c r="AW685" s="3" t="s">
        <v>8759</v>
      </c>
      <c r="AX685" s="3" t="s">
        <v>8759</v>
      </c>
      <c r="AY685" s="3" t="s">
        <v>8760</v>
      </c>
      <c r="AZ685" s="3" t="s">
        <v>75</v>
      </c>
      <c r="BB685" s="3" t="s">
        <v>8761</v>
      </c>
      <c r="BC685" s="3" t="s">
        <v>8762</v>
      </c>
      <c r="BD685" s="3" t="s">
        <v>8763</v>
      </c>
    </row>
    <row r="686" spans="1:56" ht="48" customHeight="1" x14ac:dyDescent="0.25">
      <c r="A686" s="7" t="s">
        <v>59</v>
      </c>
      <c r="B686" s="2" t="s">
        <v>8764</v>
      </c>
      <c r="C686" s="2" t="s">
        <v>8765</v>
      </c>
      <c r="D686" s="2" t="s">
        <v>8766</v>
      </c>
      <c r="F686" s="3" t="s">
        <v>59</v>
      </c>
      <c r="G686" s="3" t="s">
        <v>60</v>
      </c>
      <c r="H686" s="3" t="s">
        <v>59</v>
      </c>
      <c r="I686" s="3" t="s">
        <v>59</v>
      </c>
      <c r="J686" s="3" t="s">
        <v>61</v>
      </c>
      <c r="K686" s="2" t="s">
        <v>8767</v>
      </c>
      <c r="L686" s="2" t="s">
        <v>8768</v>
      </c>
      <c r="M686" s="3" t="s">
        <v>376</v>
      </c>
      <c r="O686" s="3" t="s">
        <v>64</v>
      </c>
      <c r="P686" s="3" t="s">
        <v>191</v>
      </c>
      <c r="Q686" s="2" t="s">
        <v>8769</v>
      </c>
      <c r="R686" s="3" t="s">
        <v>67</v>
      </c>
      <c r="S686" s="4">
        <v>2</v>
      </c>
      <c r="T686" s="4">
        <v>2</v>
      </c>
      <c r="U686" s="5" t="s">
        <v>8432</v>
      </c>
      <c r="V686" s="5" t="s">
        <v>8432</v>
      </c>
      <c r="W686" s="5" t="s">
        <v>6862</v>
      </c>
      <c r="X686" s="5" t="s">
        <v>6862</v>
      </c>
      <c r="Y686" s="4">
        <v>9</v>
      </c>
      <c r="Z686" s="4">
        <v>8</v>
      </c>
      <c r="AA686" s="4">
        <v>256</v>
      </c>
      <c r="AB686" s="4">
        <v>1</v>
      </c>
      <c r="AC686" s="4">
        <v>3</v>
      </c>
      <c r="AD686" s="4">
        <v>0</v>
      </c>
      <c r="AE686" s="4">
        <v>7</v>
      </c>
      <c r="AF686" s="4">
        <v>0</v>
      </c>
      <c r="AG686" s="4">
        <v>0</v>
      </c>
      <c r="AH686" s="4">
        <v>0</v>
      </c>
      <c r="AI686" s="4">
        <v>1</v>
      </c>
      <c r="AJ686" s="4">
        <v>0</v>
      </c>
      <c r="AK686" s="4">
        <v>5</v>
      </c>
      <c r="AL686" s="4">
        <v>0</v>
      </c>
      <c r="AM686" s="4">
        <v>2</v>
      </c>
      <c r="AN686" s="4">
        <v>0</v>
      </c>
      <c r="AO686" s="4">
        <v>0</v>
      </c>
      <c r="AP686" s="3" t="s">
        <v>59</v>
      </c>
      <c r="AQ686" s="3" t="s">
        <v>59</v>
      </c>
      <c r="AS686" s="6" t="str">
        <f>HYPERLINK("https://creighton-primo.hosted.exlibrisgroup.com/primo-explore/search?tab=default_tab&amp;search_scope=EVERYTHING&amp;vid=01CRU&amp;lang=en_US&amp;offset=0&amp;query=any,contains,991004684159702656","Catalog Record")</f>
        <v>Catalog Record</v>
      </c>
      <c r="AT686" s="6" t="str">
        <f>HYPERLINK("http://www.worldcat.org/oclc/4586379","WorldCat Record")</f>
        <v>WorldCat Record</v>
      </c>
      <c r="AU686" s="3" t="s">
        <v>8770</v>
      </c>
      <c r="AV686" s="3" t="s">
        <v>8771</v>
      </c>
      <c r="AW686" s="3" t="s">
        <v>8772</v>
      </c>
      <c r="AX686" s="3" t="s">
        <v>8772</v>
      </c>
      <c r="AY686" s="3" t="s">
        <v>8773</v>
      </c>
      <c r="AZ686" s="3" t="s">
        <v>75</v>
      </c>
      <c r="BC686" s="3" t="s">
        <v>8774</v>
      </c>
      <c r="BD686" s="3" t="s">
        <v>8775</v>
      </c>
    </row>
    <row r="687" spans="1:56" ht="48" customHeight="1" x14ac:dyDescent="0.25">
      <c r="A687" s="7" t="s">
        <v>59</v>
      </c>
      <c r="B687" s="2" t="s">
        <v>8776</v>
      </c>
      <c r="C687" s="2" t="s">
        <v>8777</v>
      </c>
      <c r="D687" s="2" t="s">
        <v>8778</v>
      </c>
      <c r="F687" s="3" t="s">
        <v>59</v>
      </c>
      <c r="G687" s="3" t="s">
        <v>60</v>
      </c>
      <c r="H687" s="3" t="s">
        <v>59</v>
      </c>
      <c r="I687" s="3" t="s">
        <v>59</v>
      </c>
      <c r="J687" s="3" t="s">
        <v>61</v>
      </c>
      <c r="L687" s="2" t="s">
        <v>8779</v>
      </c>
      <c r="M687" s="3" t="s">
        <v>604</v>
      </c>
      <c r="O687" s="3" t="s">
        <v>64</v>
      </c>
      <c r="P687" s="3" t="s">
        <v>1129</v>
      </c>
      <c r="Q687" s="2" t="s">
        <v>7589</v>
      </c>
      <c r="R687" s="3" t="s">
        <v>67</v>
      </c>
      <c r="S687" s="4">
        <v>3</v>
      </c>
      <c r="T687" s="4">
        <v>3</v>
      </c>
      <c r="U687" s="5" t="s">
        <v>8780</v>
      </c>
      <c r="V687" s="5" t="s">
        <v>8780</v>
      </c>
      <c r="W687" s="5" t="s">
        <v>3873</v>
      </c>
      <c r="X687" s="5" t="s">
        <v>3873</v>
      </c>
      <c r="Y687" s="4">
        <v>48</v>
      </c>
      <c r="Z687" s="4">
        <v>23</v>
      </c>
      <c r="AA687" s="4">
        <v>25</v>
      </c>
      <c r="AB687" s="4">
        <v>1</v>
      </c>
      <c r="AC687" s="4">
        <v>1</v>
      </c>
      <c r="AD687" s="4">
        <v>1</v>
      </c>
      <c r="AE687" s="4">
        <v>1</v>
      </c>
      <c r="AF687" s="4">
        <v>1</v>
      </c>
      <c r="AG687" s="4">
        <v>1</v>
      </c>
      <c r="AH687" s="4">
        <v>0</v>
      </c>
      <c r="AI687" s="4">
        <v>0</v>
      </c>
      <c r="AJ687" s="4">
        <v>0</v>
      </c>
      <c r="AK687" s="4">
        <v>0</v>
      </c>
      <c r="AL687" s="4">
        <v>0</v>
      </c>
      <c r="AM687" s="4">
        <v>0</v>
      </c>
      <c r="AN687" s="4">
        <v>0</v>
      </c>
      <c r="AO687" s="4">
        <v>0</v>
      </c>
      <c r="AP687" s="3" t="s">
        <v>59</v>
      </c>
      <c r="AQ687" s="3" t="s">
        <v>70</v>
      </c>
      <c r="AR687" s="6" t="str">
        <f>HYPERLINK("http://catalog.hathitrust.org/Record/008990278","HathiTrust Record")</f>
        <v>HathiTrust Record</v>
      </c>
      <c r="AS687" s="6" t="str">
        <f>HYPERLINK("https://creighton-primo.hosted.exlibrisgroup.com/primo-explore/search?tab=default_tab&amp;search_scope=EVERYTHING&amp;vid=01CRU&amp;lang=en_US&amp;offset=0&amp;query=any,contains,991002527139702656","Catalog Record")</f>
        <v>Catalog Record</v>
      </c>
      <c r="AT687" s="6" t="str">
        <f>HYPERLINK("http://www.worldcat.org/oclc/32855210","WorldCat Record")</f>
        <v>WorldCat Record</v>
      </c>
      <c r="AU687" s="3" t="s">
        <v>8781</v>
      </c>
      <c r="AV687" s="3" t="s">
        <v>8782</v>
      </c>
      <c r="AW687" s="3" t="s">
        <v>8783</v>
      </c>
      <c r="AX687" s="3" t="s">
        <v>8783</v>
      </c>
      <c r="AY687" s="3" t="s">
        <v>8784</v>
      </c>
      <c r="AZ687" s="3" t="s">
        <v>75</v>
      </c>
      <c r="BB687" s="3" t="s">
        <v>8785</v>
      </c>
      <c r="BC687" s="3" t="s">
        <v>8786</v>
      </c>
      <c r="BD687" s="3" t="s">
        <v>8787</v>
      </c>
    </row>
    <row r="688" spans="1:56" ht="48" customHeight="1" x14ac:dyDescent="0.25">
      <c r="A688" s="7" t="s">
        <v>59</v>
      </c>
      <c r="B688" s="2" t="s">
        <v>8788</v>
      </c>
      <c r="C688" s="2" t="s">
        <v>8789</v>
      </c>
      <c r="D688" s="2" t="s">
        <v>8790</v>
      </c>
      <c r="F688" s="3" t="s">
        <v>59</v>
      </c>
      <c r="G688" s="3" t="s">
        <v>60</v>
      </c>
      <c r="H688" s="3" t="s">
        <v>59</v>
      </c>
      <c r="I688" s="3" t="s">
        <v>59</v>
      </c>
      <c r="J688" s="3" t="s">
        <v>61</v>
      </c>
      <c r="K688" s="2" t="s">
        <v>8791</v>
      </c>
      <c r="L688" s="2" t="s">
        <v>8792</v>
      </c>
      <c r="M688" s="3" t="s">
        <v>1351</v>
      </c>
      <c r="O688" s="3" t="s">
        <v>64</v>
      </c>
      <c r="P688" s="3" t="s">
        <v>84</v>
      </c>
      <c r="Q688" s="2" t="s">
        <v>8793</v>
      </c>
      <c r="R688" s="3" t="s">
        <v>67</v>
      </c>
      <c r="S688" s="4">
        <v>6</v>
      </c>
      <c r="T688" s="4">
        <v>6</v>
      </c>
      <c r="U688" s="5" t="s">
        <v>8741</v>
      </c>
      <c r="V688" s="5" t="s">
        <v>8741</v>
      </c>
      <c r="W688" s="5" t="s">
        <v>8794</v>
      </c>
      <c r="X688" s="5" t="s">
        <v>8794</v>
      </c>
      <c r="Y688" s="4">
        <v>844</v>
      </c>
      <c r="Z688" s="4">
        <v>665</v>
      </c>
      <c r="AA688" s="4">
        <v>672</v>
      </c>
      <c r="AB688" s="4">
        <v>6</v>
      </c>
      <c r="AC688" s="4">
        <v>6</v>
      </c>
      <c r="AD688" s="4">
        <v>32</v>
      </c>
      <c r="AE688" s="4">
        <v>32</v>
      </c>
      <c r="AF688" s="4">
        <v>13</v>
      </c>
      <c r="AG688" s="4">
        <v>13</v>
      </c>
      <c r="AH688" s="4">
        <v>6</v>
      </c>
      <c r="AI688" s="4">
        <v>6</v>
      </c>
      <c r="AJ688" s="4">
        <v>16</v>
      </c>
      <c r="AK688" s="4">
        <v>16</v>
      </c>
      <c r="AL688" s="4">
        <v>5</v>
      </c>
      <c r="AM688" s="4">
        <v>5</v>
      </c>
      <c r="AN688" s="4">
        <v>0</v>
      </c>
      <c r="AO688" s="4">
        <v>0</v>
      </c>
      <c r="AP688" s="3" t="s">
        <v>59</v>
      </c>
      <c r="AQ688" s="3" t="s">
        <v>59</v>
      </c>
      <c r="AS688" s="6" t="str">
        <f>HYPERLINK("https://creighton-primo.hosted.exlibrisgroup.com/primo-explore/search?tab=default_tab&amp;search_scope=EVERYTHING&amp;vid=01CRU&amp;lang=en_US&amp;offset=0&amp;query=any,contains,991004284819702656","Catalog Record")</f>
        <v>Catalog Record</v>
      </c>
      <c r="AT688" s="6" t="str">
        <f>HYPERLINK("http://www.worldcat.org/oclc/53181467","WorldCat Record")</f>
        <v>WorldCat Record</v>
      </c>
      <c r="AU688" s="3" t="s">
        <v>8795</v>
      </c>
      <c r="AV688" s="3" t="s">
        <v>8796</v>
      </c>
      <c r="AW688" s="3" t="s">
        <v>8797</v>
      </c>
      <c r="AX688" s="3" t="s">
        <v>8797</v>
      </c>
      <c r="AY688" s="3" t="s">
        <v>8798</v>
      </c>
      <c r="AZ688" s="3" t="s">
        <v>75</v>
      </c>
      <c r="BB688" s="3" t="s">
        <v>8799</v>
      </c>
      <c r="BC688" s="3" t="s">
        <v>8800</v>
      </c>
      <c r="BD688" s="3" t="s">
        <v>8801</v>
      </c>
    </row>
    <row r="689" spans="1:56" ht="48" customHeight="1" x14ac:dyDescent="0.25">
      <c r="A689" s="7" t="s">
        <v>59</v>
      </c>
      <c r="B689" s="2" t="s">
        <v>8802</v>
      </c>
      <c r="C689" s="2" t="s">
        <v>8803</v>
      </c>
      <c r="D689" s="2" t="s">
        <v>8804</v>
      </c>
      <c r="F689" s="3" t="s">
        <v>59</v>
      </c>
      <c r="G689" s="3" t="s">
        <v>60</v>
      </c>
      <c r="H689" s="3" t="s">
        <v>70</v>
      </c>
      <c r="I689" s="3" t="s">
        <v>59</v>
      </c>
      <c r="J689" s="3" t="s">
        <v>61</v>
      </c>
      <c r="L689" s="2" t="s">
        <v>8805</v>
      </c>
      <c r="M689" s="3" t="s">
        <v>129</v>
      </c>
      <c r="O689" s="3" t="s">
        <v>64</v>
      </c>
      <c r="P689" s="3" t="s">
        <v>130</v>
      </c>
      <c r="R689" s="3" t="s">
        <v>67</v>
      </c>
      <c r="S689" s="4">
        <v>15</v>
      </c>
      <c r="T689" s="4">
        <v>29</v>
      </c>
      <c r="U689" s="5" t="s">
        <v>2268</v>
      </c>
      <c r="V689" s="5" t="s">
        <v>8806</v>
      </c>
      <c r="W689" s="5" t="s">
        <v>8807</v>
      </c>
      <c r="X689" s="5" t="s">
        <v>8807</v>
      </c>
      <c r="Y689" s="4">
        <v>385</v>
      </c>
      <c r="Z689" s="4">
        <v>256</v>
      </c>
      <c r="AA689" s="4">
        <v>262</v>
      </c>
      <c r="AB689" s="4">
        <v>3</v>
      </c>
      <c r="AC689" s="4">
        <v>3</v>
      </c>
      <c r="AD689" s="4">
        <v>7</v>
      </c>
      <c r="AE689" s="4">
        <v>7</v>
      </c>
      <c r="AF689" s="4">
        <v>2</v>
      </c>
      <c r="AG689" s="4">
        <v>2</v>
      </c>
      <c r="AH689" s="4">
        <v>3</v>
      </c>
      <c r="AI689" s="4">
        <v>3</v>
      </c>
      <c r="AJ689" s="4">
        <v>4</v>
      </c>
      <c r="AK689" s="4">
        <v>4</v>
      </c>
      <c r="AL689" s="4">
        <v>1</v>
      </c>
      <c r="AM689" s="4">
        <v>1</v>
      </c>
      <c r="AN689" s="4">
        <v>0</v>
      </c>
      <c r="AO689" s="4">
        <v>0</v>
      </c>
      <c r="AP689" s="3" t="s">
        <v>59</v>
      </c>
      <c r="AQ689" s="3" t="s">
        <v>59</v>
      </c>
      <c r="AS689" s="6" t="str">
        <f>HYPERLINK("https://creighton-primo.hosted.exlibrisgroup.com/primo-explore/search?tab=default_tab&amp;search_scope=EVERYTHING&amp;vid=01CRU&amp;lang=en_US&amp;offset=0&amp;query=any,contains,991001796479702656","Catalog Record")</f>
        <v>Catalog Record</v>
      </c>
      <c r="AT689" s="6" t="str">
        <f>HYPERLINK("http://www.worldcat.org/oclc/25628435","WorldCat Record")</f>
        <v>WorldCat Record</v>
      </c>
      <c r="AU689" s="3" t="s">
        <v>8808</v>
      </c>
      <c r="AV689" s="3" t="s">
        <v>8809</v>
      </c>
      <c r="AW689" s="3" t="s">
        <v>8810</v>
      </c>
      <c r="AX689" s="3" t="s">
        <v>8810</v>
      </c>
      <c r="AY689" s="3" t="s">
        <v>8811</v>
      </c>
      <c r="AZ689" s="3" t="s">
        <v>75</v>
      </c>
      <c r="BB689" s="3" t="s">
        <v>8812</v>
      </c>
      <c r="BC689" s="3" t="s">
        <v>8813</v>
      </c>
      <c r="BD689" s="3" t="s">
        <v>8814</v>
      </c>
    </row>
    <row r="690" spans="1:56" ht="48" customHeight="1" x14ac:dyDescent="0.25">
      <c r="A690" s="7" t="s">
        <v>59</v>
      </c>
      <c r="B690" s="2" t="s">
        <v>8815</v>
      </c>
      <c r="C690" s="2" t="s">
        <v>8816</v>
      </c>
      <c r="D690" s="2" t="s">
        <v>8817</v>
      </c>
      <c r="F690" s="3" t="s">
        <v>59</v>
      </c>
      <c r="G690" s="3" t="s">
        <v>60</v>
      </c>
      <c r="H690" s="3" t="s">
        <v>59</v>
      </c>
      <c r="I690" s="3" t="s">
        <v>59</v>
      </c>
      <c r="J690" s="3" t="s">
        <v>61</v>
      </c>
      <c r="K690" s="2" t="s">
        <v>8818</v>
      </c>
      <c r="L690" s="2" t="s">
        <v>8819</v>
      </c>
      <c r="M690" s="3" t="s">
        <v>190</v>
      </c>
      <c r="O690" s="3" t="s">
        <v>64</v>
      </c>
      <c r="P690" s="3" t="s">
        <v>1257</v>
      </c>
      <c r="R690" s="3" t="s">
        <v>67</v>
      </c>
      <c r="S690" s="4">
        <v>2</v>
      </c>
      <c r="T690" s="4">
        <v>2</v>
      </c>
      <c r="U690" s="5" t="s">
        <v>7936</v>
      </c>
      <c r="V690" s="5" t="s">
        <v>7936</v>
      </c>
      <c r="W690" s="5" t="s">
        <v>6862</v>
      </c>
      <c r="X690" s="5" t="s">
        <v>6862</v>
      </c>
      <c r="Y690" s="4">
        <v>142</v>
      </c>
      <c r="Z690" s="4">
        <v>81</v>
      </c>
      <c r="AA690" s="4">
        <v>105</v>
      </c>
      <c r="AB690" s="4">
        <v>1</v>
      </c>
      <c r="AC690" s="4">
        <v>1</v>
      </c>
      <c r="AD690" s="4">
        <v>0</v>
      </c>
      <c r="AE690" s="4">
        <v>0</v>
      </c>
      <c r="AF690" s="4">
        <v>0</v>
      </c>
      <c r="AG690" s="4">
        <v>0</v>
      </c>
      <c r="AH690" s="4">
        <v>0</v>
      </c>
      <c r="AI690" s="4">
        <v>0</v>
      </c>
      <c r="AJ690" s="4">
        <v>0</v>
      </c>
      <c r="AK690" s="4">
        <v>0</v>
      </c>
      <c r="AL690" s="4">
        <v>0</v>
      </c>
      <c r="AM690" s="4">
        <v>0</v>
      </c>
      <c r="AN690" s="4">
        <v>0</v>
      </c>
      <c r="AO690" s="4">
        <v>0</v>
      </c>
      <c r="AP690" s="3" t="s">
        <v>59</v>
      </c>
      <c r="AQ690" s="3" t="s">
        <v>59</v>
      </c>
      <c r="AS690" s="6" t="str">
        <f>HYPERLINK("https://creighton-primo.hosted.exlibrisgroup.com/primo-explore/search?tab=default_tab&amp;search_scope=EVERYTHING&amp;vid=01CRU&amp;lang=en_US&amp;offset=0&amp;query=any,contains,991000742629702656","Catalog Record")</f>
        <v>Catalog Record</v>
      </c>
      <c r="AT690" s="6" t="str">
        <f>HYPERLINK("http://www.worldcat.org/oclc/12810142","WorldCat Record")</f>
        <v>WorldCat Record</v>
      </c>
      <c r="AU690" s="3" t="s">
        <v>8820</v>
      </c>
      <c r="AV690" s="3" t="s">
        <v>8821</v>
      </c>
      <c r="AW690" s="3" t="s">
        <v>8822</v>
      </c>
      <c r="AX690" s="3" t="s">
        <v>8822</v>
      </c>
      <c r="AY690" s="3" t="s">
        <v>8823</v>
      </c>
      <c r="AZ690" s="3" t="s">
        <v>75</v>
      </c>
      <c r="BB690" s="3" t="s">
        <v>8824</v>
      </c>
      <c r="BC690" s="3" t="s">
        <v>8825</v>
      </c>
      <c r="BD690" s="3" t="s">
        <v>8826</v>
      </c>
    </row>
    <row r="691" spans="1:56" ht="48" customHeight="1" x14ac:dyDescent="0.25">
      <c r="A691" s="7" t="s">
        <v>59</v>
      </c>
      <c r="B691" s="2" t="s">
        <v>8827</v>
      </c>
      <c r="C691" s="2" t="s">
        <v>8828</v>
      </c>
      <c r="D691" s="2" t="s">
        <v>8829</v>
      </c>
      <c r="F691" s="3" t="s">
        <v>59</v>
      </c>
      <c r="G691" s="3" t="s">
        <v>60</v>
      </c>
      <c r="H691" s="3" t="s">
        <v>59</v>
      </c>
      <c r="I691" s="3" t="s">
        <v>59</v>
      </c>
      <c r="J691" s="3" t="s">
        <v>61</v>
      </c>
      <c r="K691" s="2" t="s">
        <v>8830</v>
      </c>
      <c r="L691" s="2" t="s">
        <v>8831</v>
      </c>
      <c r="M691" s="3" t="s">
        <v>2680</v>
      </c>
      <c r="O691" s="3" t="s">
        <v>64</v>
      </c>
      <c r="P691" s="3" t="s">
        <v>130</v>
      </c>
      <c r="R691" s="3" t="s">
        <v>67</v>
      </c>
      <c r="S691" s="4">
        <v>2</v>
      </c>
      <c r="T691" s="4">
        <v>2</v>
      </c>
      <c r="U691" s="5" t="s">
        <v>8832</v>
      </c>
      <c r="V691" s="5" t="s">
        <v>8832</v>
      </c>
      <c r="W691" s="5" t="s">
        <v>8833</v>
      </c>
      <c r="X691" s="5" t="s">
        <v>8833</v>
      </c>
      <c r="Y691" s="4">
        <v>204</v>
      </c>
      <c r="Z691" s="4">
        <v>156</v>
      </c>
      <c r="AA691" s="4">
        <v>218</v>
      </c>
      <c r="AB691" s="4">
        <v>3</v>
      </c>
      <c r="AC691" s="4">
        <v>3</v>
      </c>
      <c r="AD691" s="4">
        <v>5</v>
      </c>
      <c r="AE691" s="4">
        <v>6</v>
      </c>
      <c r="AF691" s="4">
        <v>0</v>
      </c>
      <c r="AG691" s="4">
        <v>0</v>
      </c>
      <c r="AH691" s="4">
        <v>2</v>
      </c>
      <c r="AI691" s="4">
        <v>3</v>
      </c>
      <c r="AJ691" s="4">
        <v>3</v>
      </c>
      <c r="AK691" s="4">
        <v>3</v>
      </c>
      <c r="AL691" s="4">
        <v>2</v>
      </c>
      <c r="AM691" s="4">
        <v>2</v>
      </c>
      <c r="AN691" s="4">
        <v>0</v>
      </c>
      <c r="AO691" s="4">
        <v>0</v>
      </c>
      <c r="AP691" s="3" t="s">
        <v>59</v>
      </c>
      <c r="AQ691" s="3" t="s">
        <v>70</v>
      </c>
      <c r="AR691" s="6" t="str">
        <f>HYPERLINK("http://catalog.hathitrust.org/Record/004120222","HathiTrust Record")</f>
        <v>HathiTrust Record</v>
      </c>
      <c r="AS691" s="6" t="str">
        <f>HYPERLINK("https://creighton-primo.hosted.exlibrisgroup.com/primo-explore/search?tab=default_tab&amp;search_scope=EVERYTHING&amp;vid=01CRU&amp;lang=en_US&amp;offset=0&amp;query=any,contains,991003502949702656","Catalog Record")</f>
        <v>Catalog Record</v>
      </c>
      <c r="AT691" s="6" t="str">
        <f>HYPERLINK("http://www.worldcat.org/oclc/41211435","WorldCat Record")</f>
        <v>WorldCat Record</v>
      </c>
      <c r="AU691" s="3" t="s">
        <v>8834</v>
      </c>
      <c r="AV691" s="3" t="s">
        <v>8835</v>
      </c>
      <c r="AW691" s="3" t="s">
        <v>8836</v>
      </c>
      <c r="AX691" s="3" t="s">
        <v>8836</v>
      </c>
      <c r="AY691" s="3" t="s">
        <v>8837</v>
      </c>
      <c r="AZ691" s="3" t="s">
        <v>75</v>
      </c>
      <c r="BB691" s="3" t="s">
        <v>8838</v>
      </c>
      <c r="BC691" s="3" t="s">
        <v>8839</v>
      </c>
      <c r="BD691" s="3" t="s">
        <v>8840</v>
      </c>
    </row>
    <row r="692" spans="1:56" ht="48" customHeight="1" x14ac:dyDescent="0.25">
      <c r="A692" s="7" t="s">
        <v>59</v>
      </c>
      <c r="B692" s="2" t="s">
        <v>8841</v>
      </c>
      <c r="C692" s="2" t="s">
        <v>8842</v>
      </c>
      <c r="D692" s="2" t="s">
        <v>8843</v>
      </c>
      <c r="F692" s="3" t="s">
        <v>59</v>
      </c>
      <c r="G692" s="3" t="s">
        <v>60</v>
      </c>
      <c r="H692" s="3" t="s">
        <v>59</v>
      </c>
      <c r="I692" s="3" t="s">
        <v>59</v>
      </c>
      <c r="J692" s="3" t="s">
        <v>61</v>
      </c>
      <c r="K692" s="2" t="s">
        <v>8844</v>
      </c>
      <c r="L692" s="2" t="s">
        <v>8845</v>
      </c>
      <c r="M692" s="3" t="s">
        <v>145</v>
      </c>
      <c r="O692" s="3" t="s">
        <v>64</v>
      </c>
      <c r="P692" s="3" t="s">
        <v>4208</v>
      </c>
      <c r="R692" s="3" t="s">
        <v>67</v>
      </c>
      <c r="S692" s="4">
        <v>1</v>
      </c>
      <c r="T692" s="4">
        <v>1</v>
      </c>
      <c r="U692" s="5" t="s">
        <v>8846</v>
      </c>
      <c r="V692" s="5" t="s">
        <v>8846</v>
      </c>
      <c r="W692" s="5" t="s">
        <v>6862</v>
      </c>
      <c r="X692" s="5" t="s">
        <v>6862</v>
      </c>
      <c r="Y692" s="4">
        <v>36</v>
      </c>
      <c r="Z692" s="4">
        <v>34</v>
      </c>
      <c r="AA692" s="4">
        <v>93</v>
      </c>
      <c r="AB692" s="4">
        <v>2</v>
      </c>
      <c r="AC692" s="4">
        <v>2</v>
      </c>
      <c r="AD692" s="4">
        <v>1</v>
      </c>
      <c r="AE692" s="4">
        <v>3</v>
      </c>
      <c r="AF692" s="4">
        <v>0</v>
      </c>
      <c r="AG692" s="4">
        <v>1</v>
      </c>
      <c r="AH692" s="4">
        <v>0</v>
      </c>
      <c r="AI692" s="4">
        <v>1</v>
      </c>
      <c r="AJ692" s="4">
        <v>0</v>
      </c>
      <c r="AK692" s="4">
        <v>0</v>
      </c>
      <c r="AL692" s="4">
        <v>1</v>
      </c>
      <c r="AM692" s="4">
        <v>1</v>
      </c>
      <c r="AN692" s="4">
        <v>0</v>
      </c>
      <c r="AO692" s="4">
        <v>0</v>
      </c>
      <c r="AP692" s="3" t="s">
        <v>59</v>
      </c>
      <c r="AQ692" s="3" t="s">
        <v>70</v>
      </c>
      <c r="AR692" s="6" t="str">
        <f>HYPERLINK("http://catalog.hathitrust.org/Record/101985790","HathiTrust Record")</f>
        <v>HathiTrust Record</v>
      </c>
      <c r="AS692" s="6" t="str">
        <f>HYPERLINK("https://creighton-primo.hosted.exlibrisgroup.com/primo-explore/search?tab=default_tab&amp;search_scope=EVERYTHING&amp;vid=01CRU&amp;lang=en_US&amp;offset=0&amp;query=any,contains,991004624599702656","Catalog Record")</f>
        <v>Catalog Record</v>
      </c>
      <c r="AT692" s="6" t="str">
        <f>HYPERLINK("http://www.worldcat.org/oclc/4326967","WorldCat Record")</f>
        <v>WorldCat Record</v>
      </c>
      <c r="AU692" s="3" t="s">
        <v>8847</v>
      </c>
      <c r="AV692" s="3" t="s">
        <v>8848</v>
      </c>
      <c r="AW692" s="3" t="s">
        <v>8849</v>
      </c>
      <c r="AX692" s="3" t="s">
        <v>8849</v>
      </c>
      <c r="AY692" s="3" t="s">
        <v>8850</v>
      </c>
      <c r="AZ692" s="3" t="s">
        <v>75</v>
      </c>
      <c r="BC692" s="3" t="s">
        <v>8851</v>
      </c>
      <c r="BD692" s="3" t="s">
        <v>8852</v>
      </c>
    </row>
    <row r="693" spans="1:56" ht="48" customHeight="1" x14ac:dyDescent="0.25">
      <c r="A693" s="7" t="s">
        <v>59</v>
      </c>
      <c r="B693" s="2" t="s">
        <v>8853</v>
      </c>
      <c r="C693" s="2" t="s">
        <v>8854</v>
      </c>
      <c r="D693" s="2" t="s">
        <v>8855</v>
      </c>
      <c r="F693" s="3" t="s">
        <v>59</v>
      </c>
      <c r="G693" s="3" t="s">
        <v>60</v>
      </c>
      <c r="H693" s="3" t="s">
        <v>59</v>
      </c>
      <c r="I693" s="3" t="s">
        <v>59</v>
      </c>
      <c r="J693" s="3" t="s">
        <v>61</v>
      </c>
      <c r="K693" s="2" t="s">
        <v>8856</v>
      </c>
      <c r="L693" s="2" t="s">
        <v>8857</v>
      </c>
      <c r="M693" s="3" t="s">
        <v>843</v>
      </c>
      <c r="O693" s="3" t="s">
        <v>64</v>
      </c>
      <c r="P693" s="3" t="s">
        <v>912</v>
      </c>
      <c r="Q693" s="2" t="s">
        <v>8858</v>
      </c>
      <c r="R693" s="3" t="s">
        <v>67</v>
      </c>
      <c r="S693" s="4">
        <v>1</v>
      </c>
      <c r="T693" s="4">
        <v>1</v>
      </c>
      <c r="U693" s="5" t="s">
        <v>2350</v>
      </c>
      <c r="V693" s="5" t="s">
        <v>2350</v>
      </c>
      <c r="W693" s="5" t="s">
        <v>2350</v>
      </c>
      <c r="X693" s="5" t="s">
        <v>2350</v>
      </c>
      <c r="Y693" s="4">
        <v>146</v>
      </c>
      <c r="Z693" s="4">
        <v>93</v>
      </c>
      <c r="AA693" s="4">
        <v>171</v>
      </c>
      <c r="AB693" s="4">
        <v>2</v>
      </c>
      <c r="AC693" s="4">
        <v>2</v>
      </c>
      <c r="AD693" s="4">
        <v>4</v>
      </c>
      <c r="AE693" s="4">
        <v>4</v>
      </c>
      <c r="AF693" s="4">
        <v>1</v>
      </c>
      <c r="AG693" s="4">
        <v>1</v>
      </c>
      <c r="AH693" s="4">
        <v>1</v>
      </c>
      <c r="AI693" s="4">
        <v>1</v>
      </c>
      <c r="AJ693" s="4">
        <v>2</v>
      </c>
      <c r="AK693" s="4">
        <v>2</v>
      </c>
      <c r="AL693" s="4">
        <v>1</v>
      </c>
      <c r="AM693" s="4">
        <v>1</v>
      </c>
      <c r="AN693" s="4">
        <v>0</v>
      </c>
      <c r="AO693" s="4">
        <v>0</v>
      </c>
      <c r="AP693" s="3" t="s">
        <v>59</v>
      </c>
      <c r="AQ693" s="3" t="s">
        <v>59</v>
      </c>
      <c r="AS693" s="6" t="str">
        <f>HYPERLINK("https://creighton-primo.hosted.exlibrisgroup.com/primo-explore/search?tab=default_tab&amp;search_scope=EVERYTHING&amp;vid=01CRU&amp;lang=en_US&amp;offset=0&amp;query=any,contains,991005338749702656","Catalog Record")</f>
        <v>Catalog Record</v>
      </c>
      <c r="AT693" s="6" t="str">
        <f>HYPERLINK("http://www.worldcat.org/oclc/77476600","WorldCat Record")</f>
        <v>WorldCat Record</v>
      </c>
      <c r="AU693" s="3" t="s">
        <v>8859</v>
      </c>
      <c r="AV693" s="3" t="s">
        <v>8860</v>
      </c>
      <c r="AW693" s="3" t="s">
        <v>8861</v>
      </c>
      <c r="AX693" s="3" t="s">
        <v>8861</v>
      </c>
      <c r="AY693" s="3" t="s">
        <v>8862</v>
      </c>
      <c r="AZ693" s="3" t="s">
        <v>75</v>
      </c>
      <c r="BB693" s="3" t="s">
        <v>8863</v>
      </c>
      <c r="BC693" s="3" t="s">
        <v>8864</v>
      </c>
      <c r="BD693" s="3" t="s">
        <v>8865</v>
      </c>
    </row>
    <row r="694" spans="1:56" ht="48" customHeight="1" x14ac:dyDescent="0.25">
      <c r="A694" s="7" t="s">
        <v>59</v>
      </c>
      <c r="B694" s="2" t="s">
        <v>8866</v>
      </c>
      <c r="C694" s="2" t="s">
        <v>8867</v>
      </c>
      <c r="D694" s="2" t="s">
        <v>8868</v>
      </c>
      <c r="F694" s="3" t="s">
        <v>59</v>
      </c>
      <c r="G694" s="3" t="s">
        <v>60</v>
      </c>
      <c r="H694" s="3" t="s">
        <v>59</v>
      </c>
      <c r="I694" s="3" t="s">
        <v>59</v>
      </c>
      <c r="J694" s="3" t="s">
        <v>61</v>
      </c>
      <c r="L694" s="2" t="s">
        <v>362</v>
      </c>
      <c r="M694" s="3" t="s">
        <v>363</v>
      </c>
      <c r="O694" s="3" t="s">
        <v>64</v>
      </c>
      <c r="P694" s="3" t="s">
        <v>130</v>
      </c>
      <c r="R694" s="3" t="s">
        <v>67</v>
      </c>
      <c r="S694" s="4">
        <v>2</v>
      </c>
      <c r="T694" s="4">
        <v>2</v>
      </c>
      <c r="U694" s="5" t="s">
        <v>8869</v>
      </c>
      <c r="V694" s="5" t="s">
        <v>8869</v>
      </c>
      <c r="W694" s="5" t="s">
        <v>6862</v>
      </c>
      <c r="X694" s="5" t="s">
        <v>6862</v>
      </c>
      <c r="Y694" s="4">
        <v>251</v>
      </c>
      <c r="Z694" s="4">
        <v>198</v>
      </c>
      <c r="AA694" s="4">
        <v>207</v>
      </c>
      <c r="AB694" s="4">
        <v>1</v>
      </c>
      <c r="AC694" s="4">
        <v>1</v>
      </c>
      <c r="AD694" s="4">
        <v>11</v>
      </c>
      <c r="AE694" s="4">
        <v>11</v>
      </c>
      <c r="AF694" s="4">
        <v>4</v>
      </c>
      <c r="AG694" s="4">
        <v>4</v>
      </c>
      <c r="AH694" s="4">
        <v>5</v>
      </c>
      <c r="AI694" s="4">
        <v>5</v>
      </c>
      <c r="AJ694" s="4">
        <v>7</v>
      </c>
      <c r="AK694" s="4">
        <v>7</v>
      </c>
      <c r="AL694" s="4">
        <v>0</v>
      </c>
      <c r="AM694" s="4">
        <v>0</v>
      </c>
      <c r="AN694" s="4">
        <v>0</v>
      </c>
      <c r="AO694" s="4">
        <v>0</v>
      </c>
      <c r="AP694" s="3" t="s">
        <v>59</v>
      </c>
      <c r="AQ694" s="3" t="s">
        <v>70</v>
      </c>
      <c r="AR694" s="6" t="str">
        <f>HYPERLINK("http://catalog.hathitrust.org/Record/000192191","HathiTrust Record")</f>
        <v>HathiTrust Record</v>
      </c>
      <c r="AS694" s="6" t="str">
        <f>HYPERLINK("https://creighton-primo.hosted.exlibrisgroup.com/primo-explore/search?tab=default_tab&amp;search_scope=EVERYTHING&amp;vid=01CRU&amp;lang=en_US&amp;offset=0&amp;query=any,contains,991000025789702656","Catalog Record")</f>
        <v>Catalog Record</v>
      </c>
      <c r="AT694" s="6" t="str">
        <f>HYPERLINK("http://www.worldcat.org/oclc/8588929","WorldCat Record")</f>
        <v>WorldCat Record</v>
      </c>
      <c r="AU694" s="3" t="s">
        <v>8870</v>
      </c>
      <c r="AV694" s="3" t="s">
        <v>8871</v>
      </c>
      <c r="AW694" s="3" t="s">
        <v>8872</v>
      </c>
      <c r="AX694" s="3" t="s">
        <v>8872</v>
      </c>
      <c r="AY694" s="3" t="s">
        <v>8873</v>
      </c>
      <c r="AZ694" s="3" t="s">
        <v>75</v>
      </c>
      <c r="BB694" s="3" t="s">
        <v>8874</v>
      </c>
      <c r="BC694" s="3" t="s">
        <v>8875</v>
      </c>
      <c r="BD694" s="3" t="s">
        <v>8876</v>
      </c>
    </row>
    <row r="695" spans="1:56" ht="48" customHeight="1" x14ac:dyDescent="0.25">
      <c r="A695" s="7" t="s">
        <v>59</v>
      </c>
      <c r="B695" s="2" t="s">
        <v>8877</v>
      </c>
      <c r="C695" s="2" t="s">
        <v>8878</v>
      </c>
      <c r="D695" s="2" t="s">
        <v>8879</v>
      </c>
      <c r="F695" s="3" t="s">
        <v>59</v>
      </c>
      <c r="G695" s="3" t="s">
        <v>60</v>
      </c>
      <c r="H695" s="3" t="s">
        <v>59</v>
      </c>
      <c r="I695" s="3" t="s">
        <v>59</v>
      </c>
      <c r="J695" s="3" t="s">
        <v>61</v>
      </c>
      <c r="L695" s="2" t="s">
        <v>8880</v>
      </c>
      <c r="M695" s="3" t="s">
        <v>175</v>
      </c>
      <c r="O695" s="3" t="s">
        <v>64</v>
      </c>
      <c r="P695" s="3" t="s">
        <v>191</v>
      </c>
      <c r="Q695" s="2" t="s">
        <v>8570</v>
      </c>
      <c r="R695" s="3" t="s">
        <v>67</v>
      </c>
      <c r="S695" s="4">
        <v>2</v>
      </c>
      <c r="T695" s="4">
        <v>2</v>
      </c>
      <c r="U695" s="5" t="s">
        <v>8881</v>
      </c>
      <c r="V695" s="5" t="s">
        <v>8881</v>
      </c>
      <c r="W695" s="5" t="s">
        <v>8882</v>
      </c>
      <c r="X695" s="5" t="s">
        <v>8882</v>
      </c>
      <c r="Y695" s="4">
        <v>160</v>
      </c>
      <c r="Z695" s="4">
        <v>118</v>
      </c>
      <c r="AA695" s="4">
        <v>159</v>
      </c>
      <c r="AB695" s="4">
        <v>1</v>
      </c>
      <c r="AC695" s="4">
        <v>1</v>
      </c>
      <c r="AD695" s="4">
        <v>3</v>
      </c>
      <c r="AE695" s="4">
        <v>3</v>
      </c>
      <c r="AF695" s="4">
        <v>0</v>
      </c>
      <c r="AG695" s="4">
        <v>0</v>
      </c>
      <c r="AH695" s="4">
        <v>3</v>
      </c>
      <c r="AI695" s="4">
        <v>3</v>
      </c>
      <c r="AJ695" s="4">
        <v>2</v>
      </c>
      <c r="AK695" s="4">
        <v>2</v>
      </c>
      <c r="AL695" s="4">
        <v>0</v>
      </c>
      <c r="AM695" s="4">
        <v>0</v>
      </c>
      <c r="AN695" s="4">
        <v>0</v>
      </c>
      <c r="AO695" s="4">
        <v>0</v>
      </c>
      <c r="AP695" s="3" t="s">
        <v>59</v>
      </c>
      <c r="AQ695" s="3" t="s">
        <v>59</v>
      </c>
      <c r="AS695" s="6" t="str">
        <f>HYPERLINK("https://creighton-primo.hosted.exlibrisgroup.com/primo-explore/search?tab=default_tab&amp;search_scope=EVERYTHING&amp;vid=01CRU&amp;lang=en_US&amp;offset=0&amp;query=any,contains,991003216979702656","Catalog Record")</f>
        <v>Catalog Record</v>
      </c>
      <c r="AT695" s="6" t="str">
        <f>HYPERLINK("http://www.worldcat.org/oclc/40675167","WorldCat Record")</f>
        <v>WorldCat Record</v>
      </c>
      <c r="AU695" s="3" t="s">
        <v>8883</v>
      </c>
      <c r="AV695" s="3" t="s">
        <v>8884</v>
      </c>
      <c r="AW695" s="3" t="s">
        <v>8885</v>
      </c>
      <c r="AX695" s="3" t="s">
        <v>8885</v>
      </c>
      <c r="AY695" s="3" t="s">
        <v>8886</v>
      </c>
      <c r="AZ695" s="3" t="s">
        <v>75</v>
      </c>
      <c r="BB695" s="3" t="s">
        <v>8887</v>
      </c>
      <c r="BC695" s="3" t="s">
        <v>8888</v>
      </c>
      <c r="BD695" s="3" t="s">
        <v>8889</v>
      </c>
    </row>
    <row r="696" spans="1:56" ht="48" customHeight="1" x14ac:dyDescent="0.25">
      <c r="A696" s="7" t="s">
        <v>59</v>
      </c>
      <c r="B696" s="2" t="s">
        <v>8890</v>
      </c>
      <c r="C696" s="2" t="s">
        <v>8891</v>
      </c>
      <c r="D696" s="2" t="s">
        <v>8892</v>
      </c>
      <c r="F696" s="3" t="s">
        <v>59</v>
      </c>
      <c r="G696" s="3" t="s">
        <v>60</v>
      </c>
      <c r="H696" s="3" t="s">
        <v>59</v>
      </c>
      <c r="I696" s="3" t="s">
        <v>70</v>
      </c>
      <c r="J696" s="3" t="s">
        <v>61</v>
      </c>
      <c r="L696" s="2" t="s">
        <v>8893</v>
      </c>
      <c r="M696" s="3" t="s">
        <v>348</v>
      </c>
      <c r="O696" s="3" t="s">
        <v>64</v>
      </c>
      <c r="P696" s="3" t="s">
        <v>84</v>
      </c>
      <c r="R696" s="3" t="s">
        <v>67</v>
      </c>
      <c r="S696" s="4">
        <v>13</v>
      </c>
      <c r="T696" s="4">
        <v>13</v>
      </c>
      <c r="U696" s="5" t="s">
        <v>8894</v>
      </c>
      <c r="V696" s="5" t="s">
        <v>8894</v>
      </c>
      <c r="W696" s="5" t="s">
        <v>8895</v>
      </c>
      <c r="X696" s="5" t="s">
        <v>8895</v>
      </c>
      <c r="Y696" s="4">
        <v>300</v>
      </c>
      <c r="Z696" s="4">
        <v>215</v>
      </c>
      <c r="AA696" s="4">
        <v>286</v>
      </c>
      <c r="AB696" s="4">
        <v>3</v>
      </c>
      <c r="AC696" s="4">
        <v>5</v>
      </c>
      <c r="AD696" s="4">
        <v>15</v>
      </c>
      <c r="AE696" s="4">
        <v>16</v>
      </c>
      <c r="AF696" s="4">
        <v>4</v>
      </c>
      <c r="AG696" s="4">
        <v>4</v>
      </c>
      <c r="AH696" s="4">
        <v>6</v>
      </c>
      <c r="AI696" s="4">
        <v>6</v>
      </c>
      <c r="AJ696" s="4">
        <v>8</v>
      </c>
      <c r="AK696" s="4">
        <v>8</v>
      </c>
      <c r="AL696" s="4">
        <v>2</v>
      </c>
      <c r="AM696" s="4">
        <v>3</v>
      </c>
      <c r="AN696" s="4">
        <v>0</v>
      </c>
      <c r="AO696" s="4">
        <v>0</v>
      </c>
      <c r="AP696" s="3" t="s">
        <v>59</v>
      </c>
      <c r="AQ696" s="3" t="s">
        <v>70</v>
      </c>
      <c r="AR696" s="6" t="str">
        <f>HYPERLINK("http://catalog.hathitrust.org/Record/002736685","HathiTrust Record")</f>
        <v>HathiTrust Record</v>
      </c>
      <c r="AS696" s="6" t="str">
        <f>HYPERLINK("https://creighton-primo.hosted.exlibrisgroup.com/primo-explore/search?tab=default_tab&amp;search_scope=EVERYTHING&amp;vid=01CRU&amp;lang=en_US&amp;offset=0&amp;query=any,contains,991002152679702656","Catalog Record")</f>
        <v>Catalog Record</v>
      </c>
      <c r="AT696" s="6" t="str">
        <f>HYPERLINK("http://www.worldcat.org/oclc/27728588","WorldCat Record")</f>
        <v>WorldCat Record</v>
      </c>
      <c r="AU696" s="3" t="s">
        <v>8896</v>
      </c>
      <c r="AV696" s="3" t="s">
        <v>8897</v>
      </c>
      <c r="AW696" s="3" t="s">
        <v>8898</v>
      </c>
      <c r="AX696" s="3" t="s">
        <v>8898</v>
      </c>
      <c r="AY696" s="3" t="s">
        <v>8899</v>
      </c>
      <c r="AZ696" s="3" t="s">
        <v>75</v>
      </c>
      <c r="BB696" s="3" t="s">
        <v>8900</v>
      </c>
      <c r="BC696" s="3" t="s">
        <v>8901</v>
      </c>
      <c r="BD696" s="3" t="s">
        <v>8902</v>
      </c>
    </row>
    <row r="697" spans="1:56" ht="48" customHeight="1" x14ac:dyDescent="0.25">
      <c r="A697" s="7" t="s">
        <v>59</v>
      </c>
      <c r="B697" s="2" t="s">
        <v>8903</v>
      </c>
      <c r="C697" s="2" t="s">
        <v>8904</v>
      </c>
      <c r="D697" s="2" t="s">
        <v>8905</v>
      </c>
      <c r="F697" s="3" t="s">
        <v>59</v>
      </c>
      <c r="G697" s="3" t="s">
        <v>60</v>
      </c>
      <c r="H697" s="3" t="s">
        <v>59</v>
      </c>
      <c r="I697" s="3" t="s">
        <v>59</v>
      </c>
      <c r="J697" s="3" t="s">
        <v>61</v>
      </c>
      <c r="K697" s="2" t="s">
        <v>8906</v>
      </c>
      <c r="L697" s="2" t="s">
        <v>8907</v>
      </c>
      <c r="M697" s="3" t="s">
        <v>219</v>
      </c>
      <c r="O697" s="3" t="s">
        <v>64</v>
      </c>
      <c r="P697" s="3" t="s">
        <v>84</v>
      </c>
      <c r="Q697" s="2" t="s">
        <v>8908</v>
      </c>
      <c r="R697" s="3" t="s">
        <v>67</v>
      </c>
      <c r="S697" s="4">
        <v>3</v>
      </c>
      <c r="T697" s="4">
        <v>3</v>
      </c>
      <c r="U697" s="5" t="s">
        <v>8909</v>
      </c>
      <c r="V697" s="5" t="s">
        <v>8909</v>
      </c>
      <c r="W697" s="5" t="s">
        <v>8180</v>
      </c>
      <c r="X697" s="5" t="s">
        <v>8180</v>
      </c>
      <c r="Y697" s="4">
        <v>378</v>
      </c>
      <c r="Z697" s="4">
        <v>270</v>
      </c>
      <c r="AA697" s="4">
        <v>277</v>
      </c>
      <c r="AB697" s="4">
        <v>2</v>
      </c>
      <c r="AC697" s="4">
        <v>2</v>
      </c>
      <c r="AD697" s="4">
        <v>18</v>
      </c>
      <c r="AE697" s="4">
        <v>18</v>
      </c>
      <c r="AF697" s="4">
        <v>5</v>
      </c>
      <c r="AG697" s="4">
        <v>5</v>
      </c>
      <c r="AH697" s="4">
        <v>7</v>
      </c>
      <c r="AI697" s="4">
        <v>7</v>
      </c>
      <c r="AJ697" s="4">
        <v>9</v>
      </c>
      <c r="AK697" s="4">
        <v>9</v>
      </c>
      <c r="AL697" s="4">
        <v>1</v>
      </c>
      <c r="AM697" s="4">
        <v>1</v>
      </c>
      <c r="AN697" s="4">
        <v>0</v>
      </c>
      <c r="AO697" s="4">
        <v>0</v>
      </c>
      <c r="AP697" s="3" t="s">
        <v>59</v>
      </c>
      <c r="AQ697" s="3" t="s">
        <v>70</v>
      </c>
      <c r="AR697" s="6" t="str">
        <f>HYPERLINK("http://catalog.hathitrust.org/Record/002428429","HathiTrust Record")</f>
        <v>HathiTrust Record</v>
      </c>
      <c r="AS697" s="6" t="str">
        <f>HYPERLINK("https://creighton-primo.hosted.exlibrisgroup.com/primo-explore/search?tab=default_tab&amp;search_scope=EVERYTHING&amp;vid=01CRU&amp;lang=en_US&amp;offset=0&amp;query=any,contains,991001836639702656","Catalog Record")</f>
        <v>Catalog Record</v>
      </c>
      <c r="AT697" s="6" t="str">
        <f>HYPERLINK("http://www.worldcat.org/oclc/29028727","WorldCat Record")</f>
        <v>WorldCat Record</v>
      </c>
      <c r="AU697" s="3" t="s">
        <v>8910</v>
      </c>
      <c r="AV697" s="3" t="s">
        <v>8911</v>
      </c>
      <c r="AW697" s="3" t="s">
        <v>8912</v>
      </c>
      <c r="AX697" s="3" t="s">
        <v>8912</v>
      </c>
      <c r="AY697" s="3" t="s">
        <v>8913</v>
      </c>
      <c r="AZ697" s="3" t="s">
        <v>75</v>
      </c>
      <c r="BB697" s="3" t="s">
        <v>8914</v>
      </c>
      <c r="BC697" s="3" t="s">
        <v>8915</v>
      </c>
      <c r="BD697" s="3" t="s">
        <v>8916</v>
      </c>
    </row>
    <row r="698" spans="1:56" ht="48" customHeight="1" x14ac:dyDescent="0.25">
      <c r="A698" s="7" t="s">
        <v>59</v>
      </c>
      <c r="B698" s="2" t="s">
        <v>8917</v>
      </c>
      <c r="C698" s="2" t="s">
        <v>8918</v>
      </c>
      <c r="D698" s="2" t="s">
        <v>8919</v>
      </c>
      <c r="F698" s="3" t="s">
        <v>59</v>
      </c>
      <c r="G698" s="3" t="s">
        <v>60</v>
      </c>
      <c r="H698" s="3" t="s">
        <v>59</v>
      </c>
      <c r="I698" s="3" t="s">
        <v>59</v>
      </c>
      <c r="J698" s="3" t="s">
        <v>61</v>
      </c>
      <c r="L698" s="2" t="s">
        <v>8920</v>
      </c>
      <c r="M698" s="3" t="s">
        <v>519</v>
      </c>
      <c r="O698" s="3" t="s">
        <v>64</v>
      </c>
      <c r="P698" s="3" t="s">
        <v>130</v>
      </c>
      <c r="Q698" s="2" t="s">
        <v>8921</v>
      </c>
      <c r="R698" s="3" t="s">
        <v>67</v>
      </c>
      <c r="S698" s="4">
        <v>13</v>
      </c>
      <c r="T698" s="4">
        <v>13</v>
      </c>
      <c r="U698" s="5" t="s">
        <v>8922</v>
      </c>
      <c r="V698" s="5" t="s">
        <v>8922</v>
      </c>
      <c r="W698" s="5" t="s">
        <v>8923</v>
      </c>
      <c r="X698" s="5" t="s">
        <v>8923</v>
      </c>
      <c r="Y698" s="4">
        <v>271</v>
      </c>
      <c r="Z698" s="4">
        <v>186</v>
      </c>
      <c r="AA698" s="4">
        <v>194</v>
      </c>
      <c r="AB698" s="4">
        <v>1</v>
      </c>
      <c r="AC698" s="4">
        <v>1</v>
      </c>
      <c r="AD698" s="4">
        <v>6</v>
      </c>
      <c r="AE698" s="4">
        <v>6</v>
      </c>
      <c r="AF698" s="4">
        <v>2</v>
      </c>
      <c r="AG698" s="4">
        <v>2</v>
      </c>
      <c r="AH698" s="4">
        <v>2</v>
      </c>
      <c r="AI698" s="4">
        <v>2</v>
      </c>
      <c r="AJ698" s="4">
        <v>4</v>
      </c>
      <c r="AK698" s="4">
        <v>4</v>
      </c>
      <c r="AL698" s="4">
        <v>0</v>
      </c>
      <c r="AM698" s="4">
        <v>0</v>
      </c>
      <c r="AN698" s="4">
        <v>0</v>
      </c>
      <c r="AO698" s="4">
        <v>0</v>
      </c>
      <c r="AP698" s="3" t="s">
        <v>59</v>
      </c>
      <c r="AQ698" s="3" t="s">
        <v>70</v>
      </c>
      <c r="AR698" s="6" t="str">
        <f>HYPERLINK("http://catalog.hathitrust.org/Record/002875180","HathiTrust Record")</f>
        <v>HathiTrust Record</v>
      </c>
      <c r="AS698" s="6" t="str">
        <f>HYPERLINK("https://creighton-primo.hosted.exlibrisgroup.com/primo-explore/search?tab=default_tab&amp;search_scope=EVERYTHING&amp;vid=01CRU&amp;lang=en_US&amp;offset=0&amp;query=any,contains,991002280249702656","Catalog Record")</f>
        <v>Catalog Record</v>
      </c>
      <c r="AT698" s="6" t="str">
        <f>HYPERLINK("http://www.worldcat.org/oclc/29564889","WorldCat Record")</f>
        <v>WorldCat Record</v>
      </c>
      <c r="AU698" s="3" t="s">
        <v>8924</v>
      </c>
      <c r="AV698" s="3" t="s">
        <v>8925</v>
      </c>
      <c r="AW698" s="3" t="s">
        <v>8926</v>
      </c>
      <c r="AX698" s="3" t="s">
        <v>8926</v>
      </c>
      <c r="AY698" s="3" t="s">
        <v>8927</v>
      </c>
      <c r="AZ698" s="3" t="s">
        <v>75</v>
      </c>
      <c r="BB698" s="3" t="s">
        <v>8928</v>
      </c>
      <c r="BC698" s="3" t="s">
        <v>8929</v>
      </c>
      <c r="BD698" s="3" t="s">
        <v>8930</v>
      </c>
    </row>
    <row r="699" spans="1:56" ht="48" customHeight="1" x14ac:dyDescent="0.25">
      <c r="A699" s="7" t="s">
        <v>59</v>
      </c>
      <c r="B699" s="2" t="s">
        <v>8931</v>
      </c>
      <c r="C699" s="2" t="s">
        <v>8932</v>
      </c>
      <c r="D699" s="2" t="s">
        <v>8933</v>
      </c>
      <c r="F699" s="3" t="s">
        <v>59</v>
      </c>
      <c r="G699" s="3" t="s">
        <v>60</v>
      </c>
      <c r="H699" s="3" t="s">
        <v>59</v>
      </c>
      <c r="I699" s="3" t="s">
        <v>59</v>
      </c>
      <c r="J699" s="3" t="s">
        <v>61</v>
      </c>
      <c r="L699" s="2" t="s">
        <v>8934</v>
      </c>
      <c r="M699" s="3" t="s">
        <v>1611</v>
      </c>
      <c r="O699" s="3" t="s">
        <v>64</v>
      </c>
      <c r="P699" s="3" t="s">
        <v>84</v>
      </c>
      <c r="Q699" s="2" t="s">
        <v>8935</v>
      </c>
      <c r="R699" s="3" t="s">
        <v>67</v>
      </c>
      <c r="S699" s="4">
        <v>5</v>
      </c>
      <c r="T699" s="4">
        <v>5</v>
      </c>
      <c r="U699" s="5" t="s">
        <v>8936</v>
      </c>
      <c r="V699" s="5" t="s">
        <v>8936</v>
      </c>
      <c r="W699" s="5" t="s">
        <v>8937</v>
      </c>
      <c r="X699" s="5" t="s">
        <v>8937</v>
      </c>
      <c r="Y699" s="4">
        <v>92</v>
      </c>
      <c r="Z699" s="4">
        <v>58</v>
      </c>
      <c r="AA699" s="4">
        <v>58</v>
      </c>
      <c r="AB699" s="4">
        <v>1</v>
      </c>
      <c r="AC699" s="4">
        <v>1</v>
      </c>
      <c r="AD699" s="4">
        <v>5</v>
      </c>
      <c r="AE699" s="4">
        <v>5</v>
      </c>
      <c r="AF699" s="4">
        <v>3</v>
      </c>
      <c r="AG699" s="4">
        <v>3</v>
      </c>
      <c r="AH699" s="4">
        <v>1</v>
      </c>
      <c r="AI699" s="4">
        <v>1</v>
      </c>
      <c r="AJ699" s="4">
        <v>4</v>
      </c>
      <c r="AK699" s="4">
        <v>4</v>
      </c>
      <c r="AL699" s="4">
        <v>0</v>
      </c>
      <c r="AM699" s="4">
        <v>0</v>
      </c>
      <c r="AN699" s="4">
        <v>0</v>
      </c>
      <c r="AO699" s="4">
        <v>0</v>
      </c>
      <c r="AP699" s="3" t="s">
        <v>59</v>
      </c>
      <c r="AQ699" s="3" t="s">
        <v>59</v>
      </c>
      <c r="AS699" s="6" t="str">
        <f>HYPERLINK("https://creighton-primo.hosted.exlibrisgroup.com/primo-explore/search?tab=default_tab&amp;search_scope=EVERYTHING&amp;vid=01CRU&amp;lang=en_US&amp;offset=0&amp;query=any,contains,991002678919702656","Catalog Record")</f>
        <v>Catalog Record</v>
      </c>
      <c r="AT699" s="6" t="str">
        <f>HYPERLINK("http://www.worldcat.org/oclc/35017275","WorldCat Record")</f>
        <v>WorldCat Record</v>
      </c>
      <c r="AU699" s="3" t="s">
        <v>8938</v>
      </c>
      <c r="AV699" s="3" t="s">
        <v>8939</v>
      </c>
      <c r="AW699" s="3" t="s">
        <v>8940</v>
      </c>
      <c r="AX699" s="3" t="s">
        <v>8940</v>
      </c>
      <c r="AY699" s="3" t="s">
        <v>8941</v>
      </c>
      <c r="AZ699" s="3" t="s">
        <v>75</v>
      </c>
      <c r="BB699" s="3" t="s">
        <v>8942</v>
      </c>
      <c r="BC699" s="3" t="s">
        <v>8943</v>
      </c>
      <c r="BD699" s="3" t="s">
        <v>8944</v>
      </c>
    </row>
    <row r="700" spans="1:56" ht="48" customHeight="1" x14ac:dyDescent="0.25">
      <c r="A700" s="7" t="s">
        <v>59</v>
      </c>
      <c r="B700" s="2" t="s">
        <v>8945</v>
      </c>
      <c r="C700" s="2" t="s">
        <v>8946</v>
      </c>
      <c r="D700" s="2" t="s">
        <v>8947</v>
      </c>
      <c r="F700" s="3" t="s">
        <v>59</v>
      </c>
      <c r="G700" s="3" t="s">
        <v>60</v>
      </c>
      <c r="H700" s="3" t="s">
        <v>59</v>
      </c>
      <c r="I700" s="3" t="s">
        <v>59</v>
      </c>
      <c r="J700" s="3" t="s">
        <v>61</v>
      </c>
      <c r="L700" s="2" t="s">
        <v>8948</v>
      </c>
      <c r="M700" s="3" t="s">
        <v>519</v>
      </c>
      <c r="O700" s="3" t="s">
        <v>64</v>
      </c>
      <c r="P700" s="3" t="s">
        <v>84</v>
      </c>
      <c r="Q700" s="2" t="s">
        <v>8949</v>
      </c>
      <c r="R700" s="3" t="s">
        <v>67</v>
      </c>
      <c r="S700" s="4">
        <v>8</v>
      </c>
      <c r="T700" s="4">
        <v>8</v>
      </c>
      <c r="U700" s="5" t="s">
        <v>5368</v>
      </c>
      <c r="V700" s="5" t="s">
        <v>5368</v>
      </c>
      <c r="W700" s="5" t="s">
        <v>8950</v>
      </c>
      <c r="X700" s="5" t="s">
        <v>8950</v>
      </c>
      <c r="Y700" s="4">
        <v>101</v>
      </c>
      <c r="Z700" s="4">
        <v>63</v>
      </c>
      <c r="AA700" s="4">
        <v>64</v>
      </c>
      <c r="AB700" s="4">
        <v>1</v>
      </c>
      <c r="AC700" s="4">
        <v>1</v>
      </c>
      <c r="AD700" s="4">
        <v>3</v>
      </c>
      <c r="AE700" s="4">
        <v>3</v>
      </c>
      <c r="AF700" s="4">
        <v>0</v>
      </c>
      <c r="AG700" s="4">
        <v>0</v>
      </c>
      <c r="AH700" s="4">
        <v>2</v>
      </c>
      <c r="AI700" s="4">
        <v>2</v>
      </c>
      <c r="AJ700" s="4">
        <v>2</v>
      </c>
      <c r="AK700" s="4">
        <v>2</v>
      </c>
      <c r="AL700" s="4">
        <v>0</v>
      </c>
      <c r="AM700" s="4">
        <v>0</v>
      </c>
      <c r="AN700" s="4">
        <v>0</v>
      </c>
      <c r="AO700" s="4">
        <v>0</v>
      </c>
      <c r="AP700" s="3" t="s">
        <v>59</v>
      </c>
      <c r="AQ700" s="3" t="s">
        <v>70</v>
      </c>
      <c r="AR700" s="6" t="str">
        <f>HYPERLINK("http://catalog.hathitrust.org/Record/003027396","HathiTrust Record")</f>
        <v>HathiTrust Record</v>
      </c>
      <c r="AS700" s="6" t="str">
        <f>HYPERLINK("https://creighton-primo.hosted.exlibrisgroup.com/primo-explore/search?tab=default_tab&amp;search_scope=EVERYTHING&amp;vid=01CRU&amp;lang=en_US&amp;offset=0&amp;query=any,contains,991002392869702656","Catalog Record")</f>
        <v>Catalog Record</v>
      </c>
      <c r="AT700" s="6" t="str">
        <f>HYPERLINK("http://www.worldcat.org/oclc/31075780","WorldCat Record")</f>
        <v>WorldCat Record</v>
      </c>
      <c r="AU700" s="3" t="s">
        <v>8951</v>
      </c>
      <c r="AV700" s="3" t="s">
        <v>8952</v>
      </c>
      <c r="AW700" s="3" t="s">
        <v>8953</v>
      </c>
      <c r="AX700" s="3" t="s">
        <v>8953</v>
      </c>
      <c r="AY700" s="3" t="s">
        <v>8954</v>
      </c>
      <c r="AZ700" s="3" t="s">
        <v>75</v>
      </c>
      <c r="BB700" s="3" t="s">
        <v>8955</v>
      </c>
      <c r="BC700" s="3" t="s">
        <v>8956</v>
      </c>
      <c r="BD700" s="3" t="s">
        <v>8957</v>
      </c>
    </row>
    <row r="701" spans="1:56" ht="48" customHeight="1" x14ac:dyDescent="0.25">
      <c r="A701" s="7" t="s">
        <v>59</v>
      </c>
      <c r="B701" s="2" t="s">
        <v>8958</v>
      </c>
      <c r="C701" s="2" t="s">
        <v>8959</v>
      </c>
      <c r="D701" s="2" t="s">
        <v>8960</v>
      </c>
      <c r="F701" s="3" t="s">
        <v>59</v>
      </c>
      <c r="G701" s="3" t="s">
        <v>60</v>
      </c>
      <c r="H701" s="3" t="s">
        <v>59</v>
      </c>
      <c r="I701" s="3" t="s">
        <v>59</v>
      </c>
      <c r="J701" s="3" t="s">
        <v>61</v>
      </c>
      <c r="K701" s="2" t="s">
        <v>8961</v>
      </c>
      <c r="L701" s="2" t="s">
        <v>8962</v>
      </c>
      <c r="M701" s="3" t="s">
        <v>348</v>
      </c>
      <c r="N701" s="2" t="s">
        <v>7614</v>
      </c>
      <c r="O701" s="3" t="s">
        <v>64</v>
      </c>
      <c r="P701" s="3" t="s">
        <v>1201</v>
      </c>
      <c r="Q701" s="2" t="s">
        <v>8963</v>
      </c>
      <c r="R701" s="3" t="s">
        <v>67</v>
      </c>
      <c r="S701" s="4">
        <v>12</v>
      </c>
      <c r="T701" s="4">
        <v>12</v>
      </c>
      <c r="U701" s="5" t="s">
        <v>8964</v>
      </c>
      <c r="V701" s="5" t="s">
        <v>8964</v>
      </c>
      <c r="W701" s="5" t="s">
        <v>8965</v>
      </c>
      <c r="X701" s="5" t="s">
        <v>8965</v>
      </c>
      <c r="Y701" s="4">
        <v>337</v>
      </c>
      <c r="Z701" s="4">
        <v>253</v>
      </c>
      <c r="AA701" s="4">
        <v>361</v>
      </c>
      <c r="AB701" s="4">
        <v>1</v>
      </c>
      <c r="AC701" s="4">
        <v>2</v>
      </c>
      <c r="AD701" s="4">
        <v>11</v>
      </c>
      <c r="AE701" s="4">
        <v>15</v>
      </c>
      <c r="AF701" s="4">
        <v>2</v>
      </c>
      <c r="AG701" s="4">
        <v>3</v>
      </c>
      <c r="AH701" s="4">
        <v>5</v>
      </c>
      <c r="AI701" s="4">
        <v>7</v>
      </c>
      <c r="AJ701" s="4">
        <v>8</v>
      </c>
      <c r="AK701" s="4">
        <v>10</v>
      </c>
      <c r="AL701" s="4">
        <v>0</v>
      </c>
      <c r="AM701" s="4">
        <v>1</v>
      </c>
      <c r="AN701" s="4">
        <v>0</v>
      </c>
      <c r="AO701" s="4">
        <v>0</v>
      </c>
      <c r="AP701" s="3" t="s">
        <v>59</v>
      </c>
      <c r="AQ701" s="3" t="s">
        <v>70</v>
      </c>
      <c r="AR701" s="6" t="str">
        <f>HYPERLINK("http://catalog.hathitrust.org/Record/002782188","HathiTrust Record")</f>
        <v>HathiTrust Record</v>
      </c>
      <c r="AS701" s="6" t="str">
        <f>HYPERLINK("https://creighton-primo.hosted.exlibrisgroup.com/primo-explore/search?tab=default_tab&amp;search_scope=EVERYTHING&amp;vid=01CRU&amp;lang=en_US&amp;offset=0&amp;query=any,contains,991002155059702656","Catalog Record")</f>
        <v>Catalog Record</v>
      </c>
      <c r="AT701" s="6" t="str">
        <f>HYPERLINK("http://www.worldcat.org/oclc/27769683","WorldCat Record")</f>
        <v>WorldCat Record</v>
      </c>
      <c r="AU701" s="3" t="s">
        <v>8966</v>
      </c>
      <c r="AV701" s="3" t="s">
        <v>8967</v>
      </c>
      <c r="AW701" s="3" t="s">
        <v>8968</v>
      </c>
      <c r="AX701" s="3" t="s">
        <v>8968</v>
      </c>
      <c r="AY701" s="3" t="s">
        <v>8969</v>
      </c>
      <c r="AZ701" s="3" t="s">
        <v>75</v>
      </c>
      <c r="BB701" s="3" t="s">
        <v>8970</v>
      </c>
      <c r="BC701" s="3" t="s">
        <v>8971</v>
      </c>
      <c r="BD701" s="3" t="s">
        <v>8972</v>
      </c>
    </row>
    <row r="702" spans="1:56" ht="48" customHeight="1" x14ac:dyDescent="0.25">
      <c r="A702" s="7" t="s">
        <v>59</v>
      </c>
      <c r="B702" s="2" t="s">
        <v>8973</v>
      </c>
      <c r="C702" s="2" t="s">
        <v>8974</v>
      </c>
      <c r="D702" s="2" t="s">
        <v>8975</v>
      </c>
      <c r="F702" s="3" t="s">
        <v>59</v>
      </c>
      <c r="G702" s="3" t="s">
        <v>60</v>
      </c>
      <c r="H702" s="3" t="s">
        <v>59</v>
      </c>
      <c r="I702" s="3" t="s">
        <v>59</v>
      </c>
      <c r="J702" s="3" t="s">
        <v>61</v>
      </c>
      <c r="L702" s="2" t="s">
        <v>1714</v>
      </c>
      <c r="M702" s="3" t="s">
        <v>485</v>
      </c>
      <c r="O702" s="3" t="s">
        <v>64</v>
      </c>
      <c r="P702" s="3" t="s">
        <v>130</v>
      </c>
      <c r="Q702" s="2" t="s">
        <v>8976</v>
      </c>
      <c r="R702" s="3" t="s">
        <v>67</v>
      </c>
      <c r="S702" s="4">
        <v>3</v>
      </c>
      <c r="T702" s="4">
        <v>3</v>
      </c>
      <c r="U702" s="5" t="s">
        <v>7630</v>
      </c>
      <c r="V702" s="5" t="s">
        <v>7630</v>
      </c>
      <c r="W702" s="5" t="s">
        <v>3488</v>
      </c>
      <c r="X702" s="5" t="s">
        <v>3488</v>
      </c>
      <c r="Y702" s="4">
        <v>258</v>
      </c>
      <c r="Z702" s="4">
        <v>191</v>
      </c>
      <c r="AA702" s="4">
        <v>193</v>
      </c>
      <c r="AB702" s="4">
        <v>2</v>
      </c>
      <c r="AC702" s="4">
        <v>2</v>
      </c>
      <c r="AD702" s="4">
        <v>4</v>
      </c>
      <c r="AE702" s="4">
        <v>4</v>
      </c>
      <c r="AF702" s="4">
        <v>0</v>
      </c>
      <c r="AG702" s="4">
        <v>0</v>
      </c>
      <c r="AH702" s="4">
        <v>2</v>
      </c>
      <c r="AI702" s="4">
        <v>2</v>
      </c>
      <c r="AJ702" s="4">
        <v>3</v>
      </c>
      <c r="AK702" s="4">
        <v>3</v>
      </c>
      <c r="AL702" s="4">
        <v>1</v>
      </c>
      <c r="AM702" s="4">
        <v>1</v>
      </c>
      <c r="AN702" s="4">
        <v>0</v>
      </c>
      <c r="AO702" s="4">
        <v>0</v>
      </c>
      <c r="AP702" s="3" t="s">
        <v>59</v>
      </c>
      <c r="AQ702" s="3" t="s">
        <v>70</v>
      </c>
      <c r="AR702" s="6" t="str">
        <f>HYPERLINK("http://catalog.hathitrust.org/Record/000727413","HathiTrust Record")</f>
        <v>HathiTrust Record</v>
      </c>
      <c r="AS702" s="6" t="str">
        <f>HYPERLINK("https://creighton-primo.hosted.exlibrisgroup.com/primo-explore/search?tab=default_tab&amp;search_scope=EVERYTHING&amp;vid=01CRU&amp;lang=en_US&amp;offset=0&amp;query=any,contains,991004674469702656","Catalog Record")</f>
        <v>Catalog Record</v>
      </c>
      <c r="AT702" s="6" t="str">
        <f>HYPERLINK("http://www.worldcat.org/oclc/4529123","WorldCat Record")</f>
        <v>WorldCat Record</v>
      </c>
      <c r="AU702" s="3" t="s">
        <v>8977</v>
      </c>
      <c r="AV702" s="3" t="s">
        <v>8978</v>
      </c>
      <c r="AW702" s="3" t="s">
        <v>8979</v>
      </c>
      <c r="AX702" s="3" t="s">
        <v>8979</v>
      </c>
      <c r="AY702" s="3" t="s">
        <v>8980</v>
      </c>
      <c r="AZ702" s="3" t="s">
        <v>75</v>
      </c>
      <c r="BB702" s="3" t="s">
        <v>8981</v>
      </c>
      <c r="BC702" s="3" t="s">
        <v>8982</v>
      </c>
      <c r="BD702" s="3" t="s">
        <v>8983</v>
      </c>
    </row>
    <row r="703" spans="1:56" ht="48" customHeight="1" x14ac:dyDescent="0.25">
      <c r="A703" s="7" t="s">
        <v>59</v>
      </c>
      <c r="B703" s="2" t="s">
        <v>8984</v>
      </c>
      <c r="C703" s="2" t="s">
        <v>8985</v>
      </c>
      <c r="D703" s="2" t="s">
        <v>8986</v>
      </c>
      <c r="E703" s="3" t="s">
        <v>713</v>
      </c>
      <c r="F703" s="3" t="s">
        <v>70</v>
      </c>
      <c r="G703" s="3" t="s">
        <v>60</v>
      </c>
      <c r="H703" s="3" t="s">
        <v>59</v>
      </c>
      <c r="I703" s="3" t="s">
        <v>59</v>
      </c>
      <c r="J703" s="3" t="s">
        <v>61</v>
      </c>
      <c r="L703" s="2" t="s">
        <v>8987</v>
      </c>
      <c r="M703" s="3" t="s">
        <v>363</v>
      </c>
      <c r="O703" s="3" t="s">
        <v>64</v>
      </c>
      <c r="P703" s="3" t="s">
        <v>130</v>
      </c>
      <c r="Q703" s="2" t="s">
        <v>8988</v>
      </c>
      <c r="R703" s="3" t="s">
        <v>67</v>
      </c>
      <c r="S703" s="4">
        <v>1</v>
      </c>
      <c r="T703" s="4">
        <v>2</v>
      </c>
      <c r="U703" s="5" t="s">
        <v>7860</v>
      </c>
      <c r="V703" s="5" t="s">
        <v>7860</v>
      </c>
      <c r="W703" s="5" t="s">
        <v>6862</v>
      </c>
      <c r="X703" s="5" t="s">
        <v>6862</v>
      </c>
      <c r="Y703" s="4">
        <v>301</v>
      </c>
      <c r="Z703" s="4">
        <v>256</v>
      </c>
      <c r="AA703" s="4">
        <v>285</v>
      </c>
      <c r="AB703" s="4">
        <v>3</v>
      </c>
      <c r="AC703" s="4">
        <v>3</v>
      </c>
      <c r="AD703" s="4">
        <v>14</v>
      </c>
      <c r="AE703" s="4">
        <v>14</v>
      </c>
      <c r="AF703" s="4">
        <v>2</v>
      </c>
      <c r="AG703" s="4">
        <v>2</v>
      </c>
      <c r="AH703" s="4">
        <v>4</v>
      </c>
      <c r="AI703" s="4">
        <v>4</v>
      </c>
      <c r="AJ703" s="4">
        <v>10</v>
      </c>
      <c r="AK703" s="4">
        <v>10</v>
      </c>
      <c r="AL703" s="4">
        <v>2</v>
      </c>
      <c r="AM703" s="4">
        <v>2</v>
      </c>
      <c r="AN703" s="4">
        <v>0</v>
      </c>
      <c r="AO703" s="4">
        <v>0</v>
      </c>
      <c r="AP703" s="3" t="s">
        <v>59</v>
      </c>
      <c r="AQ703" s="3" t="s">
        <v>70</v>
      </c>
      <c r="AR703" s="6" t="str">
        <f>HYPERLINK("http://catalog.hathitrust.org/Record/000271022","HathiTrust Record")</f>
        <v>HathiTrust Record</v>
      </c>
      <c r="AS703" s="6" t="str">
        <f>HYPERLINK("https://creighton-primo.hosted.exlibrisgroup.com/primo-explore/search?tab=default_tab&amp;search_scope=EVERYTHING&amp;vid=01CRU&amp;lang=en_US&amp;offset=0&amp;query=any,contains,991005251339702656","Catalog Record")</f>
        <v>Catalog Record</v>
      </c>
      <c r="AT703" s="6" t="str">
        <f>HYPERLINK("http://www.worldcat.org/oclc/8493753","WorldCat Record")</f>
        <v>WorldCat Record</v>
      </c>
      <c r="AU703" s="3" t="s">
        <v>8989</v>
      </c>
      <c r="AV703" s="3" t="s">
        <v>8990</v>
      </c>
      <c r="AW703" s="3" t="s">
        <v>8991</v>
      </c>
      <c r="AX703" s="3" t="s">
        <v>8991</v>
      </c>
      <c r="AY703" s="3" t="s">
        <v>8992</v>
      </c>
      <c r="AZ703" s="3" t="s">
        <v>75</v>
      </c>
      <c r="BB703" s="3" t="s">
        <v>8993</v>
      </c>
      <c r="BC703" s="3" t="s">
        <v>8994</v>
      </c>
      <c r="BD703" s="3" t="s">
        <v>8995</v>
      </c>
    </row>
    <row r="704" spans="1:56" ht="48" customHeight="1" x14ac:dyDescent="0.25">
      <c r="A704" s="7" t="s">
        <v>59</v>
      </c>
      <c r="B704" s="2" t="s">
        <v>8984</v>
      </c>
      <c r="C704" s="2" t="s">
        <v>8985</v>
      </c>
      <c r="D704" s="2" t="s">
        <v>8986</v>
      </c>
      <c r="E704" s="3" t="s">
        <v>723</v>
      </c>
      <c r="F704" s="3" t="s">
        <v>70</v>
      </c>
      <c r="G704" s="3" t="s">
        <v>60</v>
      </c>
      <c r="H704" s="3" t="s">
        <v>59</v>
      </c>
      <c r="I704" s="3" t="s">
        <v>59</v>
      </c>
      <c r="J704" s="3" t="s">
        <v>61</v>
      </c>
      <c r="L704" s="2" t="s">
        <v>8987</v>
      </c>
      <c r="M704" s="3" t="s">
        <v>363</v>
      </c>
      <c r="O704" s="3" t="s">
        <v>64</v>
      </c>
      <c r="P704" s="3" t="s">
        <v>130</v>
      </c>
      <c r="Q704" s="2" t="s">
        <v>8988</v>
      </c>
      <c r="R704" s="3" t="s">
        <v>67</v>
      </c>
      <c r="S704" s="4">
        <v>1</v>
      </c>
      <c r="T704" s="4">
        <v>2</v>
      </c>
      <c r="U704" s="5" t="s">
        <v>5753</v>
      </c>
      <c r="V704" s="5" t="s">
        <v>7860</v>
      </c>
      <c r="W704" s="5" t="s">
        <v>6862</v>
      </c>
      <c r="X704" s="5" t="s">
        <v>6862</v>
      </c>
      <c r="Y704" s="4">
        <v>301</v>
      </c>
      <c r="Z704" s="4">
        <v>256</v>
      </c>
      <c r="AA704" s="4">
        <v>285</v>
      </c>
      <c r="AB704" s="4">
        <v>3</v>
      </c>
      <c r="AC704" s="4">
        <v>3</v>
      </c>
      <c r="AD704" s="4">
        <v>14</v>
      </c>
      <c r="AE704" s="4">
        <v>14</v>
      </c>
      <c r="AF704" s="4">
        <v>2</v>
      </c>
      <c r="AG704" s="4">
        <v>2</v>
      </c>
      <c r="AH704" s="4">
        <v>4</v>
      </c>
      <c r="AI704" s="4">
        <v>4</v>
      </c>
      <c r="AJ704" s="4">
        <v>10</v>
      </c>
      <c r="AK704" s="4">
        <v>10</v>
      </c>
      <c r="AL704" s="4">
        <v>2</v>
      </c>
      <c r="AM704" s="4">
        <v>2</v>
      </c>
      <c r="AN704" s="4">
        <v>0</v>
      </c>
      <c r="AO704" s="4">
        <v>0</v>
      </c>
      <c r="AP704" s="3" t="s">
        <v>59</v>
      </c>
      <c r="AQ704" s="3" t="s">
        <v>70</v>
      </c>
      <c r="AR704" s="6" t="str">
        <f>HYPERLINK("http://catalog.hathitrust.org/Record/000271022","HathiTrust Record")</f>
        <v>HathiTrust Record</v>
      </c>
      <c r="AS704" s="6" t="str">
        <f>HYPERLINK("https://creighton-primo.hosted.exlibrisgroup.com/primo-explore/search?tab=default_tab&amp;search_scope=EVERYTHING&amp;vid=01CRU&amp;lang=en_US&amp;offset=0&amp;query=any,contains,991005251339702656","Catalog Record")</f>
        <v>Catalog Record</v>
      </c>
      <c r="AT704" s="6" t="str">
        <f>HYPERLINK("http://www.worldcat.org/oclc/8493753","WorldCat Record")</f>
        <v>WorldCat Record</v>
      </c>
      <c r="AU704" s="3" t="s">
        <v>8989</v>
      </c>
      <c r="AV704" s="3" t="s">
        <v>8990</v>
      </c>
      <c r="AW704" s="3" t="s">
        <v>8991</v>
      </c>
      <c r="AX704" s="3" t="s">
        <v>8991</v>
      </c>
      <c r="AY704" s="3" t="s">
        <v>8992</v>
      </c>
      <c r="AZ704" s="3" t="s">
        <v>75</v>
      </c>
      <c r="BB704" s="3" t="s">
        <v>8993</v>
      </c>
      <c r="BC704" s="3" t="s">
        <v>8996</v>
      </c>
      <c r="BD704" s="3" t="s">
        <v>8997</v>
      </c>
    </row>
    <row r="705" spans="1:56" ht="48" customHeight="1" x14ac:dyDescent="0.25">
      <c r="A705" s="7" t="s">
        <v>59</v>
      </c>
      <c r="B705" s="2" t="s">
        <v>8998</v>
      </c>
      <c r="C705" s="2" t="s">
        <v>8999</v>
      </c>
      <c r="D705" s="2" t="s">
        <v>9000</v>
      </c>
      <c r="F705" s="3" t="s">
        <v>59</v>
      </c>
      <c r="G705" s="3" t="s">
        <v>60</v>
      </c>
      <c r="H705" s="3" t="s">
        <v>59</v>
      </c>
      <c r="I705" s="3" t="s">
        <v>70</v>
      </c>
      <c r="J705" s="3" t="s">
        <v>61</v>
      </c>
      <c r="K705" s="2" t="s">
        <v>9001</v>
      </c>
      <c r="L705" s="2" t="s">
        <v>9002</v>
      </c>
      <c r="M705" s="3" t="s">
        <v>113</v>
      </c>
      <c r="O705" s="3" t="s">
        <v>64</v>
      </c>
      <c r="P705" s="3" t="s">
        <v>191</v>
      </c>
      <c r="R705" s="3" t="s">
        <v>67</v>
      </c>
      <c r="S705" s="4">
        <v>3</v>
      </c>
      <c r="T705" s="4">
        <v>3</v>
      </c>
      <c r="U705" s="5" t="s">
        <v>9003</v>
      </c>
      <c r="V705" s="5" t="s">
        <v>9003</v>
      </c>
      <c r="W705" s="5" t="s">
        <v>6862</v>
      </c>
      <c r="X705" s="5" t="s">
        <v>6862</v>
      </c>
      <c r="Y705" s="4">
        <v>508</v>
      </c>
      <c r="Z705" s="4">
        <v>380</v>
      </c>
      <c r="AA705" s="4">
        <v>637</v>
      </c>
      <c r="AB705" s="4">
        <v>4</v>
      </c>
      <c r="AC705" s="4">
        <v>6</v>
      </c>
      <c r="AD705" s="4">
        <v>14</v>
      </c>
      <c r="AE705" s="4">
        <v>23</v>
      </c>
      <c r="AF705" s="4">
        <v>5</v>
      </c>
      <c r="AG705" s="4">
        <v>9</v>
      </c>
      <c r="AH705" s="4">
        <v>2</v>
      </c>
      <c r="AI705" s="4">
        <v>4</v>
      </c>
      <c r="AJ705" s="4">
        <v>6</v>
      </c>
      <c r="AK705" s="4">
        <v>10</v>
      </c>
      <c r="AL705" s="4">
        <v>3</v>
      </c>
      <c r="AM705" s="4">
        <v>4</v>
      </c>
      <c r="AN705" s="4">
        <v>0</v>
      </c>
      <c r="AO705" s="4">
        <v>0</v>
      </c>
      <c r="AP705" s="3" t="s">
        <v>59</v>
      </c>
      <c r="AQ705" s="3" t="s">
        <v>70</v>
      </c>
      <c r="AR705" s="6" t="str">
        <f>HYPERLINK("http://catalog.hathitrust.org/Record/000821529","HathiTrust Record")</f>
        <v>HathiTrust Record</v>
      </c>
      <c r="AS705" s="6" t="str">
        <f>HYPERLINK("https://creighton-primo.hosted.exlibrisgroup.com/primo-explore/search?tab=default_tab&amp;search_scope=EVERYTHING&amp;vid=01CRU&amp;lang=en_US&amp;offset=0&amp;query=any,contains,991005266619702656","Catalog Record")</f>
        <v>Catalog Record</v>
      </c>
      <c r="AT705" s="6" t="str">
        <f>HYPERLINK("http://www.worldcat.org/oclc/12551163","WorldCat Record")</f>
        <v>WorldCat Record</v>
      </c>
      <c r="AU705" s="3" t="s">
        <v>9004</v>
      </c>
      <c r="AV705" s="3" t="s">
        <v>9005</v>
      </c>
      <c r="AW705" s="3" t="s">
        <v>9006</v>
      </c>
      <c r="AX705" s="3" t="s">
        <v>9006</v>
      </c>
      <c r="AY705" s="3" t="s">
        <v>9007</v>
      </c>
      <c r="AZ705" s="3" t="s">
        <v>75</v>
      </c>
      <c r="BB705" s="3" t="s">
        <v>9008</v>
      </c>
      <c r="BC705" s="3" t="s">
        <v>9009</v>
      </c>
      <c r="BD705" s="3" t="s">
        <v>9010</v>
      </c>
    </row>
    <row r="706" spans="1:56" ht="48" customHeight="1" x14ac:dyDescent="0.25">
      <c r="A706" s="7" t="s">
        <v>59</v>
      </c>
      <c r="B706" s="2" t="s">
        <v>9011</v>
      </c>
      <c r="C706" s="2" t="s">
        <v>9012</v>
      </c>
      <c r="D706" s="2" t="s">
        <v>9013</v>
      </c>
      <c r="F706" s="3" t="s">
        <v>59</v>
      </c>
      <c r="G706" s="3" t="s">
        <v>60</v>
      </c>
      <c r="H706" s="3" t="s">
        <v>59</v>
      </c>
      <c r="I706" s="3" t="s">
        <v>59</v>
      </c>
      <c r="J706" s="3" t="s">
        <v>61</v>
      </c>
      <c r="K706" s="2" t="s">
        <v>9014</v>
      </c>
      <c r="L706" s="2" t="s">
        <v>9015</v>
      </c>
      <c r="M706" s="3" t="s">
        <v>219</v>
      </c>
      <c r="O706" s="3" t="s">
        <v>64</v>
      </c>
      <c r="P706" s="3" t="s">
        <v>1257</v>
      </c>
      <c r="Q706" s="2" t="s">
        <v>9016</v>
      </c>
      <c r="R706" s="3" t="s">
        <v>67</v>
      </c>
      <c r="S706" s="4">
        <v>7</v>
      </c>
      <c r="T706" s="4">
        <v>7</v>
      </c>
      <c r="U706" s="5" t="s">
        <v>9017</v>
      </c>
      <c r="V706" s="5" t="s">
        <v>9017</v>
      </c>
      <c r="W706" s="5" t="s">
        <v>9018</v>
      </c>
      <c r="X706" s="5" t="s">
        <v>9018</v>
      </c>
      <c r="Y706" s="4">
        <v>128</v>
      </c>
      <c r="Z706" s="4">
        <v>99</v>
      </c>
      <c r="AA706" s="4">
        <v>103</v>
      </c>
      <c r="AB706" s="4">
        <v>2</v>
      </c>
      <c r="AC706" s="4">
        <v>2</v>
      </c>
      <c r="AD706" s="4">
        <v>4</v>
      </c>
      <c r="AE706" s="4">
        <v>4</v>
      </c>
      <c r="AF706" s="4">
        <v>0</v>
      </c>
      <c r="AG706" s="4">
        <v>0</v>
      </c>
      <c r="AH706" s="4">
        <v>3</v>
      </c>
      <c r="AI706" s="4">
        <v>3</v>
      </c>
      <c r="AJ706" s="4">
        <v>2</v>
      </c>
      <c r="AK706" s="4">
        <v>2</v>
      </c>
      <c r="AL706" s="4">
        <v>1</v>
      </c>
      <c r="AM706" s="4">
        <v>1</v>
      </c>
      <c r="AN706" s="4">
        <v>0</v>
      </c>
      <c r="AO706" s="4">
        <v>0</v>
      </c>
      <c r="AP706" s="3" t="s">
        <v>59</v>
      </c>
      <c r="AQ706" s="3" t="s">
        <v>70</v>
      </c>
      <c r="AR706" s="6" t="str">
        <f>HYPERLINK("http://catalog.hathitrust.org/Record/002053059","HathiTrust Record")</f>
        <v>HathiTrust Record</v>
      </c>
      <c r="AS706" s="6" t="str">
        <f>HYPERLINK("https://creighton-primo.hosted.exlibrisgroup.com/primo-explore/search?tab=default_tab&amp;search_scope=EVERYTHING&amp;vid=01CRU&amp;lang=en_US&amp;offset=0&amp;query=any,contains,991001628109702656","Catalog Record")</f>
        <v>Catalog Record</v>
      </c>
      <c r="AT706" s="6" t="str">
        <f>HYPERLINK("http://www.worldcat.org/oclc/20854050","WorldCat Record")</f>
        <v>WorldCat Record</v>
      </c>
      <c r="AU706" s="3" t="s">
        <v>9019</v>
      </c>
      <c r="AV706" s="3" t="s">
        <v>9020</v>
      </c>
      <c r="AW706" s="3" t="s">
        <v>9021</v>
      </c>
      <c r="AX706" s="3" t="s">
        <v>9021</v>
      </c>
      <c r="AY706" s="3" t="s">
        <v>9022</v>
      </c>
      <c r="AZ706" s="3" t="s">
        <v>75</v>
      </c>
      <c r="BB706" s="3" t="s">
        <v>9023</v>
      </c>
      <c r="BC706" s="3" t="s">
        <v>9024</v>
      </c>
      <c r="BD706" s="3" t="s">
        <v>9025</v>
      </c>
    </row>
    <row r="707" spans="1:56" ht="48" customHeight="1" x14ac:dyDescent="0.25">
      <c r="A707" s="7" t="s">
        <v>59</v>
      </c>
      <c r="B707" s="2" t="s">
        <v>9026</v>
      </c>
      <c r="C707" s="2" t="s">
        <v>9027</v>
      </c>
      <c r="D707" s="2" t="s">
        <v>9028</v>
      </c>
      <c r="F707" s="3" t="s">
        <v>59</v>
      </c>
      <c r="G707" s="3" t="s">
        <v>60</v>
      </c>
      <c r="H707" s="3" t="s">
        <v>59</v>
      </c>
      <c r="I707" s="3" t="s">
        <v>59</v>
      </c>
      <c r="J707" s="3" t="s">
        <v>61</v>
      </c>
      <c r="K707" s="2" t="s">
        <v>9029</v>
      </c>
      <c r="L707" s="2" t="s">
        <v>9030</v>
      </c>
      <c r="M707" s="3" t="s">
        <v>897</v>
      </c>
      <c r="O707" s="3" t="s">
        <v>64</v>
      </c>
      <c r="P707" s="3" t="s">
        <v>191</v>
      </c>
      <c r="R707" s="3" t="s">
        <v>67</v>
      </c>
      <c r="S707" s="4">
        <v>16</v>
      </c>
      <c r="T707" s="4">
        <v>16</v>
      </c>
      <c r="U707" s="5" t="s">
        <v>9031</v>
      </c>
      <c r="V707" s="5" t="s">
        <v>9031</v>
      </c>
      <c r="W707" s="5" t="s">
        <v>9032</v>
      </c>
      <c r="X707" s="5" t="s">
        <v>9032</v>
      </c>
      <c r="Y707" s="4">
        <v>144</v>
      </c>
      <c r="Z707" s="4">
        <v>109</v>
      </c>
      <c r="AA707" s="4">
        <v>109</v>
      </c>
      <c r="AB707" s="4">
        <v>2</v>
      </c>
      <c r="AC707" s="4">
        <v>2</v>
      </c>
      <c r="AD707" s="4">
        <v>4</v>
      </c>
      <c r="AE707" s="4">
        <v>4</v>
      </c>
      <c r="AF707" s="4">
        <v>2</v>
      </c>
      <c r="AG707" s="4">
        <v>2</v>
      </c>
      <c r="AH707" s="4">
        <v>1</v>
      </c>
      <c r="AI707" s="4">
        <v>1</v>
      </c>
      <c r="AJ707" s="4">
        <v>1</v>
      </c>
      <c r="AK707" s="4">
        <v>1</v>
      </c>
      <c r="AL707" s="4">
        <v>1</v>
      </c>
      <c r="AM707" s="4">
        <v>1</v>
      </c>
      <c r="AN707" s="4">
        <v>0</v>
      </c>
      <c r="AO707" s="4">
        <v>0</v>
      </c>
      <c r="AP707" s="3" t="s">
        <v>59</v>
      </c>
      <c r="AQ707" s="3" t="s">
        <v>59</v>
      </c>
      <c r="AS707" s="6" t="str">
        <f>HYPERLINK("https://creighton-primo.hosted.exlibrisgroup.com/primo-explore/search?tab=default_tab&amp;search_scope=EVERYTHING&amp;vid=01CRU&amp;lang=en_US&amp;offset=0&amp;query=any,contains,991001879019702656","Catalog Record")</f>
        <v>Catalog Record</v>
      </c>
      <c r="AT707" s="6" t="str">
        <f>HYPERLINK("http://www.worldcat.org/oclc/23694132","WorldCat Record")</f>
        <v>WorldCat Record</v>
      </c>
      <c r="AU707" s="3" t="s">
        <v>9033</v>
      </c>
      <c r="AV707" s="3" t="s">
        <v>9034</v>
      </c>
      <c r="AW707" s="3" t="s">
        <v>9035</v>
      </c>
      <c r="AX707" s="3" t="s">
        <v>9035</v>
      </c>
      <c r="AY707" s="3" t="s">
        <v>9036</v>
      </c>
      <c r="AZ707" s="3" t="s">
        <v>75</v>
      </c>
      <c r="BB707" s="3" t="s">
        <v>9037</v>
      </c>
      <c r="BC707" s="3" t="s">
        <v>9038</v>
      </c>
      <c r="BD707" s="3" t="s">
        <v>9039</v>
      </c>
    </row>
    <row r="708" spans="1:56" ht="48" customHeight="1" x14ac:dyDescent="0.25">
      <c r="A708" s="7" t="s">
        <v>59</v>
      </c>
      <c r="B708" s="2" t="s">
        <v>9040</v>
      </c>
      <c r="C708" s="2" t="s">
        <v>9041</v>
      </c>
      <c r="D708" s="2" t="s">
        <v>9042</v>
      </c>
      <c r="F708" s="3" t="s">
        <v>59</v>
      </c>
      <c r="G708" s="3" t="s">
        <v>60</v>
      </c>
      <c r="H708" s="3" t="s">
        <v>59</v>
      </c>
      <c r="I708" s="3" t="s">
        <v>59</v>
      </c>
      <c r="J708" s="3" t="s">
        <v>61</v>
      </c>
      <c r="L708" s="2" t="s">
        <v>9043</v>
      </c>
      <c r="M708" s="3" t="s">
        <v>348</v>
      </c>
      <c r="O708" s="3" t="s">
        <v>64</v>
      </c>
      <c r="P708" s="3" t="s">
        <v>191</v>
      </c>
      <c r="R708" s="3" t="s">
        <v>67</v>
      </c>
      <c r="S708" s="4">
        <v>16</v>
      </c>
      <c r="T708" s="4">
        <v>16</v>
      </c>
      <c r="U708" s="5" t="s">
        <v>9044</v>
      </c>
      <c r="V708" s="5" t="s">
        <v>9044</v>
      </c>
      <c r="W708" s="5" t="s">
        <v>9045</v>
      </c>
      <c r="X708" s="5" t="s">
        <v>9045</v>
      </c>
      <c r="Y708" s="4">
        <v>84</v>
      </c>
      <c r="Z708" s="4">
        <v>61</v>
      </c>
      <c r="AA708" s="4">
        <v>80</v>
      </c>
      <c r="AB708" s="4">
        <v>2</v>
      </c>
      <c r="AC708" s="4">
        <v>2</v>
      </c>
      <c r="AD708" s="4">
        <v>3</v>
      </c>
      <c r="AE708" s="4">
        <v>3</v>
      </c>
      <c r="AF708" s="4">
        <v>1</v>
      </c>
      <c r="AG708" s="4">
        <v>1</v>
      </c>
      <c r="AH708" s="4">
        <v>0</v>
      </c>
      <c r="AI708" s="4">
        <v>0</v>
      </c>
      <c r="AJ708" s="4">
        <v>2</v>
      </c>
      <c r="AK708" s="4">
        <v>2</v>
      </c>
      <c r="AL708" s="4">
        <v>1</v>
      </c>
      <c r="AM708" s="4">
        <v>1</v>
      </c>
      <c r="AN708" s="4">
        <v>0</v>
      </c>
      <c r="AO708" s="4">
        <v>0</v>
      </c>
      <c r="AP708" s="3" t="s">
        <v>59</v>
      </c>
      <c r="AQ708" s="3" t="s">
        <v>59</v>
      </c>
      <c r="AS708" s="6" t="str">
        <f>HYPERLINK("https://creighton-primo.hosted.exlibrisgroup.com/primo-explore/search?tab=default_tab&amp;search_scope=EVERYTHING&amp;vid=01CRU&amp;lang=en_US&amp;offset=0&amp;query=any,contains,991002050989702656","Catalog Record")</f>
        <v>Catalog Record</v>
      </c>
      <c r="AT708" s="6" t="str">
        <f>HYPERLINK("http://www.worldcat.org/oclc/26162278","WorldCat Record")</f>
        <v>WorldCat Record</v>
      </c>
      <c r="AU708" s="3" t="s">
        <v>9046</v>
      </c>
      <c r="AV708" s="3" t="s">
        <v>9047</v>
      </c>
      <c r="AW708" s="3" t="s">
        <v>9048</v>
      </c>
      <c r="AX708" s="3" t="s">
        <v>9048</v>
      </c>
      <c r="AY708" s="3" t="s">
        <v>9049</v>
      </c>
      <c r="AZ708" s="3" t="s">
        <v>75</v>
      </c>
      <c r="BB708" s="3" t="s">
        <v>9050</v>
      </c>
      <c r="BC708" s="3" t="s">
        <v>9051</v>
      </c>
      <c r="BD708" s="3" t="s">
        <v>9052</v>
      </c>
    </row>
    <row r="709" spans="1:56" ht="48" customHeight="1" x14ac:dyDescent="0.25">
      <c r="A709" s="7" t="s">
        <v>59</v>
      </c>
      <c r="B709" s="2" t="s">
        <v>9053</v>
      </c>
      <c r="C709" s="2" t="s">
        <v>9054</v>
      </c>
      <c r="D709" s="2" t="s">
        <v>9055</v>
      </c>
      <c r="F709" s="3" t="s">
        <v>59</v>
      </c>
      <c r="G709" s="3" t="s">
        <v>60</v>
      </c>
      <c r="H709" s="3" t="s">
        <v>59</v>
      </c>
      <c r="I709" s="3" t="s">
        <v>59</v>
      </c>
      <c r="J709" s="3" t="s">
        <v>61</v>
      </c>
      <c r="L709" s="2" t="s">
        <v>8139</v>
      </c>
      <c r="M709" s="3" t="s">
        <v>604</v>
      </c>
      <c r="O709" s="3" t="s">
        <v>64</v>
      </c>
      <c r="P709" s="3" t="s">
        <v>84</v>
      </c>
      <c r="R709" s="3" t="s">
        <v>67</v>
      </c>
      <c r="S709" s="4">
        <v>4</v>
      </c>
      <c r="T709" s="4">
        <v>4</v>
      </c>
      <c r="U709" s="5" t="s">
        <v>8300</v>
      </c>
      <c r="V709" s="5" t="s">
        <v>8300</v>
      </c>
      <c r="W709" s="5" t="s">
        <v>9056</v>
      </c>
      <c r="X709" s="5" t="s">
        <v>9056</v>
      </c>
      <c r="Y709" s="4">
        <v>259</v>
      </c>
      <c r="Z709" s="4">
        <v>202</v>
      </c>
      <c r="AA709" s="4">
        <v>215</v>
      </c>
      <c r="AB709" s="4">
        <v>1</v>
      </c>
      <c r="AC709" s="4">
        <v>1</v>
      </c>
      <c r="AD709" s="4">
        <v>7</v>
      </c>
      <c r="AE709" s="4">
        <v>7</v>
      </c>
      <c r="AF709" s="4">
        <v>3</v>
      </c>
      <c r="AG709" s="4">
        <v>3</v>
      </c>
      <c r="AH709" s="4">
        <v>2</v>
      </c>
      <c r="AI709" s="4">
        <v>2</v>
      </c>
      <c r="AJ709" s="4">
        <v>6</v>
      </c>
      <c r="AK709" s="4">
        <v>6</v>
      </c>
      <c r="AL709" s="4">
        <v>0</v>
      </c>
      <c r="AM709" s="4">
        <v>0</v>
      </c>
      <c r="AN709" s="4">
        <v>0</v>
      </c>
      <c r="AO709" s="4">
        <v>0</v>
      </c>
      <c r="AP709" s="3" t="s">
        <v>59</v>
      </c>
      <c r="AQ709" s="3" t="s">
        <v>59</v>
      </c>
      <c r="AS709" s="6" t="str">
        <f>HYPERLINK("https://creighton-primo.hosted.exlibrisgroup.com/primo-explore/search?tab=default_tab&amp;search_scope=EVERYTHING&amp;vid=01CRU&amp;lang=en_US&amp;offset=0&amp;query=any,contains,991002380459702656","Catalog Record")</f>
        <v>Catalog Record</v>
      </c>
      <c r="AT709" s="6" t="str">
        <f>HYPERLINK("http://www.worldcat.org/oclc/30919680","WorldCat Record")</f>
        <v>WorldCat Record</v>
      </c>
      <c r="AU709" s="3" t="s">
        <v>9057</v>
      </c>
      <c r="AV709" s="3" t="s">
        <v>9058</v>
      </c>
      <c r="AW709" s="3" t="s">
        <v>9059</v>
      </c>
      <c r="AX709" s="3" t="s">
        <v>9059</v>
      </c>
      <c r="AY709" s="3" t="s">
        <v>9060</v>
      </c>
      <c r="AZ709" s="3" t="s">
        <v>75</v>
      </c>
      <c r="BB709" s="3" t="s">
        <v>9061</v>
      </c>
      <c r="BC709" s="3" t="s">
        <v>9062</v>
      </c>
      <c r="BD709" s="3" t="s">
        <v>9063</v>
      </c>
    </row>
    <row r="710" spans="1:56" ht="48" customHeight="1" x14ac:dyDescent="0.25">
      <c r="A710" s="7" t="s">
        <v>59</v>
      </c>
      <c r="B710" s="2" t="s">
        <v>9064</v>
      </c>
      <c r="C710" s="2" t="s">
        <v>9065</v>
      </c>
      <c r="D710" s="2" t="s">
        <v>9066</v>
      </c>
      <c r="F710" s="3" t="s">
        <v>59</v>
      </c>
      <c r="G710" s="3" t="s">
        <v>60</v>
      </c>
      <c r="H710" s="3" t="s">
        <v>59</v>
      </c>
      <c r="I710" s="3" t="s">
        <v>59</v>
      </c>
      <c r="J710" s="3" t="s">
        <v>61</v>
      </c>
      <c r="L710" s="2" t="s">
        <v>9067</v>
      </c>
      <c r="M710" s="3" t="s">
        <v>604</v>
      </c>
      <c r="O710" s="3" t="s">
        <v>64</v>
      </c>
      <c r="P710" s="3" t="s">
        <v>84</v>
      </c>
      <c r="Q710" s="2" t="s">
        <v>9068</v>
      </c>
      <c r="R710" s="3" t="s">
        <v>67</v>
      </c>
      <c r="S710" s="4">
        <v>3</v>
      </c>
      <c r="T710" s="4">
        <v>3</v>
      </c>
      <c r="U710" s="5" t="s">
        <v>9069</v>
      </c>
      <c r="V710" s="5" t="s">
        <v>9069</v>
      </c>
      <c r="W710" s="5" t="s">
        <v>9070</v>
      </c>
      <c r="X710" s="5" t="s">
        <v>9070</v>
      </c>
      <c r="Y710" s="4">
        <v>186</v>
      </c>
      <c r="Z710" s="4">
        <v>139</v>
      </c>
      <c r="AA710" s="4">
        <v>204</v>
      </c>
      <c r="AB710" s="4">
        <v>2</v>
      </c>
      <c r="AC710" s="4">
        <v>2</v>
      </c>
      <c r="AD710" s="4">
        <v>3</v>
      </c>
      <c r="AE710" s="4">
        <v>3</v>
      </c>
      <c r="AF710" s="4">
        <v>1</v>
      </c>
      <c r="AG710" s="4">
        <v>1</v>
      </c>
      <c r="AH710" s="4">
        <v>1</v>
      </c>
      <c r="AI710" s="4">
        <v>1</v>
      </c>
      <c r="AJ710" s="4">
        <v>3</v>
      </c>
      <c r="AK710" s="4">
        <v>3</v>
      </c>
      <c r="AL710" s="4">
        <v>0</v>
      </c>
      <c r="AM710" s="4">
        <v>0</v>
      </c>
      <c r="AN710" s="4">
        <v>0</v>
      </c>
      <c r="AO710" s="4">
        <v>0</v>
      </c>
      <c r="AP710" s="3" t="s">
        <v>59</v>
      </c>
      <c r="AQ710" s="3" t="s">
        <v>70</v>
      </c>
      <c r="AR710" s="6" t="str">
        <f>HYPERLINK("http://catalog.hathitrust.org/Record/003056660","HathiTrust Record")</f>
        <v>HathiTrust Record</v>
      </c>
      <c r="AS710" s="6" t="str">
        <f>HYPERLINK("https://creighton-primo.hosted.exlibrisgroup.com/primo-explore/search?tab=default_tab&amp;search_scope=EVERYTHING&amp;vid=01CRU&amp;lang=en_US&amp;offset=0&amp;query=any,contains,991002460909702656","Catalog Record")</f>
        <v>Catalog Record</v>
      </c>
      <c r="AT710" s="6" t="str">
        <f>HYPERLINK("http://www.worldcat.org/oclc/32052918","WorldCat Record")</f>
        <v>WorldCat Record</v>
      </c>
      <c r="AU710" s="3" t="s">
        <v>9071</v>
      </c>
      <c r="AV710" s="3" t="s">
        <v>9072</v>
      </c>
      <c r="AW710" s="3" t="s">
        <v>9073</v>
      </c>
      <c r="AX710" s="3" t="s">
        <v>9073</v>
      </c>
      <c r="AY710" s="3" t="s">
        <v>9074</v>
      </c>
      <c r="AZ710" s="3" t="s">
        <v>75</v>
      </c>
      <c r="BB710" s="3" t="s">
        <v>9075</v>
      </c>
      <c r="BC710" s="3" t="s">
        <v>9076</v>
      </c>
      <c r="BD710" s="3" t="s">
        <v>9077</v>
      </c>
    </row>
    <row r="711" spans="1:56" ht="48" customHeight="1" x14ac:dyDescent="0.25">
      <c r="A711" s="7" t="s">
        <v>59</v>
      </c>
      <c r="B711" s="2" t="s">
        <v>9078</v>
      </c>
      <c r="C711" s="2" t="s">
        <v>9079</v>
      </c>
      <c r="D711" s="2" t="s">
        <v>9080</v>
      </c>
      <c r="F711" s="3" t="s">
        <v>59</v>
      </c>
      <c r="G711" s="3" t="s">
        <v>60</v>
      </c>
      <c r="H711" s="3" t="s">
        <v>59</v>
      </c>
      <c r="I711" s="3" t="s">
        <v>59</v>
      </c>
      <c r="J711" s="3" t="s">
        <v>61</v>
      </c>
      <c r="K711" s="2" t="s">
        <v>9081</v>
      </c>
      <c r="L711" s="2" t="s">
        <v>9082</v>
      </c>
      <c r="M711" s="3" t="s">
        <v>519</v>
      </c>
      <c r="O711" s="3" t="s">
        <v>64</v>
      </c>
      <c r="P711" s="3" t="s">
        <v>130</v>
      </c>
      <c r="R711" s="3" t="s">
        <v>67</v>
      </c>
      <c r="S711" s="4">
        <v>1</v>
      </c>
      <c r="T711" s="4">
        <v>1</v>
      </c>
      <c r="U711" s="5" t="s">
        <v>9083</v>
      </c>
      <c r="V711" s="5" t="s">
        <v>9083</v>
      </c>
      <c r="W711" s="5" t="s">
        <v>9084</v>
      </c>
      <c r="X711" s="5" t="s">
        <v>9084</v>
      </c>
      <c r="Y711" s="4">
        <v>351</v>
      </c>
      <c r="Z711" s="4">
        <v>228</v>
      </c>
      <c r="AA711" s="4">
        <v>269</v>
      </c>
      <c r="AB711" s="4">
        <v>1</v>
      </c>
      <c r="AC711" s="4">
        <v>1</v>
      </c>
      <c r="AD711" s="4">
        <v>9</v>
      </c>
      <c r="AE711" s="4">
        <v>9</v>
      </c>
      <c r="AF711" s="4">
        <v>2</v>
      </c>
      <c r="AG711" s="4">
        <v>2</v>
      </c>
      <c r="AH711" s="4">
        <v>2</v>
      </c>
      <c r="AI711" s="4">
        <v>2</v>
      </c>
      <c r="AJ711" s="4">
        <v>6</v>
      </c>
      <c r="AK711" s="4">
        <v>6</v>
      </c>
      <c r="AL711" s="4">
        <v>0</v>
      </c>
      <c r="AM711" s="4">
        <v>0</v>
      </c>
      <c r="AN711" s="4">
        <v>0</v>
      </c>
      <c r="AO711" s="4">
        <v>0</v>
      </c>
      <c r="AP711" s="3" t="s">
        <v>59</v>
      </c>
      <c r="AQ711" s="3" t="s">
        <v>59</v>
      </c>
      <c r="AS711" s="6" t="str">
        <f>HYPERLINK("https://creighton-primo.hosted.exlibrisgroup.com/primo-explore/search?tab=default_tab&amp;search_scope=EVERYTHING&amp;vid=01CRU&amp;lang=en_US&amp;offset=0&amp;query=any,contains,991002311649702656","Catalog Record")</f>
        <v>Catalog Record</v>
      </c>
      <c r="AT711" s="6" t="str">
        <f>HYPERLINK("http://www.worldcat.org/oclc/30025936","WorldCat Record")</f>
        <v>WorldCat Record</v>
      </c>
      <c r="AU711" s="3" t="s">
        <v>9085</v>
      </c>
      <c r="AV711" s="3" t="s">
        <v>9086</v>
      </c>
      <c r="AW711" s="3" t="s">
        <v>9087</v>
      </c>
      <c r="AX711" s="3" t="s">
        <v>9087</v>
      </c>
      <c r="AY711" s="3" t="s">
        <v>9088</v>
      </c>
      <c r="AZ711" s="3" t="s">
        <v>75</v>
      </c>
      <c r="BB711" s="3" t="s">
        <v>9089</v>
      </c>
      <c r="BC711" s="3" t="s">
        <v>9090</v>
      </c>
      <c r="BD711" s="3" t="s">
        <v>9091</v>
      </c>
    </row>
    <row r="712" spans="1:56" ht="48" customHeight="1" x14ac:dyDescent="0.25">
      <c r="A712" s="7" t="s">
        <v>59</v>
      </c>
      <c r="B712" s="2" t="s">
        <v>9092</v>
      </c>
      <c r="C712" s="2" t="s">
        <v>9093</v>
      </c>
      <c r="D712" s="2" t="s">
        <v>9094</v>
      </c>
      <c r="F712" s="3" t="s">
        <v>59</v>
      </c>
      <c r="G712" s="3" t="s">
        <v>60</v>
      </c>
      <c r="H712" s="3" t="s">
        <v>59</v>
      </c>
      <c r="I712" s="3" t="s">
        <v>59</v>
      </c>
      <c r="J712" s="3" t="s">
        <v>61</v>
      </c>
      <c r="K712" s="2" t="s">
        <v>9095</v>
      </c>
      <c r="L712" s="2" t="s">
        <v>1509</v>
      </c>
      <c r="M712" s="3" t="s">
        <v>161</v>
      </c>
      <c r="O712" s="3" t="s">
        <v>64</v>
      </c>
      <c r="P712" s="3" t="s">
        <v>130</v>
      </c>
      <c r="R712" s="3" t="s">
        <v>67</v>
      </c>
      <c r="S712" s="4">
        <v>4</v>
      </c>
      <c r="T712" s="4">
        <v>4</v>
      </c>
      <c r="U712" s="5" t="s">
        <v>9096</v>
      </c>
      <c r="V712" s="5" t="s">
        <v>9096</v>
      </c>
      <c r="W712" s="5" t="s">
        <v>6862</v>
      </c>
      <c r="X712" s="5" t="s">
        <v>6862</v>
      </c>
      <c r="Y712" s="4">
        <v>273</v>
      </c>
      <c r="Z712" s="4">
        <v>222</v>
      </c>
      <c r="AA712" s="4">
        <v>224</v>
      </c>
      <c r="AB712" s="4">
        <v>4</v>
      </c>
      <c r="AC712" s="4">
        <v>4</v>
      </c>
      <c r="AD712" s="4">
        <v>8</v>
      </c>
      <c r="AE712" s="4">
        <v>8</v>
      </c>
      <c r="AF712" s="4">
        <v>2</v>
      </c>
      <c r="AG712" s="4">
        <v>2</v>
      </c>
      <c r="AH712" s="4">
        <v>2</v>
      </c>
      <c r="AI712" s="4">
        <v>2</v>
      </c>
      <c r="AJ712" s="4">
        <v>3</v>
      </c>
      <c r="AK712" s="4">
        <v>3</v>
      </c>
      <c r="AL712" s="4">
        <v>2</v>
      </c>
      <c r="AM712" s="4">
        <v>2</v>
      </c>
      <c r="AN712" s="4">
        <v>0</v>
      </c>
      <c r="AO712" s="4">
        <v>0</v>
      </c>
      <c r="AP712" s="3" t="s">
        <v>59</v>
      </c>
      <c r="AQ712" s="3" t="s">
        <v>70</v>
      </c>
      <c r="AR712" s="6" t="str">
        <f>HYPERLINK("http://catalog.hathitrust.org/Record/000686727","HathiTrust Record")</f>
        <v>HathiTrust Record</v>
      </c>
      <c r="AS712" s="6" t="str">
        <f>HYPERLINK("https://creighton-primo.hosted.exlibrisgroup.com/primo-explore/search?tab=default_tab&amp;search_scope=EVERYTHING&amp;vid=01CRU&amp;lang=en_US&amp;offset=0&amp;query=any,contains,991004870049702656","Catalog Record")</f>
        <v>Catalog Record</v>
      </c>
      <c r="AT712" s="6" t="str">
        <f>HYPERLINK("http://www.worldcat.org/oclc/5751085","WorldCat Record")</f>
        <v>WorldCat Record</v>
      </c>
      <c r="AU712" s="3" t="s">
        <v>9097</v>
      </c>
      <c r="AV712" s="3" t="s">
        <v>9098</v>
      </c>
      <c r="AW712" s="3" t="s">
        <v>9099</v>
      </c>
      <c r="AX712" s="3" t="s">
        <v>9099</v>
      </c>
      <c r="AY712" s="3" t="s">
        <v>9100</v>
      </c>
      <c r="AZ712" s="3" t="s">
        <v>75</v>
      </c>
      <c r="BC712" s="3" t="s">
        <v>9101</v>
      </c>
      <c r="BD712" s="3" t="s">
        <v>9102</v>
      </c>
    </row>
    <row r="713" spans="1:56" ht="48" customHeight="1" x14ac:dyDescent="0.25">
      <c r="A713" s="7" t="s">
        <v>59</v>
      </c>
      <c r="B713" s="2" t="s">
        <v>9103</v>
      </c>
      <c r="C713" s="2" t="s">
        <v>9104</v>
      </c>
      <c r="D713" s="2" t="s">
        <v>9105</v>
      </c>
      <c r="F713" s="3" t="s">
        <v>59</v>
      </c>
      <c r="G713" s="3" t="s">
        <v>60</v>
      </c>
      <c r="H713" s="3" t="s">
        <v>59</v>
      </c>
      <c r="I713" s="3" t="s">
        <v>59</v>
      </c>
      <c r="J713" s="3" t="s">
        <v>61</v>
      </c>
      <c r="L713" s="2" t="s">
        <v>9106</v>
      </c>
      <c r="M713" s="3" t="s">
        <v>333</v>
      </c>
      <c r="O713" s="3" t="s">
        <v>64</v>
      </c>
      <c r="P713" s="3" t="s">
        <v>84</v>
      </c>
      <c r="Q713" s="2" t="s">
        <v>9107</v>
      </c>
      <c r="R713" s="3" t="s">
        <v>67</v>
      </c>
      <c r="S713" s="4">
        <v>3</v>
      </c>
      <c r="T713" s="4">
        <v>3</v>
      </c>
      <c r="U713" s="5" t="s">
        <v>9096</v>
      </c>
      <c r="V713" s="5" t="s">
        <v>9096</v>
      </c>
      <c r="W713" s="5" t="s">
        <v>6862</v>
      </c>
      <c r="X713" s="5" t="s">
        <v>6862</v>
      </c>
      <c r="Y713" s="4">
        <v>198</v>
      </c>
      <c r="Z713" s="4">
        <v>155</v>
      </c>
      <c r="AA713" s="4">
        <v>172</v>
      </c>
      <c r="AB713" s="4">
        <v>1</v>
      </c>
      <c r="AC713" s="4">
        <v>1</v>
      </c>
      <c r="AD713" s="4">
        <v>2</v>
      </c>
      <c r="AE713" s="4">
        <v>4</v>
      </c>
      <c r="AF713" s="4">
        <v>0</v>
      </c>
      <c r="AG713" s="4">
        <v>0</v>
      </c>
      <c r="AH713" s="4">
        <v>2</v>
      </c>
      <c r="AI713" s="4">
        <v>2</v>
      </c>
      <c r="AJ713" s="4">
        <v>1</v>
      </c>
      <c r="AK713" s="4">
        <v>3</v>
      </c>
      <c r="AL713" s="4">
        <v>0</v>
      </c>
      <c r="AM713" s="4">
        <v>0</v>
      </c>
      <c r="AN713" s="4">
        <v>0</v>
      </c>
      <c r="AO713" s="4">
        <v>0</v>
      </c>
      <c r="AP713" s="3" t="s">
        <v>59</v>
      </c>
      <c r="AQ713" s="3" t="s">
        <v>70</v>
      </c>
      <c r="AR713" s="6" t="str">
        <f>HYPERLINK("http://catalog.hathitrust.org/Record/000385298","HathiTrust Record")</f>
        <v>HathiTrust Record</v>
      </c>
      <c r="AS713" s="6" t="str">
        <f>HYPERLINK("https://creighton-primo.hosted.exlibrisgroup.com/primo-explore/search?tab=default_tab&amp;search_scope=EVERYTHING&amp;vid=01CRU&amp;lang=en_US&amp;offset=0&amp;query=any,contains,991000671119702656","Catalog Record")</f>
        <v>Catalog Record</v>
      </c>
      <c r="AT713" s="6" t="str">
        <f>HYPERLINK("http://www.worldcat.org/oclc/12314742","WorldCat Record")</f>
        <v>WorldCat Record</v>
      </c>
      <c r="AU713" s="3" t="s">
        <v>9108</v>
      </c>
      <c r="AV713" s="3" t="s">
        <v>9109</v>
      </c>
      <c r="AW713" s="3" t="s">
        <v>9110</v>
      </c>
      <c r="AX713" s="3" t="s">
        <v>9110</v>
      </c>
      <c r="AY713" s="3" t="s">
        <v>9111</v>
      </c>
      <c r="AZ713" s="3" t="s">
        <v>75</v>
      </c>
      <c r="BB713" s="3" t="s">
        <v>9112</v>
      </c>
      <c r="BC713" s="3" t="s">
        <v>9113</v>
      </c>
      <c r="BD713" s="3" t="s">
        <v>9114</v>
      </c>
    </row>
    <row r="714" spans="1:56" ht="48" customHeight="1" x14ac:dyDescent="0.25">
      <c r="A714" s="7" t="s">
        <v>59</v>
      </c>
      <c r="B714" s="2" t="s">
        <v>9115</v>
      </c>
      <c r="C714" s="2" t="s">
        <v>9116</v>
      </c>
      <c r="D714" s="2" t="s">
        <v>9117</v>
      </c>
      <c r="F714" s="3" t="s">
        <v>59</v>
      </c>
      <c r="G714" s="3" t="s">
        <v>60</v>
      </c>
      <c r="H714" s="3" t="s">
        <v>59</v>
      </c>
      <c r="I714" s="3" t="s">
        <v>59</v>
      </c>
      <c r="J714" s="3" t="s">
        <v>61</v>
      </c>
      <c r="L714" s="2" t="s">
        <v>9118</v>
      </c>
      <c r="M714" s="3" t="s">
        <v>333</v>
      </c>
      <c r="O714" s="3" t="s">
        <v>64</v>
      </c>
      <c r="P714" s="3" t="s">
        <v>1201</v>
      </c>
      <c r="R714" s="3" t="s">
        <v>67</v>
      </c>
      <c r="S714" s="4">
        <v>4</v>
      </c>
      <c r="T714" s="4">
        <v>4</v>
      </c>
      <c r="U714" s="5" t="s">
        <v>9096</v>
      </c>
      <c r="V714" s="5" t="s">
        <v>9096</v>
      </c>
      <c r="W714" s="5" t="s">
        <v>6862</v>
      </c>
      <c r="X714" s="5" t="s">
        <v>6862</v>
      </c>
      <c r="Y714" s="4">
        <v>159</v>
      </c>
      <c r="Z714" s="4">
        <v>111</v>
      </c>
      <c r="AA714" s="4">
        <v>131</v>
      </c>
      <c r="AB714" s="4">
        <v>1</v>
      </c>
      <c r="AC714" s="4">
        <v>1</v>
      </c>
      <c r="AD714" s="4">
        <v>1</v>
      </c>
      <c r="AE714" s="4">
        <v>1</v>
      </c>
      <c r="AF714" s="4">
        <v>0</v>
      </c>
      <c r="AG714" s="4">
        <v>0</v>
      </c>
      <c r="AH714" s="4">
        <v>1</v>
      </c>
      <c r="AI714" s="4">
        <v>1</v>
      </c>
      <c r="AJ714" s="4">
        <v>0</v>
      </c>
      <c r="AK714" s="4">
        <v>0</v>
      </c>
      <c r="AL714" s="4">
        <v>0</v>
      </c>
      <c r="AM714" s="4">
        <v>0</v>
      </c>
      <c r="AN714" s="4">
        <v>0</v>
      </c>
      <c r="AO714" s="4">
        <v>0</v>
      </c>
      <c r="AP714" s="3" t="s">
        <v>59</v>
      </c>
      <c r="AQ714" s="3" t="s">
        <v>70</v>
      </c>
      <c r="AR714" s="6" t="str">
        <f>HYPERLINK("http://catalog.hathitrust.org/Record/000354764","HathiTrust Record")</f>
        <v>HathiTrust Record</v>
      </c>
      <c r="AS714" s="6" t="str">
        <f>HYPERLINK("https://creighton-primo.hosted.exlibrisgroup.com/primo-explore/search?tab=default_tab&amp;search_scope=EVERYTHING&amp;vid=01CRU&amp;lang=en_US&amp;offset=0&amp;query=any,contains,991000612729702656","Catalog Record")</f>
        <v>Catalog Record</v>
      </c>
      <c r="AT714" s="6" t="str">
        <f>HYPERLINK("http://www.worldcat.org/oclc/11917470","WorldCat Record")</f>
        <v>WorldCat Record</v>
      </c>
      <c r="AU714" s="3" t="s">
        <v>9119</v>
      </c>
      <c r="AV714" s="3" t="s">
        <v>9120</v>
      </c>
      <c r="AW714" s="3" t="s">
        <v>9121</v>
      </c>
      <c r="AX714" s="3" t="s">
        <v>9121</v>
      </c>
      <c r="AY714" s="3" t="s">
        <v>9122</v>
      </c>
      <c r="AZ714" s="3" t="s">
        <v>75</v>
      </c>
      <c r="BB714" s="3" t="s">
        <v>9123</v>
      </c>
      <c r="BC714" s="3" t="s">
        <v>9124</v>
      </c>
      <c r="BD714" s="3" t="s">
        <v>9125</v>
      </c>
    </row>
    <row r="715" spans="1:56" ht="48" customHeight="1" x14ac:dyDescent="0.25">
      <c r="A715" s="7" t="s">
        <v>59</v>
      </c>
      <c r="B715" s="2" t="s">
        <v>9126</v>
      </c>
      <c r="C715" s="2" t="s">
        <v>9127</v>
      </c>
      <c r="D715" s="2" t="s">
        <v>9128</v>
      </c>
      <c r="F715" s="3" t="s">
        <v>59</v>
      </c>
      <c r="G715" s="3" t="s">
        <v>60</v>
      </c>
      <c r="H715" s="3" t="s">
        <v>59</v>
      </c>
      <c r="I715" s="3" t="s">
        <v>59</v>
      </c>
      <c r="J715" s="3" t="s">
        <v>61</v>
      </c>
      <c r="L715" s="2" t="s">
        <v>9129</v>
      </c>
      <c r="M715" s="3" t="s">
        <v>519</v>
      </c>
      <c r="O715" s="3" t="s">
        <v>64</v>
      </c>
      <c r="P715" s="3" t="s">
        <v>264</v>
      </c>
      <c r="Q715" s="2" t="s">
        <v>9130</v>
      </c>
      <c r="R715" s="3" t="s">
        <v>67</v>
      </c>
      <c r="S715" s="4">
        <v>9</v>
      </c>
      <c r="T715" s="4">
        <v>9</v>
      </c>
      <c r="U715" s="5" t="s">
        <v>9131</v>
      </c>
      <c r="V715" s="5" t="s">
        <v>9131</v>
      </c>
      <c r="W715" s="5" t="s">
        <v>6057</v>
      </c>
      <c r="X715" s="5" t="s">
        <v>6057</v>
      </c>
      <c r="Y715" s="4">
        <v>166</v>
      </c>
      <c r="Z715" s="4">
        <v>121</v>
      </c>
      <c r="AA715" s="4">
        <v>150</v>
      </c>
      <c r="AB715" s="4">
        <v>2</v>
      </c>
      <c r="AC715" s="4">
        <v>2</v>
      </c>
      <c r="AD715" s="4">
        <v>5</v>
      </c>
      <c r="AE715" s="4">
        <v>6</v>
      </c>
      <c r="AF715" s="4">
        <v>0</v>
      </c>
      <c r="AG715" s="4">
        <v>1</v>
      </c>
      <c r="AH715" s="4">
        <v>3</v>
      </c>
      <c r="AI715" s="4">
        <v>3</v>
      </c>
      <c r="AJ715" s="4">
        <v>2</v>
      </c>
      <c r="AK715" s="4">
        <v>3</v>
      </c>
      <c r="AL715" s="4">
        <v>1</v>
      </c>
      <c r="AM715" s="4">
        <v>1</v>
      </c>
      <c r="AN715" s="4">
        <v>0</v>
      </c>
      <c r="AO715" s="4">
        <v>0</v>
      </c>
      <c r="AP715" s="3" t="s">
        <v>59</v>
      </c>
      <c r="AQ715" s="3" t="s">
        <v>70</v>
      </c>
      <c r="AR715" s="6" t="str">
        <f>HYPERLINK("http://catalog.hathitrust.org/Record/002806515","HathiTrust Record")</f>
        <v>HathiTrust Record</v>
      </c>
      <c r="AS715" s="6" t="str">
        <f>HYPERLINK("https://creighton-primo.hosted.exlibrisgroup.com/primo-explore/search?tab=default_tab&amp;search_scope=EVERYTHING&amp;vid=01CRU&amp;lang=en_US&amp;offset=0&amp;query=any,contains,991002253629702656","Catalog Record")</f>
        <v>Catalog Record</v>
      </c>
      <c r="AT715" s="6" t="str">
        <f>HYPERLINK("http://www.worldcat.org/oclc/29185799","WorldCat Record")</f>
        <v>WorldCat Record</v>
      </c>
      <c r="AU715" s="3" t="s">
        <v>9132</v>
      </c>
      <c r="AV715" s="3" t="s">
        <v>9133</v>
      </c>
      <c r="AW715" s="3" t="s">
        <v>9134</v>
      </c>
      <c r="AX715" s="3" t="s">
        <v>9134</v>
      </c>
      <c r="AY715" s="3" t="s">
        <v>9135</v>
      </c>
      <c r="AZ715" s="3" t="s">
        <v>75</v>
      </c>
      <c r="BB715" s="3" t="s">
        <v>9136</v>
      </c>
      <c r="BC715" s="3" t="s">
        <v>9137</v>
      </c>
      <c r="BD715" s="3" t="s">
        <v>9138</v>
      </c>
    </row>
    <row r="716" spans="1:56" ht="48" customHeight="1" x14ac:dyDescent="0.25">
      <c r="A716" s="7" t="s">
        <v>59</v>
      </c>
      <c r="B716" s="2" t="s">
        <v>9139</v>
      </c>
      <c r="C716" s="2" t="s">
        <v>9140</v>
      </c>
      <c r="D716" s="2" t="s">
        <v>9141</v>
      </c>
      <c r="F716" s="3" t="s">
        <v>59</v>
      </c>
      <c r="G716" s="3" t="s">
        <v>60</v>
      </c>
      <c r="H716" s="3" t="s">
        <v>59</v>
      </c>
      <c r="I716" s="3" t="s">
        <v>59</v>
      </c>
      <c r="J716" s="3" t="s">
        <v>61</v>
      </c>
      <c r="L716" s="2" t="s">
        <v>9142</v>
      </c>
      <c r="M716" s="3" t="s">
        <v>113</v>
      </c>
      <c r="O716" s="3" t="s">
        <v>64</v>
      </c>
      <c r="P716" s="3" t="s">
        <v>1201</v>
      </c>
      <c r="Q716" s="2" t="s">
        <v>9143</v>
      </c>
      <c r="R716" s="3" t="s">
        <v>67</v>
      </c>
      <c r="S716" s="4">
        <v>3</v>
      </c>
      <c r="T716" s="4">
        <v>3</v>
      </c>
      <c r="U716" s="5" t="s">
        <v>9144</v>
      </c>
      <c r="V716" s="5" t="s">
        <v>9144</v>
      </c>
      <c r="W716" s="5" t="s">
        <v>9144</v>
      </c>
      <c r="X716" s="5" t="s">
        <v>9144</v>
      </c>
      <c r="Y716" s="4">
        <v>192</v>
      </c>
      <c r="Z716" s="4">
        <v>132</v>
      </c>
      <c r="AA716" s="4">
        <v>135</v>
      </c>
      <c r="AB716" s="4">
        <v>1</v>
      </c>
      <c r="AC716" s="4">
        <v>1</v>
      </c>
      <c r="AD716" s="4">
        <v>7</v>
      </c>
      <c r="AE716" s="4">
        <v>7</v>
      </c>
      <c r="AF716" s="4">
        <v>3</v>
      </c>
      <c r="AG716" s="4">
        <v>3</v>
      </c>
      <c r="AH716" s="4">
        <v>3</v>
      </c>
      <c r="AI716" s="4">
        <v>3</v>
      </c>
      <c r="AJ716" s="4">
        <v>4</v>
      </c>
      <c r="AK716" s="4">
        <v>4</v>
      </c>
      <c r="AL716" s="4">
        <v>0</v>
      </c>
      <c r="AM716" s="4">
        <v>0</v>
      </c>
      <c r="AN716" s="4">
        <v>0</v>
      </c>
      <c r="AO716" s="4">
        <v>0</v>
      </c>
      <c r="AP716" s="3" t="s">
        <v>59</v>
      </c>
      <c r="AQ716" s="3" t="s">
        <v>70</v>
      </c>
      <c r="AR716" s="6" t="str">
        <f>HYPERLINK("http://catalog.hathitrust.org/Record/000828546","HathiTrust Record")</f>
        <v>HathiTrust Record</v>
      </c>
      <c r="AS716" s="6" t="str">
        <f>HYPERLINK("https://creighton-primo.hosted.exlibrisgroup.com/primo-explore/search?tab=default_tab&amp;search_scope=EVERYTHING&amp;vid=01CRU&amp;lang=en_US&amp;offset=0&amp;query=any,contains,991000922459702656","Catalog Record")</f>
        <v>Catalog Record</v>
      </c>
      <c r="AT716" s="6" t="str">
        <f>HYPERLINK("http://www.worldcat.org/oclc/14213725","WorldCat Record")</f>
        <v>WorldCat Record</v>
      </c>
      <c r="AU716" s="3" t="s">
        <v>9145</v>
      </c>
      <c r="AV716" s="3" t="s">
        <v>9146</v>
      </c>
      <c r="AW716" s="3" t="s">
        <v>9147</v>
      </c>
      <c r="AX716" s="3" t="s">
        <v>9147</v>
      </c>
      <c r="AY716" s="3" t="s">
        <v>9148</v>
      </c>
      <c r="AZ716" s="3" t="s">
        <v>75</v>
      </c>
      <c r="BB716" s="3" t="s">
        <v>9149</v>
      </c>
      <c r="BC716" s="3" t="s">
        <v>9150</v>
      </c>
      <c r="BD716" s="3" t="s">
        <v>9151</v>
      </c>
    </row>
    <row r="717" spans="1:56" ht="48" customHeight="1" x14ac:dyDescent="0.25">
      <c r="A717" s="7" t="s">
        <v>59</v>
      </c>
      <c r="B717" s="2" t="s">
        <v>9152</v>
      </c>
      <c r="C717" s="2" t="s">
        <v>9153</v>
      </c>
      <c r="D717" s="2" t="s">
        <v>9154</v>
      </c>
      <c r="F717" s="3" t="s">
        <v>59</v>
      </c>
      <c r="G717" s="3" t="s">
        <v>60</v>
      </c>
      <c r="H717" s="3" t="s">
        <v>59</v>
      </c>
      <c r="I717" s="3" t="s">
        <v>59</v>
      </c>
      <c r="J717" s="3" t="s">
        <v>61</v>
      </c>
      <c r="K717" s="2" t="s">
        <v>9155</v>
      </c>
      <c r="L717" s="2" t="s">
        <v>9156</v>
      </c>
      <c r="M717" s="3" t="s">
        <v>1338</v>
      </c>
      <c r="O717" s="3" t="s">
        <v>64</v>
      </c>
      <c r="P717" s="3" t="s">
        <v>130</v>
      </c>
      <c r="R717" s="3" t="s">
        <v>67</v>
      </c>
      <c r="S717" s="4">
        <v>7</v>
      </c>
      <c r="T717" s="4">
        <v>7</v>
      </c>
      <c r="U717" s="5" t="s">
        <v>9157</v>
      </c>
      <c r="V717" s="5" t="s">
        <v>9157</v>
      </c>
      <c r="W717" s="5" t="s">
        <v>9158</v>
      </c>
      <c r="X717" s="5" t="s">
        <v>9158</v>
      </c>
      <c r="Y717" s="4">
        <v>421</v>
      </c>
      <c r="Z717" s="4">
        <v>318</v>
      </c>
      <c r="AA717" s="4">
        <v>345</v>
      </c>
      <c r="AB717" s="4">
        <v>2</v>
      </c>
      <c r="AC717" s="4">
        <v>2</v>
      </c>
      <c r="AD717" s="4">
        <v>13</v>
      </c>
      <c r="AE717" s="4">
        <v>14</v>
      </c>
      <c r="AF717" s="4">
        <v>3</v>
      </c>
      <c r="AG717" s="4">
        <v>3</v>
      </c>
      <c r="AH717" s="4">
        <v>5</v>
      </c>
      <c r="AI717" s="4">
        <v>5</v>
      </c>
      <c r="AJ717" s="4">
        <v>8</v>
      </c>
      <c r="AK717" s="4">
        <v>9</v>
      </c>
      <c r="AL717" s="4">
        <v>1</v>
      </c>
      <c r="AM717" s="4">
        <v>1</v>
      </c>
      <c r="AN717" s="4">
        <v>0</v>
      </c>
      <c r="AO717" s="4">
        <v>0</v>
      </c>
      <c r="AP717" s="3" t="s">
        <v>59</v>
      </c>
      <c r="AQ717" s="3" t="s">
        <v>70</v>
      </c>
      <c r="AR717" s="6" t="str">
        <f>HYPERLINK("http://catalog.hathitrust.org/Record/001555512","HathiTrust Record")</f>
        <v>HathiTrust Record</v>
      </c>
      <c r="AS717" s="6" t="str">
        <f>HYPERLINK("https://creighton-primo.hosted.exlibrisgroup.com/primo-explore/search?tab=default_tab&amp;search_scope=EVERYTHING&amp;vid=01CRU&amp;lang=en_US&amp;offset=0&amp;query=any,contains,991001193519702656","Catalog Record")</f>
        <v>Catalog Record</v>
      </c>
      <c r="AT717" s="6" t="str">
        <f>HYPERLINK("http://www.worldcat.org/oclc/191250","WorldCat Record")</f>
        <v>WorldCat Record</v>
      </c>
      <c r="AU717" s="3" t="s">
        <v>9159</v>
      </c>
      <c r="AV717" s="3" t="s">
        <v>9160</v>
      </c>
      <c r="AW717" s="3" t="s">
        <v>9161</v>
      </c>
      <c r="AX717" s="3" t="s">
        <v>9161</v>
      </c>
      <c r="AY717" s="3" t="s">
        <v>9162</v>
      </c>
      <c r="AZ717" s="3" t="s">
        <v>75</v>
      </c>
      <c r="BC717" s="3" t="s">
        <v>9163</v>
      </c>
      <c r="BD717" s="3" t="s">
        <v>9164</v>
      </c>
    </row>
    <row r="718" spans="1:56" ht="48" customHeight="1" x14ac:dyDescent="0.25">
      <c r="A718" s="7" t="s">
        <v>59</v>
      </c>
      <c r="B718" s="2" t="s">
        <v>9165</v>
      </c>
      <c r="C718" s="2" t="s">
        <v>9166</v>
      </c>
      <c r="D718" s="2" t="s">
        <v>9167</v>
      </c>
      <c r="F718" s="3" t="s">
        <v>70</v>
      </c>
      <c r="G718" s="3" t="s">
        <v>60</v>
      </c>
      <c r="H718" s="3" t="s">
        <v>70</v>
      </c>
      <c r="I718" s="3" t="s">
        <v>59</v>
      </c>
      <c r="J718" s="3" t="s">
        <v>61</v>
      </c>
      <c r="K718" s="2" t="s">
        <v>9168</v>
      </c>
      <c r="L718" s="2" t="s">
        <v>9169</v>
      </c>
      <c r="M718" s="3" t="s">
        <v>2389</v>
      </c>
      <c r="O718" s="3" t="s">
        <v>64</v>
      </c>
      <c r="P718" s="3" t="s">
        <v>1201</v>
      </c>
      <c r="R718" s="3" t="s">
        <v>67</v>
      </c>
      <c r="S718" s="4">
        <v>3</v>
      </c>
      <c r="T718" s="4">
        <v>7</v>
      </c>
      <c r="V718" s="5" t="s">
        <v>9170</v>
      </c>
      <c r="W718" s="5" t="s">
        <v>9171</v>
      </c>
      <c r="X718" s="5" t="s">
        <v>9171</v>
      </c>
      <c r="Y718" s="4">
        <v>584</v>
      </c>
      <c r="Z718" s="4">
        <v>438</v>
      </c>
      <c r="AA718" s="4">
        <v>461</v>
      </c>
      <c r="AB718" s="4">
        <v>3</v>
      </c>
      <c r="AC718" s="4">
        <v>3</v>
      </c>
      <c r="AD718" s="4">
        <v>15</v>
      </c>
      <c r="AE718" s="4">
        <v>16</v>
      </c>
      <c r="AF718" s="4">
        <v>4</v>
      </c>
      <c r="AG718" s="4">
        <v>5</v>
      </c>
      <c r="AH718" s="4">
        <v>5</v>
      </c>
      <c r="AI718" s="4">
        <v>5</v>
      </c>
      <c r="AJ718" s="4">
        <v>8</v>
      </c>
      <c r="AK718" s="4">
        <v>9</v>
      </c>
      <c r="AL718" s="4">
        <v>2</v>
      </c>
      <c r="AM718" s="4">
        <v>2</v>
      </c>
      <c r="AN718" s="4">
        <v>0</v>
      </c>
      <c r="AO718" s="4">
        <v>0</v>
      </c>
      <c r="AP718" s="3" t="s">
        <v>59</v>
      </c>
      <c r="AQ718" s="3" t="s">
        <v>70</v>
      </c>
      <c r="AR718" s="6" t="str">
        <f>HYPERLINK("http://catalog.hathitrust.org/Record/002077128","HathiTrust Record")</f>
        <v>HathiTrust Record</v>
      </c>
      <c r="AS718" s="6" t="str">
        <f>HYPERLINK("https://creighton-primo.hosted.exlibrisgroup.com/primo-explore/search?tab=default_tab&amp;search_scope=EVERYTHING&amp;vid=01CRU&amp;lang=en_US&amp;offset=0&amp;query=any,contains,991000005489702656","Catalog Record")</f>
        <v>Catalog Record</v>
      </c>
      <c r="AT718" s="6" t="str">
        <f>HYPERLINK("http://www.worldcat.org/oclc/13160","WorldCat Record")</f>
        <v>WorldCat Record</v>
      </c>
      <c r="AU718" s="3" t="s">
        <v>9172</v>
      </c>
      <c r="AV718" s="3" t="s">
        <v>9173</v>
      </c>
      <c r="AW718" s="3" t="s">
        <v>9174</v>
      </c>
      <c r="AX718" s="3" t="s">
        <v>9174</v>
      </c>
      <c r="AY718" s="3" t="s">
        <v>9175</v>
      </c>
      <c r="AZ718" s="3" t="s">
        <v>75</v>
      </c>
      <c r="BC718" s="3" t="s">
        <v>9176</v>
      </c>
      <c r="BD718" s="3" t="s">
        <v>9177</v>
      </c>
    </row>
    <row r="719" spans="1:56" ht="48" customHeight="1" x14ac:dyDescent="0.25">
      <c r="A719" s="7" t="s">
        <v>59</v>
      </c>
      <c r="B719" s="2" t="s">
        <v>9178</v>
      </c>
      <c r="C719" s="2" t="s">
        <v>9179</v>
      </c>
      <c r="D719" s="2" t="s">
        <v>9167</v>
      </c>
      <c r="E719" s="3" t="s">
        <v>9180</v>
      </c>
      <c r="F719" s="3" t="s">
        <v>70</v>
      </c>
      <c r="G719" s="3" t="s">
        <v>60</v>
      </c>
      <c r="H719" s="3" t="s">
        <v>59</v>
      </c>
      <c r="I719" s="3" t="s">
        <v>59</v>
      </c>
      <c r="J719" s="3" t="s">
        <v>61</v>
      </c>
      <c r="K719" s="2" t="s">
        <v>9168</v>
      </c>
      <c r="L719" s="2" t="s">
        <v>9169</v>
      </c>
      <c r="M719" s="3" t="s">
        <v>2389</v>
      </c>
      <c r="O719" s="3" t="s">
        <v>64</v>
      </c>
      <c r="P719" s="3" t="s">
        <v>1201</v>
      </c>
      <c r="R719" s="3" t="s">
        <v>67</v>
      </c>
      <c r="S719" s="4">
        <v>4</v>
      </c>
      <c r="T719" s="4">
        <v>7</v>
      </c>
      <c r="U719" s="5" t="s">
        <v>9170</v>
      </c>
      <c r="V719" s="5" t="s">
        <v>9170</v>
      </c>
      <c r="W719" s="5" t="s">
        <v>9171</v>
      </c>
      <c r="X719" s="5" t="s">
        <v>9171</v>
      </c>
      <c r="Y719" s="4">
        <v>584</v>
      </c>
      <c r="Z719" s="4">
        <v>438</v>
      </c>
      <c r="AA719" s="4">
        <v>461</v>
      </c>
      <c r="AB719" s="4">
        <v>3</v>
      </c>
      <c r="AC719" s="4">
        <v>3</v>
      </c>
      <c r="AD719" s="4">
        <v>15</v>
      </c>
      <c r="AE719" s="4">
        <v>16</v>
      </c>
      <c r="AF719" s="4">
        <v>4</v>
      </c>
      <c r="AG719" s="4">
        <v>5</v>
      </c>
      <c r="AH719" s="4">
        <v>5</v>
      </c>
      <c r="AI719" s="4">
        <v>5</v>
      </c>
      <c r="AJ719" s="4">
        <v>8</v>
      </c>
      <c r="AK719" s="4">
        <v>9</v>
      </c>
      <c r="AL719" s="4">
        <v>2</v>
      </c>
      <c r="AM719" s="4">
        <v>2</v>
      </c>
      <c r="AN719" s="4">
        <v>0</v>
      </c>
      <c r="AO719" s="4">
        <v>0</v>
      </c>
      <c r="AP719" s="3" t="s">
        <v>59</v>
      </c>
      <c r="AQ719" s="3" t="s">
        <v>70</v>
      </c>
      <c r="AR719" s="6" t="str">
        <f>HYPERLINK("http://catalog.hathitrust.org/Record/002077128","HathiTrust Record")</f>
        <v>HathiTrust Record</v>
      </c>
      <c r="AS719" s="6" t="str">
        <f>HYPERLINK("https://creighton-primo.hosted.exlibrisgroup.com/primo-explore/search?tab=default_tab&amp;search_scope=EVERYTHING&amp;vid=01CRU&amp;lang=en_US&amp;offset=0&amp;query=any,contains,991000005489702656","Catalog Record")</f>
        <v>Catalog Record</v>
      </c>
      <c r="AT719" s="6" t="str">
        <f>HYPERLINK("http://www.worldcat.org/oclc/13160","WorldCat Record")</f>
        <v>WorldCat Record</v>
      </c>
      <c r="AU719" s="3" t="s">
        <v>9172</v>
      </c>
      <c r="AV719" s="3" t="s">
        <v>9173</v>
      </c>
      <c r="AW719" s="3" t="s">
        <v>9174</v>
      </c>
      <c r="AX719" s="3" t="s">
        <v>9174</v>
      </c>
      <c r="AY719" s="3" t="s">
        <v>9175</v>
      </c>
      <c r="AZ719" s="3" t="s">
        <v>75</v>
      </c>
      <c r="BC719" s="3" t="s">
        <v>9181</v>
      </c>
      <c r="BD719" s="3" t="s">
        <v>9182</v>
      </c>
    </row>
    <row r="720" spans="1:56" ht="48" customHeight="1" x14ac:dyDescent="0.25">
      <c r="A720" s="7" t="s">
        <v>59</v>
      </c>
      <c r="B720" s="2" t="s">
        <v>9183</v>
      </c>
      <c r="C720" s="2" t="s">
        <v>9184</v>
      </c>
      <c r="D720" s="2" t="s">
        <v>9185</v>
      </c>
      <c r="F720" s="3" t="s">
        <v>59</v>
      </c>
      <c r="G720" s="3" t="s">
        <v>60</v>
      </c>
      <c r="H720" s="3" t="s">
        <v>70</v>
      </c>
      <c r="I720" s="3" t="s">
        <v>70</v>
      </c>
      <c r="J720" s="3" t="s">
        <v>61</v>
      </c>
      <c r="K720" s="2" t="s">
        <v>9186</v>
      </c>
      <c r="L720" s="2" t="s">
        <v>9187</v>
      </c>
      <c r="M720" s="3" t="s">
        <v>319</v>
      </c>
      <c r="O720" s="3" t="s">
        <v>64</v>
      </c>
      <c r="P720" s="3" t="s">
        <v>130</v>
      </c>
      <c r="R720" s="3" t="s">
        <v>67</v>
      </c>
      <c r="S720" s="4">
        <v>3</v>
      </c>
      <c r="T720" s="4">
        <v>5</v>
      </c>
      <c r="U720" s="5" t="s">
        <v>9188</v>
      </c>
      <c r="V720" s="5" t="s">
        <v>9188</v>
      </c>
      <c r="W720" s="5" t="s">
        <v>6862</v>
      </c>
      <c r="X720" s="5" t="s">
        <v>6862</v>
      </c>
      <c r="Y720" s="4">
        <v>553</v>
      </c>
      <c r="Z720" s="4">
        <v>460</v>
      </c>
      <c r="AA720" s="4">
        <v>477</v>
      </c>
      <c r="AB720" s="4">
        <v>5</v>
      </c>
      <c r="AC720" s="4">
        <v>5</v>
      </c>
      <c r="AD720" s="4">
        <v>23</v>
      </c>
      <c r="AE720" s="4">
        <v>24</v>
      </c>
      <c r="AF720" s="4">
        <v>6</v>
      </c>
      <c r="AG720" s="4">
        <v>7</v>
      </c>
      <c r="AH720" s="4">
        <v>7</v>
      </c>
      <c r="AI720" s="4">
        <v>7</v>
      </c>
      <c r="AJ720" s="4">
        <v>13</v>
      </c>
      <c r="AK720" s="4">
        <v>13</v>
      </c>
      <c r="AL720" s="4">
        <v>3</v>
      </c>
      <c r="AM720" s="4">
        <v>3</v>
      </c>
      <c r="AN720" s="4">
        <v>0</v>
      </c>
      <c r="AO720" s="4">
        <v>0</v>
      </c>
      <c r="AP720" s="3" t="s">
        <v>59</v>
      </c>
      <c r="AQ720" s="3" t="s">
        <v>70</v>
      </c>
      <c r="AR720" s="6" t="str">
        <f>HYPERLINK("http://catalog.hathitrust.org/Record/000168183","HathiTrust Record")</f>
        <v>HathiTrust Record</v>
      </c>
      <c r="AS720" s="6" t="str">
        <f>HYPERLINK("https://creighton-primo.hosted.exlibrisgroup.com/primo-explore/search?tab=default_tab&amp;search_scope=EVERYTHING&amp;vid=01CRU&amp;lang=en_US&amp;offset=0&amp;query=any,contains,991001775119702656","Catalog Record")</f>
        <v>Catalog Record</v>
      </c>
      <c r="AT720" s="6" t="str">
        <f>HYPERLINK("http://www.worldcat.org/oclc/9971434","WorldCat Record")</f>
        <v>WorldCat Record</v>
      </c>
      <c r="AU720" s="3" t="s">
        <v>9189</v>
      </c>
      <c r="AV720" s="3" t="s">
        <v>9190</v>
      </c>
      <c r="AW720" s="3" t="s">
        <v>9191</v>
      </c>
      <c r="AX720" s="3" t="s">
        <v>9191</v>
      </c>
      <c r="AY720" s="3" t="s">
        <v>9192</v>
      </c>
      <c r="AZ720" s="3" t="s">
        <v>75</v>
      </c>
      <c r="BB720" s="3" t="s">
        <v>9193</v>
      </c>
      <c r="BC720" s="3" t="s">
        <v>9194</v>
      </c>
      <c r="BD720" s="3" t="s">
        <v>9195</v>
      </c>
    </row>
    <row r="721" spans="1:56" ht="48" customHeight="1" x14ac:dyDescent="0.25">
      <c r="A721" s="7" t="s">
        <v>59</v>
      </c>
      <c r="B721" s="2" t="s">
        <v>9196</v>
      </c>
      <c r="C721" s="2" t="s">
        <v>9197</v>
      </c>
      <c r="D721" s="2" t="s">
        <v>9198</v>
      </c>
      <c r="F721" s="3" t="s">
        <v>59</v>
      </c>
      <c r="G721" s="3" t="s">
        <v>60</v>
      </c>
      <c r="H721" s="3" t="s">
        <v>59</v>
      </c>
      <c r="I721" s="3" t="s">
        <v>59</v>
      </c>
      <c r="J721" s="3" t="s">
        <v>61</v>
      </c>
      <c r="K721" s="2" t="s">
        <v>9199</v>
      </c>
      <c r="L721" s="2" t="s">
        <v>9200</v>
      </c>
      <c r="M721" s="3" t="s">
        <v>1338</v>
      </c>
      <c r="O721" s="3" t="s">
        <v>64</v>
      </c>
      <c r="P721" s="3" t="s">
        <v>115</v>
      </c>
      <c r="R721" s="3" t="s">
        <v>67</v>
      </c>
      <c r="S721" s="4">
        <v>3</v>
      </c>
      <c r="T721" s="4">
        <v>3</v>
      </c>
      <c r="U721" s="5" t="s">
        <v>6264</v>
      </c>
      <c r="V721" s="5" t="s">
        <v>6264</v>
      </c>
      <c r="W721" s="5" t="s">
        <v>9201</v>
      </c>
      <c r="X721" s="5" t="s">
        <v>9201</v>
      </c>
      <c r="Y721" s="4">
        <v>370</v>
      </c>
      <c r="Z721" s="4">
        <v>282</v>
      </c>
      <c r="AA721" s="4">
        <v>362</v>
      </c>
      <c r="AB721" s="4">
        <v>2</v>
      </c>
      <c r="AC721" s="4">
        <v>2</v>
      </c>
      <c r="AD721" s="4">
        <v>9</v>
      </c>
      <c r="AE721" s="4">
        <v>11</v>
      </c>
      <c r="AF721" s="4">
        <v>5</v>
      </c>
      <c r="AG721" s="4">
        <v>5</v>
      </c>
      <c r="AH721" s="4">
        <v>0</v>
      </c>
      <c r="AI721" s="4">
        <v>2</v>
      </c>
      <c r="AJ721" s="4">
        <v>6</v>
      </c>
      <c r="AK721" s="4">
        <v>7</v>
      </c>
      <c r="AL721" s="4">
        <v>1</v>
      </c>
      <c r="AM721" s="4">
        <v>1</v>
      </c>
      <c r="AN721" s="4">
        <v>0</v>
      </c>
      <c r="AO721" s="4">
        <v>0</v>
      </c>
      <c r="AP721" s="3" t="s">
        <v>59</v>
      </c>
      <c r="AQ721" s="3" t="s">
        <v>70</v>
      </c>
      <c r="AR721" s="6" t="str">
        <f>HYPERLINK("http://catalog.hathitrust.org/Record/001555519","HathiTrust Record")</f>
        <v>HathiTrust Record</v>
      </c>
      <c r="AS721" s="6" t="str">
        <f>HYPERLINK("https://creighton-primo.hosted.exlibrisgroup.com/primo-explore/search?tab=default_tab&amp;search_scope=EVERYTHING&amp;vid=01CRU&amp;lang=en_US&amp;offset=0&amp;query=any,contains,991002709189702656","Catalog Record")</f>
        <v>Catalog Record</v>
      </c>
      <c r="AT721" s="6" t="str">
        <f>HYPERLINK("http://www.worldcat.org/oclc/408502","WorldCat Record")</f>
        <v>WorldCat Record</v>
      </c>
      <c r="AU721" s="3" t="s">
        <v>9202</v>
      </c>
      <c r="AV721" s="3" t="s">
        <v>9203</v>
      </c>
      <c r="AW721" s="3" t="s">
        <v>9204</v>
      </c>
      <c r="AX721" s="3" t="s">
        <v>9204</v>
      </c>
      <c r="AY721" s="3" t="s">
        <v>9205</v>
      </c>
      <c r="AZ721" s="3" t="s">
        <v>75</v>
      </c>
      <c r="BC721" s="3" t="s">
        <v>9206</v>
      </c>
      <c r="BD721" s="3" t="s">
        <v>9207</v>
      </c>
    </row>
    <row r="722" spans="1:56" ht="48" customHeight="1" x14ac:dyDescent="0.25">
      <c r="A722" s="7" t="s">
        <v>59</v>
      </c>
      <c r="B722" s="2" t="s">
        <v>9208</v>
      </c>
      <c r="C722" s="2" t="s">
        <v>9209</v>
      </c>
      <c r="D722" s="2" t="s">
        <v>9210</v>
      </c>
      <c r="F722" s="3" t="s">
        <v>59</v>
      </c>
      <c r="G722" s="3" t="s">
        <v>60</v>
      </c>
      <c r="H722" s="3" t="s">
        <v>59</v>
      </c>
      <c r="I722" s="3" t="s">
        <v>59</v>
      </c>
      <c r="J722" s="3" t="s">
        <v>61</v>
      </c>
      <c r="K722" s="2" t="s">
        <v>9211</v>
      </c>
      <c r="L722" s="2" t="s">
        <v>9212</v>
      </c>
      <c r="M722" s="3" t="s">
        <v>2680</v>
      </c>
      <c r="N722" s="2" t="s">
        <v>114</v>
      </c>
      <c r="O722" s="3" t="s">
        <v>64</v>
      </c>
      <c r="P722" s="3" t="s">
        <v>130</v>
      </c>
      <c r="R722" s="3" t="s">
        <v>67</v>
      </c>
      <c r="S722" s="4">
        <v>4</v>
      </c>
      <c r="T722" s="4">
        <v>4</v>
      </c>
      <c r="U722" s="5" t="s">
        <v>9213</v>
      </c>
      <c r="V722" s="5" t="s">
        <v>9213</v>
      </c>
      <c r="W722" s="5" t="s">
        <v>9214</v>
      </c>
      <c r="X722" s="5" t="s">
        <v>9214</v>
      </c>
      <c r="Y722" s="4">
        <v>581</v>
      </c>
      <c r="Z722" s="4">
        <v>438</v>
      </c>
      <c r="AA722" s="4">
        <v>799</v>
      </c>
      <c r="AB722" s="4">
        <v>4</v>
      </c>
      <c r="AC722" s="4">
        <v>29</v>
      </c>
      <c r="AD722" s="4">
        <v>25</v>
      </c>
      <c r="AE722" s="4">
        <v>43</v>
      </c>
      <c r="AF722" s="4">
        <v>9</v>
      </c>
      <c r="AG722" s="4">
        <v>13</v>
      </c>
      <c r="AH722" s="4">
        <v>10</v>
      </c>
      <c r="AI722" s="4">
        <v>10</v>
      </c>
      <c r="AJ722" s="4">
        <v>9</v>
      </c>
      <c r="AK722" s="4">
        <v>13</v>
      </c>
      <c r="AL722" s="4">
        <v>3</v>
      </c>
      <c r="AM722" s="4">
        <v>14</v>
      </c>
      <c r="AN722" s="4">
        <v>0</v>
      </c>
      <c r="AO722" s="4">
        <v>0</v>
      </c>
      <c r="AP722" s="3" t="s">
        <v>59</v>
      </c>
      <c r="AQ722" s="3" t="s">
        <v>59</v>
      </c>
      <c r="AS722" s="6" t="str">
        <f>HYPERLINK("https://creighton-primo.hosted.exlibrisgroup.com/primo-explore/search?tab=default_tab&amp;search_scope=EVERYTHING&amp;vid=01CRU&amp;lang=en_US&amp;offset=0&amp;query=any,contains,991003475509702656","Catalog Record")</f>
        <v>Catalog Record</v>
      </c>
      <c r="AT722" s="6" t="str">
        <f>HYPERLINK("http://www.worldcat.org/oclc/42619660","WorldCat Record")</f>
        <v>WorldCat Record</v>
      </c>
      <c r="AU722" s="3" t="s">
        <v>9215</v>
      </c>
      <c r="AV722" s="3" t="s">
        <v>9216</v>
      </c>
      <c r="AW722" s="3" t="s">
        <v>9217</v>
      </c>
      <c r="AX722" s="3" t="s">
        <v>9217</v>
      </c>
      <c r="AY722" s="3" t="s">
        <v>9218</v>
      </c>
      <c r="AZ722" s="3" t="s">
        <v>75</v>
      </c>
      <c r="BB722" s="3" t="s">
        <v>9219</v>
      </c>
      <c r="BC722" s="3" t="s">
        <v>9220</v>
      </c>
      <c r="BD722" s="3" t="s">
        <v>9221</v>
      </c>
    </row>
    <row r="723" spans="1:56" ht="48" customHeight="1" x14ac:dyDescent="0.25">
      <c r="A723" s="7" t="s">
        <v>59</v>
      </c>
      <c r="B723" s="2" t="s">
        <v>9222</v>
      </c>
      <c r="C723" s="2" t="s">
        <v>9223</v>
      </c>
      <c r="D723" s="2" t="s">
        <v>9224</v>
      </c>
      <c r="F723" s="3" t="s">
        <v>59</v>
      </c>
      <c r="G723" s="3" t="s">
        <v>60</v>
      </c>
      <c r="H723" s="3" t="s">
        <v>59</v>
      </c>
      <c r="I723" s="3" t="s">
        <v>70</v>
      </c>
      <c r="J723" s="3" t="s">
        <v>61</v>
      </c>
      <c r="K723" s="2" t="s">
        <v>9225</v>
      </c>
      <c r="L723" s="2" t="s">
        <v>9226</v>
      </c>
      <c r="M723" s="3" t="s">
        <v>911</v>
      </c>
      <c r="N723" s="2" t="s">
        <v>1945</v>
      </c>
      <c r="O723" s="3" t="s">
        <v>64</v>
      </c>
      <c r="P723" s="3" t="s">
        <v>130</v>
      </c>
      <c r="R723" s="3" t="s">
        <v>67</v>
      </c>
      <c r="S723" s="4">
        <v>3</v>
      </c>
      <c r="T723" s="4">
        <v>3</v>
      </c>
      <c r="U723" s="5" t="s">
        <v>9227</v>
      </c>
      <c r="V723" s="5" t="s">
        <v>9227</v>
      </c>
      <c r="W723" s="5" t="s">
        <v>9228</v>
      </c>
      <c r="X723" s="5" t="s">
        <v>9228</v>
      </c>
      <c r="Y723" s="4">
        <v>611</v>
      </c>
      <c r="Z723" s="4">
        <v>548</v>
      </c>
      <c r="AA723" s="4">
        <v>844</v>
      </c>
      <c r="AB723" s="4">
        <v>8</v>
      </c>
      <c r="AC723" s="4">
        <v>9</v>
      </c>
      <c r="AD723" s="4">
        <v>23</v>
      </c>
      <c r="AE723" s="4">
        <v>38</v>
      </c>
      <c r="AF723" s="4">
        <v>7</v>
      </c>
      <c r="AG723" s="4">
        <v>15</v>
      </c>
      <c r="AH723" s="4">
        <v>5</v>
      </c>
      <c r="AI723" s="4">
        <v>6</v>
      </c>
      <c r="AJ723" s="4">
        <v>11</v>
      </c>
      <c r="AK723" s="4">
        <v>20</v>
      </c>
      <c r="AL723" s="4">
        <v>7</v>
      </c>
      <c r="AM723" s="4">
        <v>7</v>
      </c>
      <c r="AN723" s="4">
        <v>0</v>
      </c>
      <c r="AO723" s="4">
        <v>0</v>
      </c>
      <c r="AP723" s="3" t="s">
        <v>59</v>
      </c>
      <c r="AQ723" s="3" t="s">
        <v>70</v>
      </c>
      <c r="AR723" s="6" t="str">
        <f>HYPERLINK("http://catalog.hathitrust.org/Record/001555527","HathiTrust Record")</f>
        <v>HathiTrust Record</v>
      </c>
      <c r="AS723" s="6" t="str">
        <f>HYPERLINK("https://creighton-primo.hosted.exlibrisgroup.com/primo-explore/search?tab=default_tab&amp;search_scope=EVERYTHING&amp;vid=01CRU&amp;lang=en_US&amp;offset=0&amp;query=any,contains,991002989639702656","Catalog Record")</f>
        <v>Catalog Record</v>
      </c>
      <c r="AT723" s="6" t="str">
        <f>HYPERLINK("http://www.worldcat.org/oclc/559791","WorldCat Record")</f>
        <v>WorldCat Record</v>
      </c>
      <c r="AU723" s="3" t="s">
        <v>9229</v>
      </c>
      <c r="AV723" s="3" t="s">
        <v>9230</v>
      </c>
      <c r="AW723" s="3" t="s">
        <v>9231</v>
      </c>
      <c r="AX723" s="3" t="s">
        <v>9231</v>
      </c>
      <c r="AY723" s="3" t="s">
        <v>9232</v>
      </c>
      <c r="AZ723" s="3" t="s">
        <v>75</v>
      </c>
      <c r="BC723" s="3" t="s">
        <v>9233</v>
      </c>
      <c r="BD723" s="3" t="s">
        <v>9234</v>
      </c>
    </row>
    <row r="724" spans="1:56" ht="48" customHeight="1" x14ac:dyDescent="0.25">
      <c r="A724" s="7" t="s">
        <v>59</v>
      </c>
      <c r="B724" s="2" t="s">
        <v>9235</v>
      </c>
      <c r="C724" s="2" t="s">
        <v>9236</v>
      </c>
      <c r="D724" s="2" t="s">
        <v>9237</v>
      </c>
      <c r="F724" s="3" t="s">
        <v>59</v>
      </c>
      <c r="G724" s="3" t="s">
        <v>60</v>
      </c>
      <c r="H724" s="3" t="s">
        <v>59</v>
      </c>
      <c r="I724" s="3" t="s">
        <v>59</v>
      </c>
      <c r="J724" s="3" t="s">
        <v>61</v>
      </c>
      <c r="K724" s="2" t="s">
        <v>9238</v>
      </c>
      <c r="L724" s="2" t="s">
        <v>9239</v>
      </c>
      <c r="M724" s="3" t="s">
        <v>248</v>
      </c>
      <c r="O724" s="3" t="s">
        <v>64</v>
      </c>
      <c r="P724" s="3" t="s">
        <v>130</v>
      </c>
      <c r="Q724" s="2" t="s">
        <v>9240</v>
      </c>
      <c r="R724" s="3" t="s">
        <v>67</v>
      </c>
      <c r="S724" s="4">
        <v>11</v>
      </c>
      <c r="T724" s="4">
        <v>11</v>
      </c>
      <c r="U724" s="5" t="s">
        <v>9241</v>
      </c>
      <c r="V724" s="5" t="s">
        <v>9241</v>
      </c>
      <c r="W724" s="5" t="s">
        <v>6862</v>
      </c>
      <c r="X724" s="5" t="s">
        <v>6862</v>
      </c>
      <c r="Y724" s="4">
        <v>535</v>
      </c>
      <c r="Z724" s="4">
        <v>401</v>
      </c>
      <c r="AA724" s="4">
        <v>710</v>
      </c>
      <c r="AB724" s="4">
        <v>2</v>
      </c>
      <c r="AC724" s="4">
        <v>5</v>
      </c>
      <c r="AD724" s="4">
        <v>13</v>
      </c>
      <c r="AE724" s="4">
        <v>29</v>
      </c>
      <c r="AF724" s="4">
        <v>6</v>
      </c>
      <c r="AG724" s="4">
        <v>12</v>
      </c>
      <c r="AH724" s="4">
        <v>1</v>
      </c>
      <c r="AI724" s="4">
        <v>6</v>
      </c>
      <c r="AJ724" s="4">
        <v>9</v>
      </c>
      <c r="AK724" s="4">
        <v>16</v>
      </c>
      <c r="AL724" s="4">
        <v>1</v>
      </c>
      <c r="AM724" s="4">
        <v>4</v>
      </c>
      <c r="AN724" s="4">
        <v>0</v>
      </c>
      <c r="AO724" s="4">
        <v>0</v>
      </c>
      <c r="AP724" s="3" t="s">
        <v>59</v>
      </c>
      <c r="AQ724" s="3" t="s">
        <v>70</v>
      </c>
      <c r="AR724" s="6" t="str">
        <f>HYPERLINK("http://catalog.hathitrust.org/Record/006247712","HathiTrust Record")</f>
        <v>HathiTrust Record</v>
      </c>
      <c r="AS724" s="6" t="str">
        <f>HYPERLINK("https://creighton-primo.hosted.exlibrisgroup.com/primo-explore/search?tab=default_tab&amp;search_scope=EVERYTHING&amp;vid=01CRU&amp;lang=en_US&amp;offset=0&amp;query=any,contains,991004960609702656","Catalog Record")</f>
        <v>Catalog Record</v>
      </c>
      <c r="AT724" s="6" t="str">
        <f>HYPERLINK("http://www.worldcat.org/oclc/6304744","WorldCat Record")</f>
        <v>WorldCat Record</v>
      </c>
      <c r="AU724" s="3" t="s">
        <v>9242</v>
      </c>
      <c r="AV724" s="3" t="s">
        <v>9243</v>
      </c>
      <c r="AW724" s="3" t="s">
        <v>9244</v>
      </c>
      <c r="AX724" s="3" t="s">
        <v>9244</v>
      </c>
      <c r="AY724" s="3" t="s">
        <v>9245</v>
      </c>
      <c r="AZ724" s="3" t="s">
        <v>75</v>
      </c>
      <c r="BC724" s="3" t="s">
        <v>9246</v>
      </c>
      <c r="BD724" s="3" t="s">
        <v>9247</v>
      </c>
    </row>
    <row r="725" spans="1:56" ht="48" customHeight="1" x14ac:dyDescent="0.25">
      <c r="A725" s="7" t="s">
        <v>59</v>
      </c>
      <c r="B725" s="2" t="s">
        <v>9248</v>
      </c>
      <c r="C725" s="2" t="s">
        <v>9249</v>
      </c>
      <c r="D725" s="2" t="s">
        <v>9250</v>
      </c>
      <c r="F725" s="3" t="s">
        <v>59</v>
      </c>
      <c r="G725" s="3" t="s">
        <v>60</v>
      </c>
      <c r="H725" s="3" t="s">
        <v>59</v>
      </c>
      <c r="I725" s="3" t="s">
        <v>59</v>
      </c>
      <c r="J725" s="3" t="s">
        <v>61</v>
      </c>
      <c r="L725" s="2" t="s">
        <v>9251</v>
      </c>
      <c r="M725" s="3" t="s">
        <v>219</v>
      </c>
      <c r="N725" s="2" t="s">
        <v>114</v>
      </c>
      <c r="O725" s="3" t="s">
        <v>64</v>
      </c>
      <c r="P725" s="3" t="s">
        <v>84</v>
      </c>
      <c r="R725" s="3" t="s">
        <v>67</v>
      </c>
      <c r="S725" s="4">
        <v>9</v>
      </c>
      <c r="T725" s="4">
        <v>9</v>
      </c>
      <c r="U725" s="5" t="s">
        <v>9252</v>
      </c>
      <c r="V725" s="5" t="s">
        <v>9252</v>
      </c>
      <c r="W725" s="5" t="s">
        <v>1523</v>
      </c>
      <c r="X725" s="5" t="s">
        <v>1523</v>
      </c>
      <c r="Y725" s="4">
        <v>288</v>
      </c>
      <c r="Z725" s="4">
        <v>181</v>
      </c>
      <c r="AA725" s="4">
        <v>309</v>
      </c>
      <c r="AB725" s="4">
        <v>1</v>
      </c>
      <c r="AC725" s="4">
        <v>2</v>
      </c>
      <c r="AD725" s="4">
        <v>6</v>
      </c>
      <c r="AE725" s="4">
        <v>11</v>
      </c>
      <c r="AF725" s="4">
        <v>3</v>
      </c>
      <c r="AG725" s="4">
        <v>3</v>
      </c>
      <c r="AH725" s="4">
        <v>3</v>
      </c>
      <c r="AI725" s="4">
        <v>6</v>
      </c>
      <c r="AJ725" s="4">
        <v>2</v>
      </c>
      <c r="AK725" s="4">
        <v>5</v>
      </c>
      <c r="AL725" s="4">
        <v>0</v>
      </c>
      <c r="AM725" s="4">
        <v>1</v>
      </c>
      <c r="AN725" s="4">
        <v>0</v>
      </c>
      <c r="AO725" s="4">
        <v>0</v>
      </c>
      <c r="AP725" s="3" t="s">
        <v>59</v>
      </c>
      <c r="AQ725" s="3" t="s">
        <v>59</v>
      </c>
      <c r="AS725" s="6" t="str">
        <f>HYPERLINK("https://creighton-primo.hosted.exlibrisgroup.com/primo-explore/search?tab=default_tab&amp;search_scope=EVERYTHING&amp;vid=01CRU&amp;lang=en_US&amp;offset=0&amp;query=any,contains,991001563149702656","Catalog Record")</f>
        <v>Catalog Record</v>
      </c>
      <c r="AT725" s="6" t="str">
        <f>HYPERLINK("http://www.worldcat.org/oclc/20318756","WorldCat Record")</f>
        <v>WorldCat Record</v>
      </c>
      <c r="AU725" s="3" t="s">
        <v>9253</v>
      </c>
      <c r="AV725" s="3" t="s">
        <v>9254</v>
      </c>
      <c r="AW725" s="3" t="s">
        <v>9255</v>
      </c>
      <c r="AX725" s="3" t="s">
        <v>9255</v>
      </c>
      <c r="AY725" s="3" t="s">
        <v>9256</v>
      </c>
      <c r="AZ725" s="3" t="s">
        <v>75</v>
      </c>
      <c r="BB725" s="3" t="s">
        <v>9257</v>
      </c>
      <c r="BC725" s="3" t="s">
        <v>9258</v>
      </c>
      <c r="BD725" s="3" t="s">
        <v>9259</v>
      </c>
    </row>
    <row r="726" spans="1:56" ht="48" customHeight="1" x14ac:dyDescent="0.25">
      <c r="A726" s="7" t="s">
        <v>59</v>
      </c>
      <c r="B726" s="2" t="s">
        <v>9260</v>
      </c>
      <c r="C726" s="2" t="s">
        <v>9261</v>
      </c>
      <c r="D726" s="2" t="s">
        <v>9262</v>
      </c>
      <c r="E726" s="3" t="s">
        <v>6546</v>
      </c>
      <c r="F726" s="3" t="s">
        <v>70</v>
      </c>
      <c r="G726" s="3" t="s">
        <v>60</v>
      </c>
      <c r="H726" s="3" t="s">
        <v>59</v>
      </c>
      <c r="I726" s="3" t="s">
        <v>59</v>
      </c>
      <c r="J726" s="3" t="s">
        <v>61</v>
      </c>
      <c r="L726" s="2" t="s">
        <v>9263</v>
      </c>
      <c r="M726" s="3" t="s">
        <v>7248</v>
      </c>
      <c r="N726" s="2" t="s">
        <v>9264</v>
      </c>
      <c r="O726" s="3" t="s">
        <v>64</v>
      </c>
      <c r="P726" s="3" t="s">
        <v>130</v>
      </c>
      <c r="R726" s="3" t="s">
        <v>67</v>
      </c>
      <c r="S726" s="4">
        <v>0</v>
      </c>
      <c r="T726" s="4">
        <v>7</v>
      </c>
      <c r="V726" s="5" t="s">
        <v>9157</v>
      </c>
      <c r="W726" s="5" t="s">
        <v>9171</v>
      </c>
      <c r="X726" s="5" t="s">
        <v>9171</v>
      </c>
      <c r="Y726" s="4">
        <v>527</v>
      </c>
      <c r="Z726" s="4">
        <v>436</v>
      </c>
      <c r="AA726" s="4">
        <v>444</v>
      </c>
      <c r="AB726" s="4">
        <v>4</v>
      </c>
      <c r="AC726" s="4">
        <v>4</v>
      </c>
      <c r="AD726" s="4">
        <v>18</v>
      </c>
      <c r="AE726" s="4">
        <v>18</v>
      </c>
      <c r="AF726" s="4">
        <v>9</v>
      </c>
      <c r="AG726" s="4">
        <v>9</v>
      </c>
      <c r="AH726" s="4">
        <v>3</v>
      </c>
      <c r="AI726" s="4">
        <v>3</v>
      </c>
      <c r="AJ726" s="4">
        <v>9</v>
      </c>
      <c r="AK726" s="4">
        <v>9</v>
      </c>
      <c r="AL726" s="4">
        <v>3</v>
      </c>
      <c r="AM726" s="4">
        <v>3</v>
      </c>
      <c r="AN726" s="4">
        <v>0</v>
      </c>
      <c r="AO726" s="4">
        <v>0</v>
      </c>
      <c r="AP726" s="3" t="s">
        <v>59</v>
      </c>
      <c r="AQ726" s="3" t="s">
        <v>70</v>
      </c>
      <c r="AR726" s="6" t="str">
        <f t="shared" ref="AR726:AR732" si="0">HYPERLINK("http://catalog.hathitrust.org/Record/001555532","HathiTrust Record")</f>
        <v>HathiTrust Record</v>
      </c>
      <c r="AS726" s="6" t="str">
        <f t="shared" ref="AS726:AS732" si="1">HYPERLINK("https://creighton-primo.hosted.exlibrisgroup.com/primo-explore/search?tab=default_tab&amp;search_scope=EVERYTHING&amp;vid=01CRU&amp;lang=en_US&amp;offset=0&amp;query=any,contains,991002990189702656","Catalog Record")</f>
        <v>Catalog Record</v>
      </c>
      <c r="AT726" s="6" t="str">
        <f t="shared" ref="AT726:AT732" si="2">HYPERLINK("http://www.worldcat.org/oclc/560195","WorldCat Record")</f>
        <v>WorldCat Record</v>
      </c>
      <c r="AU726" s="3" t="s">
        <v>9265</v>
      </c>
      <c r="AV726" s="3" t="s">
        <v>9266</v>
      </c>
      <c r="AW726" s="3" t="s">
        <v>9267</v>
      </c>
      <c r="AX726" s="3" t="s">
        <v>9267</v>
      </c>
      <c r="AY726" s="3" t="s">
        <v>9268</v>
      </c>
      <c r="AZ726" s="3" t="s">
        <v>75</v>
      </c>
      <c r="BC726" s="3" t="s">
        <v>9269</v>
      </c>
      <c r="BD726" s="3" t="s">
        <v>9270</v>
      </c>
    </row>
    <row r="727" spans="1:56" ht="48" customHeight="1" x14ac:dyDescent="0.25">
      <c r="A727" s="7" t="s">
        <v>59</v>
      </c>
      <c r="B727" s="2" t="s">
        <v>9260</v>
      </c>
      <c r="C727" s="2" t="s">
        <v>9261</v>
      </c>
      <c r="D727" s="2" t="s">
        <v>9262</v>
      </c>
      <c r="E727" s="3" t="s">
        <v>9271</v>
      </c>
      <c r="F727" s="3" t="s">
        <v>70</v>
      </c>
      <c r="G727" s="3" t="s">
        <v>60</v>
      </c>
      <c r="H727" s="3" t="s">
        <v>59</v>
      </c>
      <c r="I727" s="3" t="s">
        <v>59</v>
      </c>
      <c r="J727" s="3" t="s">
        <v>61</v>
      </c>
      <c r="L727" s="2" t="s">
        <v>9263</v>
      </c>
      <c r="M727" s="3" t="s">
        <v>7248</v>
      </c>
      <c r="N727" s="2" t="s">
        <v>9264</v>
      </c>
      <c r="O727" s="3" t="s">
        <v>64</v>
      </c>
      <c r="P727" s="3" t="s">
        <v>130</v>
      </c>
      <c r="R727" s="3" t="s">
        <v>67</v>
      </c>
      <c r="S727" s="4">
        <v>0</v>
      </c>
      <c r="T727" s="4">
        <v>7</v>
      </c>
      <c r="V727" s="5" t="s">
        <v>9157</v>
      </c>
      <c r="W727" s="5" t="s">
        <v>9171</v>
      </c>
      <c r="X727" s="5" t="s">
        <v>9171</v>
      </c>
      <c r="Y727" s="4">
        <v>527</v>
      </c>
      <c r="Z727" s="4">
        <v>436</v>
      </c>
      <c r="AA727" s="4">
        <v>444</v>
      </c>
      <c r="AB727" s="4">
        <v>4</v>
      </c>
      <c r="AC727" s="4">
        <v>4</v>
      </c>
      <c r="AD727" s="4">
        <v>18</v>
      </c>
      <c r="AE727" s="4">
        <v>18</v>
      </c>
      <c r="AF727" s="4">
        <v>9</v>
      </c>
      <c r="AG727" s="4">
        <v>9</v>
      </c>
      <c r="AH727" s="4">
        <v>3</v>
      </c>
      <c r="AI727" s="4">
        <v>3</v>
      </c>
      <c r="AJ727" s="4">
        <v>9</v>
      </c>
      <c r="AK727" s="4">
        <v>9</v>
      </c>
      <c r="AL727" s="4">
        <v>3</v>
      </c>
      <c r="AM727" s="4">
        <v>3</v>
      </c>
      <c r="AN727" s="4">
        <v>0</v>
      </c>
      <c r="AO727" s="4">
        <v>0</v>
      </c>
      <c r="AP727" s="3" t="s">
        <v>59</v>
      </c>
      <c r="AQ727" s="3" t="s">
        <v>70</v>
      </c>
      <c r="AR727" s="6" t="str">
        <f t="shared" si="0"/>
        <v>HathiTrust Record</v>
      </c>
      <c r="AS727" s="6" t="str">
        <f t="shared" si="1"/>
        <v>Catalog Record</v>
      </c>
      <c r="AT727" s="6" t="str">
        <f t="shared" si="2"/>
        <v>WorldCat Record</v>
      </c>
      <c r="AU727" s="3" t="s">
        <v>9265</v>
      </c>
      <c r="AV727" s="3" t="s">
        <v>9266</v>
      </c>
      <c r="AW727" s="3" t="s">
        <v>9267</v>
      </c>
      <c r="AX727" s="3" t="s">
        <v>9267</v>
      </c>
      <c r="AY727" s="3" t="s">
        <v>9268</v>
      </c>
      <c r="AZ727" s="3" t="s">
        <v>75</v>
      </c>
      <c r="BC727" s="3" t="s">
        <v>9272</v>
      </c>
      <c r="BD727" s="3" t="s">
        <v>9273</v>
      </c>
    </row>
    <row r="728" spans="1:56" ht="48" customHeight="1" x14ac:dyDescent="0.25">
      <c r="A728" s="7" t="s">
        <v>59</v>
      </c>
      <c r="B728" s="2" t="s">
        <v>9260</v>
      </c>
      <c r="C728" s="2" t="s">
        <v>9261</v>
      </c>
      <c r="D728" s="2" t="s">
        <v>9262</v>
      </c>
      <c r="E728" s="3" t="s">
        <v>4727</v>
      </c>
      <c r="F728" s="3" t="s">
        <v>70</v>
      </c>
      <c r="G728" s="3" t="s">
        <v>60</v>
      </c>
      <c r="H728" s="3" t="s">
        <v>59</v>
      </c>
      <c r="I728" s="3" t="s">
        <v>59</v>
      </c>
      <c r="J728" s="3" t="s">
        <v>61</v>
      </c>
      <c r="L728" s="2" t="s">
        <v>9263</v>
      </c>
      <c r="M728" s="3" t="s">
        <v>7248</v>
      </c>
      <c r="N728" s="2" t="s">
        <v>9264</v>
      </c>
      <c r="O728" s="3" t="s">
        <v>64</v>
      </c>
      <c r="P728" s="3" t="s">
        <v>130</v>
      </c>
      <c r="R728" s="3" t="s">
        <v>67</v>
      </c>
      <c r="S728" s="4">
        <v>0</v>
      </c>
      <c r="T728" s="4">
        <v>7</v>
      </c>
      <c r="V728" s="5" t="s">
        <v>9157</v>
      </c>
      <c r="W728" s="5" t="s">
        <v>9171</v>
      </c>
      <c r="X728" s="5" t="s">
        <v>9171</v>
      </c>
      <c r="Y728" s="4">
        <v>527</v>
      </c>
      <c r="Z728" s="4">
        <v>436</v>
      </c>
      <c r="AA728" s="4">
        <v>444</v>
      </c>
      <c r="AB728" s="4">
        <v>4</v>
      </c>
      <c r="AC728" s="4">
        <v>4</v>
      </c>
      <c r="AD728" s="4">
        <v>18</v>
      </c>
      <c r="AE728" s="4">
        <v>18</v>
      </c>
      <c r="AF728" s="4">
        <v>9</v>
      </c>
      <c r="AG728" s="4">
        <v>9</v>
      </c>
      <c r="AH728" s="4">
        <v>3</v>
      </c>
      <c r="AI728" s="4">
        <v>3</v>
      </c>
      <c r="AJ728" s="4">
        <v>9</v>
      </c>
      <c r="AK728" s="4">
        <v>9</v>
      </c>
      <c r="AL728" s="4">
        <v>3</v>
      </c>
      <c r="AM728" s="4">
        <v>3</v>
      </c>
      <c r="AN728" s="4">
        <v>0</v>
      </c>
      <c r="AO728" s="4">
        <v>0</v>
      </c>
      <c r="AP728" s="3" t="s">
        <v>59</v>
      </c>
      <c r="AQ728" s="3" t="s">
        <v>70</v>
      </c>
      <c r="AR728" s="6" t="str">
        <f t="shared" si="0"/>
        <v>HathiTrust Record</v>
      </c>
      <c r="AS728" s="6" t="str">
        <f t="shared" si="1"/>
        <v>Catalog Record</v>
      </c>
      <c r="AT728" s="6" t="str">
        <f t="shared" si="2"/>
        <v>WorldCat Record</v>
      </c>
      <c r="AU728" s="3" t="s">
        <v>9265</v>
      </c>
      <c r="AV728" s="3" t="s">
        <v>9266</v>
      </c>
      <c r="AW728" s="3" t="s">
        <v>9267</v>
      </c>
      <c r="AX728" s="3" t="s">
        <v>9267</v>
      </c>
      <c r="AY728" s="3" t="s">
        <v>9268</v>
      </c>
      <c r="AZ728" s="3" t="s">
        <v>75</v>
      </c>
      <c r="BC728" s="3" t="s">
        <v>9274</v>
      </c>
      <c r="BD728" s="3" t="s">
        <v>9275</v>
      </c>
    </row>
    <row r="729" spans="1:56" ht="48" customHeight="1" x14ac:dyDescent="0.25">
      <c r="A729" s="7" t="s">
        <v>59</v>
      </c>
      <c r="B729" s="2" t="s">
        <v>9260</v>
      </c>
      <c r="C729" s="2" t="s">
        <v>9261</v>
      </c>
      <c r="D729" s="2" t="s">
        <v>9262</v>
      </c>
      <c r="E729" s="3" t="s">
        <v>1470</v>
      </c>
      <c r="F729" s="3" t="s">
        <v>70</v>
      </c>
      <c r="G729" s="3" t="s">
        <v>60</v>
      </c>
      <c r="H729" s="3" t="s">
        <v>59</v>
      </c>
      <c r="I729" s="3" t="s">
        <v>59</v>
      </c>
      <c r="J729" s="3" t="s">
        <v>61</v>
      </c>
      <c r="L729" s="2" t="s">
        <v>9263</v>
      </c>
      <c r="M729" s="3" t="s">
        <v>7248</v>
      </c>
      <c r="N729" s="2" t="s">
        <v>9264</v>
      </c>
      <c r="O729" s="3" t="s">
        <v>64</v>
      </c>
      <c r="P729" s="3" t="s">
        <v>130</v>
      </c>
      <c r="R729" s="3" t="s">
        <v>67</v>
      </c>
      <c r="S729" s="4">
        <v>0</v>
      </c>
      <c r="T729" s="4">
        <v>7</v>
      </c>
      <c r="V729" s="5" t="s">
        <v>9157</v>
      </c>
      <c r="W729" s="5" t="s">
        <v>9171</v>
      </c>
      <c r="X729" s="5" t="s">
        <v>9171</v>
      </c>
      <c r="Y729" s="4">
        <v>527</v>
      </c>
      <c r="Z729" s="4">
        <v>436</v>
      </c>
      <c r="AA729" s="4">
        <v>444</v>
      </c>
      <c r="AB729" s="4">
        <v>4</v>
      </c>
      <c r="AC729" s="4">
        <v>4</v>
      </c>
      <c r="AD729" s="4">
        <v>18</v>
      </c>
      <c r="AE729" s="4">
        <v>18</v>
      </c>
      <c r="AF729" s="4">
        <v>9</v>
      </c>
      <c r="AG729" s="4">
        <v>9</v>
      </c>
      <c r="AH729" s="4">
        <v>3</v>
      </c>
      <c r="AI729" s="4">
        <v>3</v>
      </c>
      <c r="AJ729" s="4">
        <v>9</v>
      </c>
      <c r="AK729" s="4">
        <v>9</v>
      </c>
      <c r="AL729" s="4">
        <v>3</v>
      </c>
      <c r="AM729" s="4">
        <v>3</v>
      </c>
      <c r="AN729" s="4">
        <v>0</v>
      </c>
      <c r="AO729" s="4">
        <v>0</v>
      </c>
      <c r="AP729" s="3" t="s">
        <v>59</v>
      </c>
      <c r="AQ729" s="3" t="s">
        <v>70</v>
      </c>
      <c r="AR729" s="6" t="str">
        <f t="shared" si="0"/>
        <v>HathiTrust Record</v>
      </c>
      <c r="AS729" s="6" t="str">
        <f t="shared" si="1"/>
        <v>Catalog Record</v>
      </c>
      <c r="AT729" s="6" t="str">
        <f t="shared" si="2"/>
        <v>WorldCat Record</v>
      </c>
      <c r="AU729" s="3" t="s">
        <v>9265</v>
      </c>
      <c r="AV729" s="3" t="s">
        <v>9266</v>
      </c>
      <c r="AW729" s="3" t="s">
        <v>9267</v>
      </c>
      <c r="AX729" s="3" t="s">
        <v>9267</v>
      </c>
      <c r="AY729" s="3" t="s">
        <v>9268</v>
      </c>
      <c r="AZ729" s="3" t="s">
        <v>75</v>
      </c>
      <c r="BC729" s="3" t="s">
        <v>9276</v>
      </c>
      <c r="BD729" s="3" t="s">
        <v>9277</v>
      </c>
    </row>
    <row r="730" spans="1:56" ht="48" customHeight="1" x14ac:dyDescent="0.25">
      <c r="A730" s="7" t="s">
        <v>59</v>
      </c>
      <c r="B730" s="2" t="s">
        <v>9260</v>
      </c>
      <c r="C730" s="2" t="s">
        <v>9261</v>
      </c>
      <c r="D730" s="2" t="s">
        <v>9262</v>
      </c>
      <c r="E730" s="3" t="s">
        <v>723</v>
      </c>
      <c r="F730" s="3" t="s">
        <v>70</v>
      </c>
      <c r="G730" s="3" t="s">
        <v>60</v>
      </c>
      <c r="H730" s="3" t="s">
        <v>59</v>
      </c>
      <c r="I730" s="3" t="s">
        <v>59</v>
      </c>
      <c r="J730" s="3" t="s">
        <v>61</v>
      </c>
      <c r="L730" s="2" t="s">
        <v>9263</v>
      </c>
      <c r="M730" s="3" t="s">
        <v>7248</v>
      </c>
      <c r="N730" s="2" t="s">
        <v>9264</v>
      </c>
      <c r="O730" s="3" t="s">
        <v>64</v>
      </c>
      <c r="P730" s="3" t="s">
        <v>130</v>
      </c>
      <c r="R730" s="3" t="s">
        <v>67</v>
      </c>
      <c r="S730" s="4">
        <v>2</v>
      </c>
      <c r="T730" s="4">
        <v>7</v>
      </c>
      <c r="U730" s="5" t="s">
        <v>8085</v>
      </c>
      <c r="V730" s="5" t="s">
        <v>9157</v>
      </c>
      <c r="W730" s="5" t="s">
        <v>9171</v>
      </c>
      <c r="X730" s="5" t="s">
        <v>9171</v>
      </c>
      <c r="Y730" s="4">
        <v>527</v>
      </c>
      <c r="Z730" s="4">
        <v>436</v>
      </c>
      <c r="AA730" s="4">
        <v>444</v>
      </c>
      <c r="AB730" s="4">
        <v>4</v>
      </c>
      <c r="AC730" s="4">
        <v>4</v>
      </c>
      <c r="AD730" s="4">
        <v>18</v>
      </c>
      <c r="AE730" s="4">
        <v>18</v>
      </c>
      <c r="AF730" s="4">
        <v>9</v>
      </c>
      <c r="AG730" s="4">
        <v>9</v>
      </c>
      <c r="AH730" s="4">
        <v>3</v>
      </c>
      <c r="AI730" s="4">
        <v>3</v>
      </c>
      <c r="AJ730" s="4">
        <v>9</v>
      </c>
      <c r="AK730" s="4">
        <v>9</v>
      </c>
      <c r="AL730" s="4">
        <v>3</v>
      </c>
      <c r="AM730" s="4">
        <v>3</v>
      </c>
      <c r="AN730" s="4">
        <v>0</v>
      </c>
      <c r="AO730" s="4">
        <v>0</v>
      </c>
      <c r="AP730" s="3" t="s">
        <v>59</v>
      </c>
      <c r="AQ730" s="3" t="s">
        <v>70</v>
      </c>
      <c r="AR730" s="6" t="str">
        <f t="shared" si="0"/>
        <v>HathiTrust Record</v>
      </c>
      <c r="AS730" s="6" t="str">
        <f t="shared" si="1"/>
        <v>Catalog Record</v>
      </c>
      <c r="AT730" s="6" t="str">
        <f t="shared" si="2"/>
        <v>WorldCat Record</v>
      </c>
      <c r="AU730" s="3" t="s">
        <v>9265</v>
      </c>
      <c r="AV730" s="3" t="s">
        <v>9266</v>
      </c>
      <c r="AW730" s="3" t="s">
        <v>9267</v>
      </c>
      <c r="AX730" s="3" t="s">
        <v>9267</v>
      </c>
      <c r="AY730" s="3" t="s">
        <v>9268</v>
      </c>
      <c r="AZ730" s="3" t="s">
        <v>75</v>
      </c>
      <c r="BC730" s="3" t="s">
        <v>9278</v>
      </c>
      <c r="BD730" s="3" t="s">
        <v>9279</v>
      </c>
    </row>
    <row r="731" spans="1:56" ht="48" customHeight="1" x14ac:dyDescent="0.25">
      <c r="A731" s="7" t="s">
        <v>59</v>
      </c>
      <c r="B731" s="2" t="s">
        <v>9260</v>
      </c>
      <c r="C731" s="2" t="s">
        <v>9261</v>
      </c>
      <c r="D731" s="2" t="s">
        <v>9262</v>
      </c>
      <c r="E731" s="3" t="s">
        <v>713</v>
      </c>
      <c r="F731" s="3" t="s">
        <v>70</v>
      </c>
      <c r="G731" s="3" t="s">
        <v>60</v>
      </c>
      <c r="H731" s="3" t="s">
        <v>59</v>
      </c>
      <c r="I731" s="3" t="s">
        <v>59</v>
      </c>
      <c r="J731" s="3" t="s">
        <v>61</v>
      </c>
      <c r="L731" s="2" t="s">
        <v>9263</v>
      </c>
      <c r="M731" s="3" t="s">
        <v>7248</v>
      </c>
      <c r="N731" s="2" t="s">
        <v>9264</v>
      </c>
      <c r="O731" s="3" t="s">
        <v>64</v>
      </c>
      <c r="P731" s="3" t="s">
        <v>130</v>
      </c>
      <c r="R731" s="3" t="s">
        <v>67</v>
      </c>
      <c r="S731" s="4">
        <v>0</v>
      </c>
      <c r="T731" s="4">
        <v>7</v>
      </c>
      <c r="V731" s="5" t="s">
        <v>9157</v>
      </c>
      <c r="W731" s="5" t="s">
        <v>9171</v>
      </c>
      <c r="X731" s="5" t="s">
        <v>9171</v>
      </c>
      <c r="Y731" s="4">
        <v>527</v>
      </c>
      <c r="Z731" s="4">
        <v>436</v>
      </c>
      <c r="AA731" s="4">
        <v>444</v>
      </c>
      <c r="AB731" s="4">
        <v>4</v>
      </c>
      <c r="AC731" s="4">
        <v>4</v>
      </c>
      <c r="AD731" s="4">
        <v>18</v>
      </c>
      <c r="AE731" s="4">
        <v>18</v>
      </c>
      <c r="AF731" s="4">
        <v>9</v>
      </c>
      <c r="AG731" s="4">
        <v>9</v>
      </c>
      <c r="AH731" s="4">
        <v>3</v>
      </c>
      <c r="AI731" s="4">
        <v>3</v>
      </c>
      <c r="AJ731" s="4">
        <v>9</v>
      </c>
      <c r="AK731" s="4">
        <v>9</v>
      </c>
      <c r="AL731" s="4">
        <v>3</v>
      </c>
      <c r="AM731" s="4">
        <v>3</v>
      </c>
      <c r="AN731" s="4">
        <v>0</v>
      </c>
      <c r="AO731" s="4">
        <v>0</v>
      </c>
      <c r="AP731" s="3" t="s">
        <v>59</v>
      </c>
      <c r="AQ731" s="3" t="s">
        <v>70</v>
      </c>
      <c r="AR731" s="6" t="str">
        <f t="shared" si="0"/>
        <v>HathiTrust Record</v>
      </c>
      <c r="AS731" s="6" t="str">
        <f t="shared" si="1"/>
        <v>Catalog Record</v>
      </c>
      <c r="AT731" s="6" t="str">
        <f t="shared" si="2"/>
        <v>WorldCat Record</v>
      </c>
      <c r="AU731" s="3" t="s">
        <v>9265</v>
      </c>
      <c r="AV731" s="3" t="s">
        <v>9266</v>
      </c>
      <c r="AW731" s="3" t="s">
        <v>9267</v>
      </c>
      <c r="AX731" s="3" t="s">
        <v>9267</v>
      </c>
      <c r="AY731" s="3" t="s">
        <v>9268</v>
      </c>
      <c r="AZ731" s="3" t="s">
        <v>75</v>
      </c>
      <c r="BC731" s="3" t="s">
        <v>9280</v>
      </c>
      <c r="BD731" s="3" t="s">
        <v>9281</v>
      </c>
    </row>
    <row r="732" spans="1:56" ht="48" customHeight="1" x14ac:dyDescent="0.25">
      <c r="A732" s="7" t="s">
        <v>59</v>
      </c>
      <c r="B732" s="2" t="s">
        <v>9260</v>
      </c>
      <c r="C732" s="2" t="s">
        <v>9261</v>
      </c>
      <c r="D732" s="2" t="s">
        <v>9262</v>
      </c>
      <c r="E732" s="3" t="s">
        <v>9282</v>
      </c>
      <c r="F732" s="3" t="s">
        <v>70</v>
      </c>
      <c r="G732" s="3" t="s">
        <v>60</v>
      </c>
      <c r="H732" s="3" t="s">
        <v>59</v>
      </c>
      <c r="I732" s="3" t="s">
        <v>59</v>
      </c>
      <c r="J732" s="3" t="s">
        <v>61</v>
      </c>
      <c r="L732" s="2" t="s">
        <v>9263</v>
      </c>
      <c r="M732" s="3" t="s">
        <v>7248</v>
      </c>
      <c r="N732" s="2" t="s">
        <v>9264</v>
      </c>
      <c r="O732" s="3" t="s">
        <v>64</v>
      </c>
      <c r="P732" s="3" t="s">
        <v>130</v>
      </c>
      <c r="R732" s="3" t="s">
        <v>67</v>
      </c>
      <c r="S732" s="4">
        <v>5</v>
      </c>
      <c r="T732" s="4">
        <v>7</v>
      </c>
      <c r="U732" s="5" t="s">
        <v>9157</v>
      </c>
      <c r="V732" s="5" t="s">
        <v>9157</v>
      </c>
      <c r="W732" s="5" t="s">
        <v>9171</v>
      </c>
      <c r="X732" s="5" t="s">
        <v>9171</v>
      </c>
      <c r="Y732" s="4">
        <v>527</v>
      </c>
      <c r="Z732" s="4">
        <v>436</v>
      </c>
      <c r="AA732" s="4">
        <v>444</v>
      </c>
      <c r="AB732" s="4">
        <v>4</v>
      </c>
      <c r="AC732" s="4">
        <v>4</v>
      </c>
      <c r="AD732" s="4">
        <v>18</v>
      </c>
      <c r="AE732" s="4">
        <v>18</v>
      </c>
      <c r="AF732" s="4">
        <v>9</v>
      </c>
      <c r="AG732" s="4">
        <v>9</v>
      </c>
      <c r="AH732" s="4">
        <v>3</v>
      </c>
      <c r="AI732" s="4">
        <v>3</v>
      </c>
      <c r="AJ732" s="4">
        <v>9</v>
      </c>
      <c r="AK732" s="4">
        <v>9</v>
      </c>
      <c r="AL732" s="4">
        <v>3</v>
      </c>
      <c r="AM732" s="4">
        <v>3</v>
      </c>
      <c r="AN732" s="4">
        <v>0</v>
      </c>
      <c r="AO732" s="4">
        <v>0</v>
      </c>
      <c r="AP732" s="3" t="s">
        <v>59</v>
      </c>
      <c r="AQ732" s="3" t="s">
        <v>70</v>
      </c>
      <c r="AR732" s="6" t="str">
        <f t="shared" si="0"/>
        <v>HathiTrust Record</v>
      </c>
      <c r="AS732" s="6" t="str">
        <f t="shared" si="1"/>
        <v>Catalog Record</v>
      </c>
      <c r="AT732" s="6" t="str">
        <f t="shared" si="2"/>
        <v>WorldCat Record</v>
      </c>
      <c r="AU732" s="3" t="s">
        <v>9265</v>
      </c>
      <c r="AV732" s="3" t="s">
        <v>9266</v>
      </c>
      <c r="AW732" s="3" t="s">
        <v>9267</v>
      </c>
      <c r="AX732" s="3" t="s">
        <v>9267</v>
      </c>
      <c r="AY732" s="3" t="s">
        <v>9268</v>
      </c>
      <c r="AZ732" s="3" t="s">
        <v>75</v>
      </c>
      <c r="BC732" s="3" t="s">
        <v>9283</v>
      </c>
      <c r="BD732" s="3" t="s">
        <v>9284</v>
      </c>
    </row>
    <row r="733" spans="1:56" ht="48" customHeight="1" x14ac:dyDescent="0.25">
      <c r="A733" s="7" t="s">
        <v>59</v>
      </c>
      <c r="B733" s="2" t="s">
        <v>9285</v>
      </c>
      <c r="C733" s="2" t="s">
        <v>9286</v>
      </c>
      <c r="D733" s="2" t="s">
        <v>9287</v>
      </c>
      <c r="F733" s="3" t="s">
        <v>59</v>
      </c>
      <c r="G733" s="3" t="s">
        <v>60</v>
      </c>
      <c r="H733" s="3" t="s">
        <v>59</v>
      </c>
      <c r="I733" s="3" t="s">
        <v>59</v>
      </c>
      <c r="J733" s="3" t="s">
        <v>61</v>
      </c>
      <c r="K733" s="2" t="s">
        <v>9288</v>
      </c>
      <c r="L733" s="2" t="s">
        <v>9289</v>
      </c>
      <c r="M733" s="3" t="s">
        <v>872</v>
      </c>
      <c r="O733" s="3" t="s">
        <v>64</v>
      </c>
      <c r="P733" s="3" t="s">
        <v>9290</v>
      </c>
      <c r="Q733" s="2" t="s">
        <v>9291</v>
      </c>
      <c r="R733" s="3" t="s">
        <v>67</v>
      </c>
      <c r="S733" s="4">
        <v>2</v>
      </c>
      <c r="T733" s="4">
        <v>2</v>
      </c>
      <c r="U733" s="5" t="s">
        <v>9188</v>
      </c>
      <c r="V733" s="5" t="s">
        <v>9188</v>
      </c>
      <c r="W733" s="5" t="s">
        <v>9292</v>
      </c>
      <c r="X733" s="5" t="s">
        <v>9292</v>
      </c>
      <c r="Y733" s="4">
        <v>312</v>
      </c>
      <c r="Z733" s="4">
        <v>234</v>
      </c>
      <c r="AA733" s="4">
        <v>239</v>
      </c>
      <c r="AB733" s="4">
        <v>2</v>
      </c>
      <c r="AC733" s="4">
        <v>2</v>
      </c>
      <c r="AD733" s="4">
        <v>8</v>
      </c>
      <c r="AE733" s="4">
        <v>8</v>
      </c>
      <c r="AF733" s="4">
        <v>3</v>
      </c>
      <c r="AG733" s="4">
        <v>3</v>
      </c>
      <c r="AH733" s="4">
        <v>3</v>
      </c>
      <c r="AI733" s="4">
        <v>3</v>
      </c>
      <c r="AJ733" s="4">
        <v>2</v>
      </c>
      <c r="AK733" s="4">
        <v>2</v>
      </c>
      <c r="AL733" s="4">
        <v>1</v>
      </c>
      <c r="AM733" s="4">
        <v>1</v>
      </c>
      <c r="AN733" s="4">
        <v>1</v>
      </c>
      <c r="AO733" s="4">
        <v>1</v>
      </c>
      <c r="AP733" s="3" t="s">
        <v>59</v>
      </c>
      <c r="AQ733" s="3" t="s">
        <v>70</v>
      </c>
      <c r="AR733" s="6" t="str">
        <f>HYPERLINK("http://catalog.hathitrust.org/Record/001555540","HathiTrust Record")</f>
        <v>HathiTrust Record</v>
      </c>
      <c r="AS733" s="6" t="str">
        <f>HYPERLINK("https://creighton-primo.hosted.exlibrisgroup.com/primo-explore/search?tab=default_tab&amp;search_scope=EVERYTHING&amp;vid=01CRU&amp;lang=en_US&amp;offset=0&amp;query=any,contains,991002807209702656","Catalog Record")</f>
        <v>Catalog Record</v>
      </c>
      <c r="AT733" s="6" t="str">
        <f>HYPERLINK("http://www.worldcat.org/oclc/449996","WorldCat Record")</f>
        <v>WorldCat Record</v>
      </c>
      <c r="AU733" s="3" t="s">
        <v>9293</v>
      </c>
      <c r="AV733" s="3" t="s">
        <v>9294</v>
      </c>
      <c r="AW733" s="3" t="s">
        <v>9295</v>
      </c>
      <c r="AX733" s="3" t="s">
        <v>9295</v>
      </c>
      <c r="AY733" s="3" t="s">
        <v>9296</v>
      </c>
      <c r="AZ733" s="3" t="s">
        <v>75</v>
      </c>
      <c r="BC733" s="3" t="s">
        <v>9297</v>
      </c>
      <c r="BD733" s="3" t="s">
        <v>9298</v>
      </c>
    </row>
    <row r="734" spans="1:56" ht="48" customHeight="1" x14ac:dyDescent="0.25">
      <c r="A734" s="7" t="s">
        <v>59</v>
      </c>
      <c r="B734" s="2" t="s">
        <v>9299</v>
      </c>
      <c r="C734" s="2" t="s">
        <v>9300</v>
      </c>
      <c r="D734" s="2" t="s">
        <v>9301</v>
      </c>
      <c r="F734" s="3" t="s">
        <v>59</v>
      </c>
      <c r="G734" s="3" t="s">
        <v>60</v>
      </c>
      <c r="H734" s="3" t="s">
        <v>59</v>
      </c>
      <c r="I734" s="3" t="s">
        <v>59</v>
      </c>
      <c r="J734" s="3" t="s">
        <v>61</v>
      </c>
      <c r="K734" s="2" t="s">
        <v>9288</v>
      </c>
      <c r="L734" s="2" t="s">
        <v>9302</v>
      </c>
      <c r="M734" s="3" t="s">
        <v>376</v>
      </c>
      <c r="O734" s="3" t="s">
        <v>64</v>
      </c>
      <c r="P734" s="3" t="s">
        <v>1257</v>
      </c>
      <c r="Q734" s="2" t="s">
        <v>9303</v>
      </c>
      <c r="R734" s="3" t="s">
        <v>67</v>
      </c>
      <c r="S734" s="4">
        <v>2</v>
      </c>
      <c r="T734" s="4">
        <v>2</v>
      </c>
      <c r="U734" s="5" t="s">
        <v>9304</v>
      </c>
      <c r="V734" s="5" t="s">
        <v>9304</v>
      </c>
      <c r="W734" s="5" t="s">
        <v>9292</v>
      </c>
      <c r="X734" s="5" t="s">
        <v>9292</v>
      </c>
      <c r="Y734" s="4">
        <v>250</v>
      </c>
      <c r="Z734" s="4">
        <v>181</v>
      </c>
      <c r="AA734" s="4">
        <v>189</v>
      </c>
      <c r="AB734" s="4">
        <v>2</v>
      </c>
      <c r="AC734" s="4">
        <v>2</v>
      </c>
      <c r="AD734" s="4">
        <v>3</v>
      </c>
      <c r="AE734" s="4">
        <v>3</v>
      </c>
      <c r="AF734" s="4">
        <v>0</v>
      </c>
      <c r="AG734" s="4">
        <v>0</v>
      </c>
      <c r="AH734" s="4">
        <v>1</v>
      </c>
      <c r="AI734" s="4">
        <v>1</v>
      </c>
      <c r="AJ734" s="4">
        <v>1</v>
      </c>
      <c r="AK734" s="4">
        <v>1</v>
      </c>
      <c r="AL734" s="4">
        <v>1</v>
      </c>
      <c r="AM734" s="4">
        <v>1</v>
      </c>
      <c r="AN734" s="4">
        <v>0</v>
      </c>
      <c r="AO734" s="4">
        <v>0</v>
      </c>
      <c r="AP734" s="3" t="s">
        <v>59</v>
      </c>
      <c r="AQ734" s="3" t="s">
        <v>70</v>
      </c>
      <c r="AR734" s="6" t="str">
        <f>HYPERLINK("http://catalog.hathitrust.org/Record/001555537","HathiTrust Record")</f>
        <v>HathiTrust Record</v>
      </c>
      <c r="AS734" s="6" t="str">
        <f>HYPERLINK("https://creighton-primo.hosted.exlibrisgroup.com/primo-explore/search?tab=default_tab&amp;search_scope=EVERYTHING&amp;vid=01CRU&amp;lang=en_US&amp;offset=0&amp;query=any,contains,991003122909702656","Catalog Record")</f>
        <v>Catalog Record</v>
      </c>
      <c r="AT734" s="6" t="str">
        <f>HYPERLINK("http://www.worldcat.org/oclc/668196","WorldCat Record")</f>
        <v>WorldCat Record</v>
      </c>
      <c r="AU734" s="3" t="s">
        <v>9305</v>
      </c>
      <c r="AV734" s="3" t="s">
        <v>9306</v>
      </c>
      <c r="AW734" s="3" t="s">
        <v>9307</v>
      </c>
      <c r="AX734" s="3" t="s">
        <v>9307</v>
      </c>
      <c r="AY734" s="3" t="s">
        <v>9308</v>
      </c>
      <c r="AZ734" s="3" t="s">
        <v>75</v>
      </c>
      <c r="BB734" s="3" t="s">
        <v>9309</v>
      </c>
      <c r="BC734" s="3" t="s">
        <v>9310</v>
      </c>
      <c r="BD734" s="3" t="s">
        <v>9311</v>
      </c>
    </row>
    <row r="735" spans="1:56" ht="48" customHeight="1" x14ac:dyDescent="0.25">
      <c r="A735" s="7" t="s">
        <v>59</v>
      </c>
      <c r="B735" s="2" t="s">
        <v>9312</v>
      </c>
      <c r="C735" s="2" t="s">
        <v>9313</v>
      </c>
      <c r="D735" s="2" t="s">
        <v>9314</v>
      </c>
      <c r="F735" s="3" t="s">
        <v>59</v>
      </c>
      <c r="G735" s="3" t="s">
        <v>60</v>
      </c>
      <c r="H735" s="3" t="s">
        <v>70</v>
      </c>
      <c r="I735" s="3" t="s">
        <v>59</v>
      </c>
      <c r="J735" s="3" t="s">
        <v>61</v>
      </c>
      <c r="K735" s="2" t="s">
        <v>9315</v>
      </c>
      <c r="L735" s="2" t="s">
        <v>4107</v>
      </c>
      <c r="M735" s="3" t="s">
        <v>333</v>
      </c>
      <c r="N735" s="2" t="s">
        <v>114</v>
      </c>
      <c r="O735" s="3" t="s">
        <v>64</v>
      </c>
      <c r="P735" s="3" t="s">
        <v>130</v>
      </c>
      <c r="R735" s="3" t="s">
        <v>67</v>
      </c>
      <c r="S735" s="4">
        <v>15</v>
      </c>
      <c r="T735" s="4">
        <v>15</v>
      </c>
      <c r="U735" s="5" t="s">
        <v>9157</v>
      </c>
      <c r="V735" s="5" t="s">
        <v>9157</v>
      </c>
      <c r="W735" s="5" t="s">
        <v>9316</v>
      </c>
      <c r="X735" s="5" t="s">
        <v>9316</v>
      </c>
      <c r="Y735" s="4">
        <v>730</v>
      </c>
      <c r="Z735" s="4">
        <v>518</v>
      </c>
      <c r="AA735" s="4">
        <v>823</v>
      </c>
      <c r="AB735" s="4">
        <v>3</v>
      </c>
      <c r="AC735" s="4">
        <v>7</v>
      </c>
      <c r="AD735" s="4">
        <v>20</v>
      </c>
      <c r="AE735" s="4">
        <v>36</v>
      </c>
      <c r="AF735" s="4">
        <v>7</v>
      </c>
      <c r="AG735" s="4">
        <v>14</v>
      </c>
      <c r="AH735" s="4">
        <v>4</v>
      </c>
      <c r="AI735" s="4">
        <v>8</v>
      </c>
      <c r="AJ735" s="4">
        <v>12</v>
      </c>
      <c r="AK735" s="4">
        <v>20</v>
      </c>
      <c r="AL735" s="4">
        <v>1</v>
      </c>
      <c r="AM735" s="4">
        <v>5</v>
      </c>
      <c r="AN735" s="4">
        <v>0</v>
      </c>
      <c r="AO735" s="4">
        <v>0</v>
      </c>
      <c r="AP735" s="3" t="s">
        <v>59</v>
      </c>
      <c r="AQ735" s="3" t="s">
        <v>59</v>
      </c>
      <c r="AS735" s="6" t="str">
        <f>HYPERLINK("https://creighton-primo.hosted.exlibrisgroup.com/primo-explore/search?tab=default_tab&amp;search_scope=EVERYTHING&amp;vid=01CRU&amp;lang=en_US&amp;offset=0&amp;query=any,contains,991000382589702656","Catalog Record")</f>
        <v>Catalog Record</v>
      </c>
      <c r="AT735" s="6" t="str">
        <f>HYPERLINK("http://www.worldcat.org/oclc/10505784","WorldCat Record")</f>
        <v>WorldCat Record</v>
      </c>
      <c r="AU735" s="3" t="s">
        <v>9317</v>
      </c>
      <c r="AV735" s="3" t="s">
        <v>9318</v>
      </c>
      <c r="AW735" s="3" t="s">
        <v>9319</v>
      </c>
      <c r="AX735" s="3" t="s">
        <v>9319</v>
      </c>
      <c r="AY735" s="3" t="s">
        <v>9320</v>
      </c>
      <c r="AZ735" s="3" t="s">
        <v>75</v>
      </c>
      <c r="BB735" s="3" t="s">
        <v>9321</v>
      </c>
      <c r="BC735" s="3" t="s">
        <v>9322</v>
      </c>
      <c r="BD735" s="3" t="s">
        <v>9323</v>
      </c>
    </row>
    <row r="736" spans="1:56" ht="48" customHeight="1" x14ac:dyDescent="0.25">
      <c r="A736" s="7" t="s">
        <v>59</v>
      </c>
      <c r="B736" s="2" t="s">
        <v>9324</v>
      </c>
      <c r="C736" s="2" t="s">
        <v>9325</v>
      </c>
      <c r="D736" s="2" t="s">
        <v>9326</v>
      </c>
      <c r="F736" s="3" t="s">
        <v>59</v>
      </c>
      <c r="G736" s="3" t="s">
        <v>60</v>
      </c>
      <c r="H736" s="3" t="s">
        <v>59</v>
      </c>
      <c r="I736" s="3" t="s">
        <v>59</v>
      </c>
      <c r="J736" s="3" t="s">
        <v>61</v>
      </c>
      <c r="K736" s="2" t="s">
        <v>9327</v>
      </c>
      <c r="L736" s="2" t="s">
        <v>9328</v>
      </c>
      <c r="M736" s="3" t="s">
        <v>485</v>
      </c>
      <c r="O736" s="3" t="s">
        <v>64</v>
      </c>
      <c r="P736" s="3" t="s">
        <v>4208</v>
      </c>
      <c r="R736" s="3" t="s">
        <v>67</v>
      </c>
      <c r="S736" s="4">
        <v>4</v>
      </c>
      <c r="T736" s="4">
        <v>4</v>
      </c>
      <c r="U736" s="5" t="s">
        <v>9329</v>
      </c>
      <c r="V736" s="5" t="s">
        <v>9329</v>
      </c>
      <c r="W736" s="5" t="s">
        <v>6862</v>
      </c>
      <c r="X736" s="5" t="s">
        <v>6862</v>
      </c>
      <c r="Y736" s="4">
        <v>286</v>
      </c>
      <c r="Z736" s="4">
        <v>201</v>
      </c>
      <c r="AA736" s="4">
        <v>203</v>
      </c>
      <c r="AB736" s="4">
        <v>2</v>
      </c>
      <c r="AC736" s="4">
        <v>2</v>
      </c>
      <c r="AD736" s="4">
        <v>4</v>
      </c>
      <c r="AE736" s="4">
        <v>4</v>
      </c>
      <c r="AF736" s="4">
        <v>1</v>
      </c>
      <c r="AG736" s="4">
        <v>1</v>
      </c>
      <c r="AH736" s="4">
        <v>2</v>
      </c>
      <c r="AI736" s="4">
        <v>2</v>
      </c>
      <c r="AJ736" s="4">
        <v>1</v>
      </c>
      <c r="AK736" s="4">
        <v>1</v>
      </c>
      <c r="AL736" s="4">
        <v>1</v>
      </c>
      <c r="AM736" s="4">
        <v>1</v>
      </c>
      <c r="AN736" s="4">
        <v>0</v>
      </c>
      <c r="AO736" s="4">
        <v>0</v>
      </c>
      <c r="AP736" s="3" t="s">
        <v>59</v>
      </c>
      <c r="AQ736" s="3" t="s">
        <v>70</v>
      </c>
      <c r="AR736" s="6" t="str">
        <f>HYPERLINK("http://catalog.hathitrust.org/Record/000692166","HathiTrust Record")</f>
        <v>HathiTrust Record</v>
      </c>
      <c r="AS736" s="6" t="str">
        <f>HYPERLINK("https://creighton-primo.hosted.exlibrisgroup.com/primo-explore/search?tab=default_tab&amp;search_scope=EVERYTHING&amp;vid=01CRU&amp;lang=en_US&amp;offset=0&amp;query=any,contains,991004816649702656","Catalog Record")</f>
        <v>Catalog Record</v>
      </c>
      <c r="AT736" s="6" t="str">
        <f>HYPERLINK("http://www.worldcat.org/oclc/5310683","WorldCat Record")</f>
        <v>WorldCat Record</v>
      </c>
      <c r="AU736" s="3" t="s">
        <v>9330</v>
      </c>
      <c r="AV736" s="3" t="s">
        <v>9331</v>
      </c>
      <c r="AW736" s="3" t="s">
        <v>9332</v>
      </c>
      <c r="AX736" s="3" t="s">
        <v>9332</v>
      </c>
      <c r="AY736" s="3" t="s">
        <v>9333</v>
      </c>
      <c r="AZ736" s="3" t="s">
        <v>75</v>
      </c>
      <c r="BB736" s="3" t="s">
        <v>9334</v>
      </c>
      <c r="BC736" s="3" t="s">
        <v>9335</v>
      </c>
      <c r="BD736" s="3" t="s">
        <v>9336</v>
      </c>
    </row>
    <row r="737" spans="1:56" ht="48" customHeight="1" x14ac:dyDescent="0.25">
      <c r="A737" s="7" t="s">
        <v>59</v>
      </c>
      <c r="B737" s="2" t="s">
        <v>9337</v>
      </c>
      <c r="C737" s="2" t="s">
        <v>9338</v>
      </c>
      <c r="D737" s="2" t="s">
        <v>9339</v>
      </c>
      <c r="F737" s="3" t="s">
        <v>59</v>
      </c>
      <c r="G737" s="3" t="s">
        <v>60</v>
      </c>
      <c r="H737" s="3" t="s">
        <v>59</v>
      </c>
      <c r="I737" s="3" t="s">
        <v>59</v>
      </c>
      <c r="J737" s="3" t="s">
        <v>61</v>
      </c>
      <c r="K737" s="2" t="s">
        <v>9340</v>
      </c>
      <c r="L737" s="2" t="s">
        <v>9341</v>
      </c>
      <c r="M737" s="3" t="s">
        <v>6695</v>
      </c>
      <c r="O737" s="3" t="s">
        <v>64</v>
      </c>
      <c r="P737" s="3" t="s">
        <v>1257</v>
      </c>
      <c r="R737" s="3" t="s">
        <v>67</v>
      </c>
      <c r="S737" s="4">
        <v>2</v>
      </c>
      <c r="T737" s="4">
        <v>2</v>
      </c>
      <c r="U737" s="5" t="s">
        <v>9342</v>
      </c>
      <c r="V737" s="5" t="s">
        <v>9342</v>
      </c>
      <c r="W737" s="5" t="s">
        <v>9171</v>
      </c>
      <c r="X737" s="5" t="s">
        <v>9171</v>
      </c>
      <c r="Y737" s="4">
        <v>229</v>
      </c>
      <c r="Z737" s="4">
        <v>187</v>
      </c>
      <c r="AA737" s="4">
        <v>190</v>
      </c>
      <c r="AB737" s="4">
        <v>2</v>
      </c>
      <c r="AC737" s="4">
        <v>2</v>
      </c>
      <c r="AD737" s="4">
        <v>4</v>
      </c>
      <c r="AE737" s="4">
        <v>4</v>
      </c>
      <c r="AF737" s="4">
        <v>0</v>
      </c>
      <c r="AG737" s="4">
        <v>0</v>
      </c>
      <c r="AH737" s="4">
        <v>1</v>
      </c>
      <c r="AI737" s="4">
        <v>1</v>
      </c>
      <c r="AJ737" s="4">
        <v>3</v>
      </c>
      <c r="AK737" s="4">
        <v>3</v>
      </c>
      <c r="AL737" s="4">
        <v>1</v>
      </c>
      <c r="AM737" s="4">
        <v>1</v>
      </c>
      <c r="AN737" s="4">
        <v>0</v>
      </c>
      <c r="AO737" s="4">
        <v>0</v>
      </c>
      <c r="AP737" s="3" t="s">
        <v>59</v>
      </c>
      <c r="AQ737" s="3" t="s">
        <v>70</v>
      </c>
      <c r="AR737" s="6" t="str">
        <f>HYPERLINK("http://catalog.hathitrust.org/Record/001555554","HathiTrust Record")</f>
        <v>HathiTrust Record</v>
      </c>
      <c r="AS737" s="6" t="str">
        <f>HYPERLINK("https://creighton-primo.hosted.exlibrisgroup.com/primo-explore/search?tab=default_tab&amp;search_scope=EVERYTHING&amp;vid=01CRU&amp;lang=en_US&amp;offset=0&amp;query=any,contains,991001633179702656","Catalog Record")</f>
        <v>Catalog Record</v>
      </c>
      <c r="AT737" s="6" t="str">
        <f>HYPERLINK("http://www.worldcat.org/oclc/233672","WorldCat Record")</f>
        <v>WorldCat Record</v>
      </c>
      <c r="AU737" s="3" t="s">
        <v>9343</v>
      </c>
      <c r="AV737" s="3" t="s">
        <v>9344</v>
      </c>
      <c r="AW737" s="3" t="s">
        <v>9345</v>
      </c>
      <c r="AX737" s="3" t="s">
        <v>9345</v>
      </c>
      <c r="AY737" s="3" t="s">
        <v>9346</v>
      </c>
      <c r="AZ737" s="3" t="s">
        <v>75</v>
      </c>
      <c r="BC737" s="3" t="s">
        <v>9347</v>
      </c>
      <c r="BD737" s="3" t="s">
        <v>9348</v>
      </c>
    </row>
    <row r="738" spans="1:56" ht="48" customHeight="1" x14ac:dyDescent="0.25">
      <c r="A738" s="7" t="s">
        <v>59</v>
      </c>
      <c r="B738" s="2" t="s">
        <v>9349</v>
      </c>
      <c r="C738" s="2" t="s">
        <v>9350</v>
      </c>
      <c r="D738" s="2" t="s">
        <v>9351</v>
      </c>
      <c r="F738" s="3" t="s">
        <v>59</v>
      </c>
      <c r="G738" s="3" t="s">
        <v>60</v>
      </c>
      <c r="H738" s="3" t="s">
        <v>59</v>
      </c>
      <c r="I738" s="3" t="s">
        <v>59</v>
      </c>
      <c r="J738" s="3" t="s">
        <v>61</v>
      </c>
      <c r="K738" s="2" t="s">
        <v>9352</v>
      </c>
      <c r="L738" s="2" t="s">
        <v>9353</v>
      </c>
      <c r="M738" s="3" t="s">
        <v>2389</v>
      </c>
      <c r="O738" s="3" t="s">
        <v>64</v>
      </c>
      <c r="P738" s="3" t="s">
        <v>130</v>
      </c>
      <c r="R738" s="3" t="s">
        <v>67</v>
      </c>
      <c r="S738" s="4">
        <v>8</v>
      </c>
      <c r="T738" s="4">
        <v>8</v>
      </c>
      <c r="U738" s="5" t="s">
        <v>9354</v>
      </c>
      <c r="V738" s="5" t="s">
        <v>9354</v>
      </c>
      <c r="W738" s="5" t="s">
        <v>9355</v>
      </c>
      <c r="X738" s="5" t="s">
        <v>9355</v>
      </c>
      <c r="Y738" s="4">
        <v>593</v>
      </c>
      <c r="Z738" s="4">
        <v>552</v>
      </c>
      <c r="AA738" s="4">
        <v>559</v>
      </c>
      <c r="AB738" s="4">
        <v>4</v>
      </c>
      <c r="AC738" s="4">
        <v>4</v>
      </c>
      <c r="AD738" s="4">
        <v>10</v>
      </c>
      <c r="AE738" s="4">
        <v>10</v>
      </c>
      <c r="AF738" s="4">
        <v>4</v>
      </c>
      <c r="AG738" s="4">
        <v>4</v>
      </c>
      <c r="AH738" s="4">
        <v>2</v>
      </c>
      <c r="AI738" s="4">
        <v>2</v>
      </c>
      <c r="AJ738" s="4">
        <v>5</v>
      </c>
      <c r="AK738" s="4">
        <v>5</v>
      </c>
      <c r="AL738" s="4">
        <v>2</v>
      </c>
      <c r="AM738" s="4">
        <v>2</v>
      </c>
      <c r="AN738" s="4">
        <v>0</v>
      </c>
      <c r="AO738" s="4">
        <v>0</v>
      </c>
      <c r="AP738" s="3" t="s">
        <v>59</v>
      </c>
      <c r="AQ738" s="3" t="s">
        <v>70</v>
      </c>
      <c r="AR738" s="6" t="str">
        <f>HYPERLINK("http://catalog.hathitrust.org/Record/001555565","HathiTrust Record")</f>
        <v>HathiTrust Record</v>
      </c>
      <c r="AS738" s="6" t="str">
        <f>HYPERLINK("https://creighton-primo.hosted.exlibrisgroup.com/primo-explore/search?tab=default_tab&amp;search_scope=EVERYTHING&amp;vid=01CRU&amp;lang=en_US&amp;offset=0&amp;query=any,contains,991002991819702656","Catalog Record")</f>
        <v>Catalog Record</v>
      </c>
      <c r="AT738" s="6" t="str">
        <f>HYPERLINK("http://www.worldcat.org/oclc/561126","WorldCat Record")</f>
        <v>WorldCat Record</v>
      </c>
      <c r="AU738" s="3" t="s">
        <v>9356</v>
      </c>
      <c r="AV738" s="3" t="s">
        <v>9357</v>
      </c>
      <c r="AW738" s="3" t="s">
        <v>9358</v>
      </c>
      <c r="AX738" s="3" t="s">
        <v>9358</v>
      </c>
      <c r="AY738" s="3" t="s">
        <v>9359</v>
      </c>
      <c r="AZ738" s="3" t="s">
        <v>75</v>
      </c>
      <c r="BC738" s="3" t="s">
        <v>9360</v>
      </c>
      <c r="BD738" s="3" t="s">
        <v>9361</v>
      </c>
    </row>
    <row r="739" spans="1:56" ht="48" customHeight="1" x14ac:dyDescent="0.25">
      <c r="A739" s="7" t="s">
        <v>59</v>
      </c>
      <c r="B739" s="2" t="s">
        <v>9362</v>
      </c>
      <c r="C739" s="2" t="s">
        <v>9363</v>
      </c>
      <c r="D739" s="2" t="s">
        <v>9364</v>
      </c>
      <c r="F739" s="3" t="s">
        <v>59</v>
      </c>
      <c r="G739" s="3" t="s">
        <v>60</v>
      </c>
      <c r="H739" s="3" t="s">
        <v>59</v>
      </c>
      <c r="I739" s="3" t="s">
        <v>59</v>
      </c>
      <c r="J739" s="3" t="s">
        <v>61</v>
      </c>
      <c r="K739" s="2" t="s">
        <v>9365</v>
      </c>
      <c r="L739" s="2" t="s">
        <v>9366</v>
      </c>
      <c r="M739" s="3" t="s">
        <v>519</v>
      </c>
      <c r="O739" s="3" t="s">
        <v>64</v>
      </c>
      <c r="P739" s="3" t="s">
        <v>191</v>
      </c>
      <c r="R739" s="3" t="s">
        <v>67</v>
      </c>
      <c r="S739" s="4">
        <v>3</v>
      </c>
      <c r="T739" s="4">
        <v>3</v>
      </c>
      <c r="U739" s="5" t="s">
        <v>9367</v>
      </c>
      <c r="V739" s="5" t="s">
        <v>9367</v>
      </c>
      <c r="W739" s="5" t="s">
        <v>9368</v>
      </c>
      <c r="X739" s="5" t="s">
        <v>9368</v>
      </c>
      <c r="Y739" s="4">
        <v>286</v>
      </c>
      <c r="Z739" s="4">
        <v>216</v>
      </c>
      <c r="AA739" s="4">
        <v>297</v>
      </c>
      <c r="AB739" s="4">
        <v>3</v>
      </c>
      <c r="AC739" s="4">
        <v>3</v>
      </c>
      <c r="AD739" s="4">
        <v>7</v>
      </c>
      <c r="AE739" s="4">
        <v>10</v>
      </c>
      <c r="AF739" s="4">
        <v>1</v>
      </c>
      <c r="AG739" s="4">
        <v>2</v>
      </c>
      <c r="AH739" s="4">
        <v>2</v>
      </c>
      <c r="AI739" s="4">
        <v>3</v>
      </c>
      <c r="AJ739" s="4">
        <v>3</v>
      </c>
      <c r="AK739" s="4">
        <v>6</v>
      </c>
      <c r="AL739" s="4">
        <v>2</v>
      </c>
      <c r="AM739" s="4">
        <v>2</v>
      </c>
      <c r="AN739" s="4">
        <v>0</v>
      </c>
      <c r="AO739" s="4">
        <v>0</v>
      </c>
      <c r="AP739" s="3" t="s">
        <v>59</v>
      </c>
      <c r="AQ739" s="3" t="s">
        <v>59</v>
      </c>
      <c r="AS739" s="6" t="str">
        <f>HYPERLINK("https://creighton-primo.hosted.exlibrisgroup.com/primo-explore/search?tab=default_tab&amp;search_scope=EVERYTHING&amp;vid=01CRU&amp;lang=en_US&amp;offset=0&amp;query=any,contains,991002324569702656","Catalog Record")</f>
        <v>Catalog Record</v>
      </c>
      <c r="AT739" s="6" t="str">
        <f>HYPERLINK("http://www.worldcat.org/oclc/30155176","WorldCat Record")</f>
        <v>WorldCat Record</v>
      </c>
      <c r="AU739" s="3" t="s">
        <v>9369</v>
      </c>
      <c r="AV739" s="3" t="s">
        <v>9370</v>
      </c>
      <c r="AW739" s="3" t="s">
        <v>9371</v>
      </c>
      <c r="AX739" s="3" t="s">
        <v>9371</v>
      </c>
      <c r="AY739" s="3" t="s">
        <v>9372</v>
      </c>
      <c r="AZ739" s="3" t="s">
        <v>75</v>
      </c>
      <c r="BB739" s="3" t="s">
        <v>9373</v>
      </c>
      <c r="BC739" s="3" t="s">
        <v>9374</v>
      </c>
      <c r="BD739" s="3" t="s">
        <v>9375</v>
      </c>
    </row>
    <row r="740" spans="1:56" ht="48" customHeight="1" x14ac:dyDescent="0.25">
      <c r="A740" s="7" t="s">
        <v>59</v>
      </c>
      <c r="B740" s="2" t="s">
        <v>9376</v>
      </c>
      <c r="C740" s="2" t="s">
        <v>9377</v>
      </c>
      <c r="D740" s="2" t="s">
        <v>9378</v>
      </c>
      <c r="F740" s="3" t="s">
        <v>59</v>
      </c>
      <c r="G740" s="3" t="s">
        <v>60</v>
      </c>
      <c r="H740" s="3" t="s">
        <v>59</v>
      </c>
      <c r="I740" s="3" t="s">
        <v>59</v>
      </c>
      <c r="J740" s="3" t="s">
        <v>61</v>
      </c>
      <c r="K740" s="2" t="s">
        <v>9379</v>
      </c>
      <c r="L740" s="2" t="s">
        <v>9380</v>
      </c>
      <c r="M740" s="3" t="s">
        <v>63</v>
      </c>
      <c r="O740" s="3" t="s">
        <v>64</v>
      </c>
      <c r="P740" s="3" t="s">
        <v>84</v>
      </c>
      <c r="R740" s="3" t="s">
        <v>67</v>
      </c>
      <c r="S740" s="4">
        <v>5</v>
      </c>
      <c r="T740" s="4">
        <v>5</v>
      </c>
      <c r="U740" s="5" t="s">
        <v>9381</v>
      </c>
      <c r="V740" s="5" t="s">
        <v>9381</v>
      </c>
      <c r="W740" s="5" t="s">
        <v>6862</v>
      </c>
      <c r="X740" s="5" t="s">
        <v>6862</v>
      </c>
      <c r="Y740" s="4">
        <v>432</v>
      </c>
      <c r="Z740" s="4">
        <v>298</v>
      </c>
      <c r="AA740" s="4">
        <v>304</v>
      </c>
      <c r="AB740" s="4">
        <v>2</v>
      </c>
      <c r="AC740" s="4">
        <v>2</v>
      </c>
      <c r="AD740" s="4">
        <v>11</v>
      </c>
      <c r="AE740" s="4">
        <v>11</v>
      </c>
      <c r="AF740" s="4">
        <v>4</v>
      </c>
      <c r="AG740" s="4">
        <v>4</v>
      </c>
      <c r="AH740" s="4">
        <v>4</v>
      </c>
      <c r="AI740" s="4">
        <v>4</v>
      </c>
      <c r="AJ740" s="4">
        <v>6</v>
      </c>
      <c r="AK740" s="4">
        <v>6</v>
      </c>
      <c r="AL740" s="4">
        <v>1</v>
      </c>
      <c r="AM740" s="4">
        <v>1</v>
      </c>
      <c r="AN740" s="4">
        <v>0</v>
      </c>
      <c r="AO740" s="4">
        <v>0</v>
      </c>
      <c r="AP740" s="3" t="s">
        <v>59</v>
      </c>
      <c r="AQ740" s="3" t="s">
        <v>70</v>
      </c>
      <c r="AR740" s="6" t="str">
        <f>HYPERLINK("http://catalog.hathitrust.org/Record/000131105","HathiTrust Record")</f>
        <v>HathiTrust Record</v>
      </c>
      <c r="AS740" s="6" t="str">
        <f>HYPERLINK("https://creighton-primo.hosted.exlibrisgroup.com/primo-explore/search?tab=default_tab&amp;search_scope=EVERYTHING&amp;vid=01CRU&amp;lang=en_US&amp;offset=0&amp;query=any,contains,991004496599702656","Catalog Record")</f>
        <v>Catalog Record</v>
      </c>
      <c r="AT740" s="6" t="str">
        <f>HYPERLINK("http://www.worldcat.org/oclc/3702780","WorldCat Record")</f>
        <v>WorldCat Record</v>
      </c>
      <c r="AU740" s="3" t="s">
        <v>9382</v>
      </c>
      <c r="AV740" s="3" t="s">
        <v>9383</v>
      </c>
      <c r="AW740" s="3" t="s">
        <v>9384</v>
      </c>
      <c r="AX740" s="3" t="s">
        <v>9384</v>
      </c>
      <c r="AY740" s="3" t="s">
        <v>9385</v>
      </c>
      <c r="AZ740" s="3" t="s">
        <v>75</v>
      </c>
      <c r="BB740" s="3" t="s">
        <v>9386</v>
      </c>
      <c r="BC740" s="3" t="s">
        <v>9387</v>
      </c>
      <c r="BD740" s="3" t="s">
        <v>9388</v>
      </c>
    </row>
    <row r="741" spans="1:56" ht="48" customHeight="1" x14ac:dyDescent="0.25">
      <c r="A741" s="7" t="s">
        <v>59</v>
      </c>
      <c r="B741" s="2" t="s">
        <v>9389</v>
      </c>
      <c r="C741" s="2" t="s">
        <v>9390</v>
      </c>
      <c r="D741" s="2" t="s">
        <v>9391</v>
      </c>
      <c r="F741" s="3" t="s">
        <v>59</v>
      </c>
      <c r="G741" s="3" t="s">
        <v>60</v>
      </c>
      <c r="H741" s="3" t="s">
        <v>59</v>
      </c>
      <c r="I741" s="3" t="s">
        <v>59</v>
      </c>
      <c r="J741" s="3" t="s">
        <v>61</v>
      </c>
      <c r="K741" s="2" t="s">
        <v>9392</v>
      </c>
      <c r="L741" s="2" t="s">
        <v>9393</v>
      </c>
      <c r="M741" s="3" t="s">
        <v>2894</v>
      </c>
      <c r="N741" s="2" t="s">
        <v>9394</v>
      </c>
      <c r="O741" s="3" t="s">
        <v>64</v>
      </c>
      <c r="P741" s="3" t="s">
        <v>130</v>
      </c>
      <c r="R741" s="3" t="s">
        <v>67</v>
      </c>
      <c r="S741" s="4">
        <v>4</v>
      </c>
      <c r="T741" s="4">
        <v>4</v>
      </c>
      <c r="U741" s="5" t="s">
        <v>9395</v>
      </c>
      <c r="V741" s="5" t="s">
        <v>9395</v>
      </c>
      <c r="W741" s="5" t="s">
        <v>9228</v>
      </c>
      <c r="X741" s="5" t="s">
        <v>9228</v>
      </c>
      <c r="Y741" s="4">
        <v>272</v>
      </c>
      <c r="Z741" s="4">
        <v>215</v>
      </c>
      <c r="AA741" s="4">
        <v>383</v>
      </c>
      <c r="AB741" s="4">
        <v>2</v>
      </c>
      <c r="AC741" s="4">
        <v>3</v>
      </c>
      <c r="AD741" s="4">
        <v>4</v>
      </c>
      <c r="AE741" s="4">
        <v>12</v>
      </c>
      <c r="AF741" s="4">
        <v>0</v>
      </c>
      <c r="AG741" s="4">
        <v>4</v>
      </c>
      <c r="AH741" s="4">
        <v>0</v>
      </c>
      <c r="AI741" s="4">
        <v>3</v>
      </c>
      <c r="AJ741" s="4">
        <v>3</v>
      </c>
      <c r="AK741" s="4">
        <v>5</v>
      </c>
      <c r="AL741" s="4">
        <v>1</v>
      </c>
      <c r="AM741" s="4">
        <v>2</v>
      </c>
      <c r="AN741" s="4">
        <v>0</v>
      </c>
      <c r="AO741" s="4">
        <v>0</v>
      </c>
      <c r="AP741" s="3" t="s">
        <v>59</v>
      </c>
      <c r="AQ741" s="3" t="s">
        <v>70</v>
      </c>
      <c r="AR741" s="6" t="str">
        <f>HYPERLINK("http://catalog.hathitrust.org/Record/001555596","HathiTrust Record")</f>
        <v>HathiTrust Record</v>
      </c>
      <c r="AS741" s="6" t="str">
        <f>HYPERLINK("https://creighton-primo.hosted.exlibrisgroup.com/primo-explore/search?tab=default_tab&amp;search_scope=EVERYTHING&amp;vid=01CRU&amp;lang=en_US&amp;offset=0&amp;query=any,contains,991003557439702656","Catalog Record")</f>
        <v>Catalog Record</v>
      </c>
      <c r="AT741" s="6" t="str">
        <f>HYPERLINK("http://www.worldcat.org/oclc/1126603","WorldCat Record")</f>
        <v>WorldCat Record</v>
      </c>
      <c r="AU741" s="3" t="s">
        <v>9396</v>
      </c>
      <c r="AV741" s="3" t="s">
        <v>9397</v>
      </c>
      <c r="AW741" s="3" t="s">
        <v>9398</v>
      </c>
      <c r="AX741" s="3" t="s">
        <v>9398</v>
      </c>
      <c r="AY741" s="3" t="s">
        <v>9399</v>
      </c>
      <c r="AZ741" s="3" t="s">
        <v>75</v>
      </c>
      <c r="BC741" s="3" t="s">
        <v>9400</v>
      </c>
      <c r="BD741" s="3" t="s">
        <v>9401</v>
      </c>
    </row>
    <row r="742" spans="1:56" ht="48" customHeight="1" x14ac:dyDescent="0.25">
      <c r="A742" s="7" t="s">
        <v>59</v>
      </c>
      <c r="B742" s="2" t="s">
        <v>9402</v>
      </c>
      <c r="C742" s="2" t="s">
        <v>9403</v>
      </c>
      <c r="D742" s="2" t="s">
        <v>9404</v>
      </c>
      <c r="F742" s="3" t="s">
        <v>59</v>
      </c>
      <c r="G742" s="3" t="s">
        <v>60</v>
      </c>
      <c r="H742" s="3" t="s">
        <v>70</v>
      </c>
      <c r="I742" s="3" t="s">
        <v>59</v>
      </c>
      <c r="J742" s="3" t="s">
        <v>61</v>
      </c>
      <c r="K742" s="2" t="s">
        <v>9405</v>
      </c>
      <c r="L742" s="2" t="s">
        <v>9406</v>
      </c>
      <c r="M742" s="3" t="s">
        <v>485</v>
      </c>
      <c r="O742" s="3" t="s">
        <v>64</v>
      </c>
      <c r="P742" s="3" t="s">
        <v>176</v>
      </c>
      <c r="R742" s="3" t="s">
        <v>67</v>
      </c>
      <c r="S742" s="4">
        <v>3</v>
      </c>
      <c r="T742" s="4">
        <v>14</v>
      </c>
      <c r="U742" s="5" t="s">
        <v>9407</v>
      </c>
      <c r="V742" s="5" t="s">
        <v>9407</v>
      </c>
      <c r="W742" s="5" t="s">
        <v>1888</v>
      </c>
      <c r="X742" s="5" t="s">
        <v>1888</v>
      </c>
      <c r="Y742" s="4">
        <v>694</v>
      </c>
      <c r="Z742" s="4">
        <v>518</v>
      </c>
      <c r="AA742" s="4">
        <v>518</v>
      </c>
      <c r="AB742" s="4">
        <v>7</v>
      </c>
      <c r="AC742" s="4">
        <v>7</v>
      </c>
      <c r="AD742" s="4">
        <v>23</v>
      </c>
      <c r="AE742" s="4">
        <v>23</v>
      </c>
      <c r="AF742" s="4">
        <v>4</v>
      </c>
      <c r="AG742" s="4">
        <v>4</v>
      </c>
      <c r="AH742" s="4">
        <v>7</v>
      </c>
      <c r="AI742" s="4">
        <v>7</v>
      </c>
      <c r="AJ742" s="4">
        <v>11</v>
      </c>
      <c r="AK742" s="4">
        <v>11</v>
      </c>
      <c r="AL742" s="4">
        <v>5</v>
      </c>
      <c r="AM742" s="4">
        <v>5</v>
      </c>
      <c r="AN742" s="4">
        <v>0</v>
      </c>
      <c r="AO742" s="4">
        <v>0</v>
      </c>
      <c r="AP742" s="3" t="s">
        <v>59</v>
      </c>
      <c r="AQ742" s="3" t="s">
        <v>59</v>
      </c>
      <c r="AS742" s="6" t="str">
        <f>HYPERLINK("https://creighton-primo.hosted.exlibrisgroup.com/primo-explore/search?tab=default_tab&amp;search_scope=EVERYTHING&amp;vid=01CRU&amp;lang=en_US&amp;offset=0&amp;query=any,contains,991001775159702656","Catalog Record")</f>
        <v>Catalog Record</v>
      </c>
      <c r="AT742" s="6" t="str">
        <f>HYPERLINK("http://www.worldcat.org/oclc/4003473","WorldCat Record")</f>
        <v>WorldCat Record</v>
      </c>
      <c r="AU742" s="3" t="s">
        <v>9408</v>
      </c>
      <c r="AV742" s="3" t="s">
        <v>9409</v>
      </c>
      <c r="AW742" s="3" t="s">
        <v>9410</v>
      </c>
      <c r="AX742" s="3" t="s">
        <v>9410</v>
      </c>
      <c r="AY742" s="3" t="s">
        <v>9411</v>
      </c>
      <c r="AZ742" s="3" t="s">
        <v>75</v>
      </c>
      <c r="BB742" s="3" t="s">
        <v>9412</v>
      </c>
      <c r="BC742" s="3" t="s">
        <v>9413</v>
      </c>
      <c r="BD742" s="3" t="s">
        <v>9414</v>
      </c>
    </row>
    <row r="743" spans="1:56" ht="48" customHeight="1" x14ac:dyDescent="0.25">
      <c r="A743" s="7" t="s">
        <v>59</v>
      </c>
      <c r="B743" s="2" t="s">
        <v>9415</v>
      </c>
      <c r="C743" s="2" t="s">
        <v>9416</v>
      </c>
      <c r="D743" s="2" t="s">
        <v>9417</v>
      </c>
      <c r="E743" s="3" t="s">
        <v>512</v>
      </c>
      <c r="F743" s="3" t="s">
        <v>70</v>
      </c>
      <c r="G743" s="3" t="s">
        <v>60</v>
      </c>
      <c r="H743" s="3" t="s">
        <v>70</v>
      </c>
      <c r="I743" s="3" t="s">
        <v>59</v>
      </c>
      <c r="J743" s="3" t="s">
        <v>61</v>
      </c>
      <c r="K743" s="2" t="s">
        <v>9418</v>
      </c>
      <c r="L743" s="2" t="s">
        <v>9419</v>
      </c>
      <c r="M743" s="3" t="s">
        <v>263</v>
      </c>
      <c r="O743" s="3" t="s">
        <v>64</v>
      </c>
      <c r="P743" s="3" t="s">
        <v>130</v>
      </c>
      <c r="R743" s="3" t="s">
        <v>67</v>
      </c>
      <c r="S743" s="4">
        <v>0</v>
      </c>
      <c r="T743" s="4">
        <v>6</v>
      </c>
      <c r="V743" s="5" t="s">
        <v>85</v>
      </c>
      <c r="W743" s="5" t="s">
        <v>9420</v>
      </c>
      <c r="X743" s="5" t="s">
        <v>9420</v>
      </c>
      <c r="Y743" s="4">
        <v>515</v>
      </c>
      <c r="Z743" s="4">
        <v>391</v>
      </c>
      <c r="AA743" s="4">
        <v>399</v>
      </c>
      <c r="AB743" s="4">
        <v>3</v>
      </c>
      <c r="AC743" s="4">
        <v>3</v>
      </c>
      <c r="AD743" s="4">
        <v>12</v>
      </c>
      <c r="AE743" s="4">
        <v>12</v>
      </c>
      <c r="AF743" s="4">
        <v>5</v>
      </c>
      <c r="AG743" s="4">
        <v>5</v>
      </c>
      <c r="AH743" s="4">
        <v>3</v>
      </c>
      <c r="AI743" s="4">
        <v>3</v>
      </c>
      <c r="AJ743" s="4">
        <v>8</v>
      </c>
      <c r="AK743" s="4">
        <v>8</v>
      </c>
      <c r="AL743" s="4">
        <v>1</v>
      </c>
      <c r="AM743" s="4">
        <v>1</v>
      </c>
      <c r="AN743" s="4">
        <v>0</v>
      </c>
      <c r="AO743" s="4">
        <v>0</v>
      </c>
      <c r="AP743" s="3" t="s">
        <v>70</v>
      </c>
      <c r="AQ743" s="3" t="s">
        <v>70</v>
      </c>
      <c r="AR743" s="6" t="str">
        <f>HYPERLINK("http://catalog.hathitrust.org/Record/001555615","HathiTrust Record")</f>
        <v>HathiTrust Record</v>
      </c>
      <c r="AS743" s="6" t="str">
        <f>HYPERLINK("https://creighton-primo.hosted.exlibrisgroup.com/primo-explore/search?tab=default_tab&amp;search_scope=EVERYTHING&amp;vid=01CRU&amp;lang=en_US&amp;offset=0&amp;query=any,contains,991001775029702656","Catalog Record")</f>
        <v>Catalog Record</v>
      </c>
      <c r="AT743" s="6" t="str">
        <f>HYPERLINK("http://www.worldcat.org/oclc/561113","WorldCat Record")</f>
        <v>WorldCat Record</v>
      </c>
      <c r="AU743" s="3" t="s">
        <v>9421</v>
      </c>
      <c r="AV743" s="3" t="s">
        <v>9422</v>
      </c>
      <c r="AW743" s="3" t="s">
        <v>9423</v>
      </c>
      <c r="AX743" s="3" t="s">
        <v>9423</v>
      </c>
      <c r="AY743" s="3" t="s">
        <v>9424</v>
      </c>
      <c r="AZ743" s="3" t="s">
        <v>75</v>
      </c>
      <c r="BC743" s="3" t="s">
        <v>9425</v>
      </c>
      <c r="BD743" s="3" t="s">
        <v>9426</v>
      </c>
    </row>
    <row r="744" spans="1:56" ht="48" customHeight="1" x14ac:dyDescent="0.25">
      <c r="A744" s="7" t="s">
        <v>59</v>
      </c>
      <c r="B744" s="2" t="s">
        <v>9415</v>
      </c>
      <c r="C744" s="2" t="s">
        <v>9416</v>
      </c>
      <c r="D744" s="2" t="s">
        <v>9417</v>
      </c>
      <c r="E744" s="3" t="s">
        <v>509</v>
      </c>
      <c r="F744" s="3" t="s">
        <v>70</v>
      </c>
      <c r="G744" s="3" t="s">
        <v>60</v>
      </c>
      <c r="H744" s="3" t="s">
        <v>70</v>
      </c>
      <c r="I744" s="3" t="s">
        <v>59</v>
      </c>
      <c r="J744" s="3" t="s">
        <v>61</v>
      </c>
      <c r="K744" s="2" t="s">
        <v>9418</v>
      </c>
      <c r="L744" s="2" t="s">
        <v>9419</v>
      </c>
      <c r="M744" s="3" t="s">
        <v>263</v>
      </c>
      <c r="O744" s="3" t="s">
        <v>64</v>
      </c>
      <c r="P744" s="3" t="s">
        <v>130</v>
      </c>
      <c r="R744" s="3" t="s">
        <v>67</v>
      </c>
      <c r="S744" s="4">
        <v>0</v>
      </c>
      <c r="T744" s="4">
        <v>6</v>
      </c>
      <c r="V744" s="5" t="s">
        <v>85</v>
      </c>
      <c r="W744" s="5" t="s">
        <v>9420</v>
      </c>
      <c r="X744" s="5" t="s">
        <v>9420</v>
      </c>
      <c r="Y744" s="4">
        <v>515</v>
      </c>
      <c r="Z744" s="4">
        <v>391</v>
      </c>
      <c r="AA744" s="4">
        <v>399</v>
      </c>
      <c r="AB744" s="4">
        <v>3</v>
      </c>
      <c r="AC744" s="4">
        <v>3</v>
      </c>
      <c r="AD744" s="4">
        <v>12</v>
      </c>
      <c r="AE744" s="4">
        <v>12</v>
      </c>
      <c r="AF744" s="4">
        <v>5</v>
      </c>
      <c r="AG744" s="4">
        <v>5</v>
      </c>
      <c r="AH744" s="4">
        <v>3</v>
      </c>
      <c r="AI744" s="4">
        <v>3</v>
      </c>
      <c r="AJ744" s="4">
        <v>8</v>
      </c>
      <c r="AK744" s="4">
        <v>8</v>
      </c>
      <c r="AL744" s="4">
        <v>1</v>
      </c>
      <c r="AM744" s="4">
        <v>1</v>
      </c>
      <c r="AN744" s="4">
        <v>0</v>
      </c>
      <c r="AO744" s="4">
        <v>0</v>
      </c>
      <c r="AP744" s="3" t="s">
        <v>70</v>
      </c>
      <c r="AQ744" s="3" t="s">
        <v>70</v>
      </c>
      <c r="AR744" s="6" t="str">
        <f>HYPERLINK("http://catalog.hathitrust.org/Record/001555615","HathiTrust Record")</f>
        <v>HathiTrust Record</v>
      </c>
      <c r="AS744" s="6" t="str">
        <f>HYPERLINK("https://creighton-primo.hosted.exlibrisgroup.com/primo-explore/search?tab=default_tab&amp;search_scope=EVERYTHING&amp;vid=01CRU&amp;lang=en_US&amp;offset=0&amp;query=any,contains,991001775029702656","Catalog Record")</f>
        <v>Catalog Record</v>
      </c>
      <c r="AT744" s="6" t="str">
        <f>HYPERLINK("http://www.worldcat.org/oclc/561113","WorldCat Record")</f>
        <v>WorldCat Record</v>
      </c>
      <c r="AU744" s="3" t="s">
        <v>9421</v>
      </c>
      <c r="AV744" s="3" t="s">
        <v>9422</v>
      </c>
      <c r="AW744" s="3" t="s">
        <v>9423</v>
      </c>
      <c r="AX744" s="3" t="s">
        <v>9423</v>
      </c>
      <c r="AY744" s="3" t="s">
        <v>9424</v>
      </c>
      <c r="AZ744" s="3" t="s">
        <v>75</v>
      </c>
      <c r="BC744" s="3" t="s">
        <v>9427</v>
      </c>
      <c r="BD744" s="3" t="s">
        <v>9428</v>
      </c>
    </row>
    <row r="745" spans="1:56" ht="48" customHeight="1" x14ac:dyDescent="0.25">
      <c r="A745" s="7" t="s">
        <v>59</v>
      </c>
      <c r="B745" s="2" t="s">
        <v>9415</v>
      </c>
      <c r="C745" s="2" t="s">
        <v>9416</v>
      </c>
      <c r="D745" s="2" t="s">
        <v>9417</v>
      </c>
      <c r="E745" s="3" t="s">
        <v>159</v>
      </c>
      <c r="F745" s="3" t="s">
        <v>70</v>
      </c>
      <c r="G745" s="3" t="s">
        <v>60</v>
      </c>
      <c r="H745" s="3" t="s">
        <v>70</v>
      </c>
      <c r="I745" s="3" t="s">
        <v>59</v>
      </c>
      <c r="J745" s="3" t="s">
        <v>61</v>
      </c>
      <c r="K745" s="2" t="s">
        <v>9418</v>
      </c>
      <c r="L745" s="2" t="s">
        <v>9419</v>
      </c>
      <c r="M745" s="3" t="s">
        <v>263</v>
      </c>
      <c r="O745" s="3" t="s">
        <v>64</v>
      </c>
      <c r="P745" s="3" t="s">
        <v>130</v>
      </c>
      <c r="R745" s="3" t="s">
        <v>67</v>
      </c>
      <c r="S745" s="4">
        <v>1</v>
      </c>
      <c r="T745" s="4">
        <v>6</v>
      </c>
      <c r="V745" s="5" t="s">
        <v>85</v>
      </c>
      <c r="W745" s="5" t="s">
        <v>9420</v>
      </c>
      <c r="X745" s="5" t="s">
        <v>9420</v>
      </c>
      <c r="Y745" s="4">
        <v>515</v>
      </c>
      <c r="Z745" s="4">
        <v>391</v>
      </c>
      <c r="AA745" s="4">
        <v>399</v>
      </c>
      <c r="AB745" s="4">
        <v>3</v>
      </c>
      <c r="AC745" s="4">
        <v>3</v>
      </c>
      <c r="AD745" s="4">
        <v>12</v>
      </c>
      <c r="AE745" s="4">
        <v>12</v>
      </c>
      <c r="AF745" s="4">
        <v>5</v>
      </c>
      <c r="AG745" s="4">
        <v>5</v>
      </c>
      <c r="AH745" s="4">
        <v>3</v>
      </c>
      <c r="AI745" s="4">
        <v>3</v>
      </c>
      <c r="AJ745" s="4">
        <v>8</v>
      </c>
      <c r="AK745" s="4">
        <v>8</v>
      </c>
      <c r="AL745" s="4">
        <v>1</v>
      </c>
      <c r="AM745" s="4">
        <v>1</v>
      </c>
      <c r="AN745" s="4">
        <v>0</v>
      </c>
      <c r="AO745" s="4">
        <v>0</v>
      </c>
      <c r="AP745" s="3" t="s">
        <v>70</v>
      </c>
      <c r="AQ745" s="3" t="s">
        <v>70</v>
      </c>
      <c r="AR745" s="6" t="str">
        <f>HYPERLINK("http://catalog.hathitrust.org/Record/001555615","HathiTrust Record")</f>
        <v>HathiTrust Record</v>
      </c>
      <c r="AS745" s="6" t="str">
        <f>HYPERLINK("https://creighton-primo.hosted.exlibrisgroup.com/primo-explore/search?tab=default_tab&amp;search_scope=EVERYTHING&amp;vid=01CRU&amp;lang=en_US&amp;offset=0&amp;query=any,contains,991001775029702656","Catalog Record")</f>
        <v>Catalog Record</v>
      </c>
      <c r="AT745" s="6" t="str">
        <f>HYPERLINK("http://www.worldcat.org/oclc/561113","WorldCat Record")</f>
        <v>WorldCat Record</v>
      </c>
      <c r="AU745" s="3" t="s">
        <v>9421</v>
      </c>
      <c r="AV745" s="3" t="s">
        <v>9422</v>
      </c>
      <c r="AW745" s="3" t="s">
        <v>9423</v>
      </c>
      <c r="AX745" s="3" t="s">
        <v>9423</v>
      </c>
      <c r="AY745" s="3" t="s">
        <v>9424</v>
      </c>
      <c r="AZ745" s="3" t="s">
        <v>75</v>
      </c>
      <c r="BC745" s="3" t="s">
        <v>9429</v>
      </c>
      <c r="BD745" s="3" t="s">
        <v>9430</v>
      </c>
    </row>
    <row r="746" spans="1:56" ht="48" customHeight="1" x14ac:dyDescent="0.25">
      <c r="A746" s="7" t="s">
        <v>59</v>
      </c>
      <c r="B746" s="2" t="s">
        <v>9431</v>
      </c>
      <c r="C746" s="2" t="s">
        <v>9432</v>
      </c>
      <c r="D746" s="2" t="s">
        <v>9433</v>
      </c>
      <c r="F746" s="3" t="s">
        <v>59</v>
      </c>
      <c r="G746" s="3" t="s">
        <v>60</v>
      </c>
      <c r="H746" s="3" t="s">
        <v>59</v>
      </c>
      <c r="I746" s="3" t="s">
        <v>59</v>
      </c>
      <c r="J746" s="3" t="s">
        <v>61</v>
      </c>
      <c r="K746" s="2" t="s">
        <v>9434</v>
      </c>
      <c r="L746" s="2" t="s">
        <v>9435</v>
      </c>
      <c r="M746" s="3" t="s">
        <v>443</v>
      </c>
      <c r="O746" s="3" t="s">
        <v>64</v>
      </c>
      <c r="P746" s="3" t="s">
        <v>130</v>
      </c>
      <c r="R746" s="3" t="s">
        <v>67</v>
      </c>
      <c r="S746" s="4">
        <v>4</v>
      </c>
      <c r="T746" s="4">
        <v>4</v>
      </c>
      <c r="U746" s="5" t="s">
        <v>9304</v>
      </c>
      <c r="V746" s="5" t="s">
        <v>9304</v>
      </c>
      <c r="W746" s="5" t="s">
        <v>9228</v>
      </c>
      <c r="X746" s="5" t="s">
        <v>9228</v>
      </c>
      <c r="Y746" s="4">
        <v>607</v>
      </c>
      <c r="Z746" s="4">
        <v>478</v>
      </c>
      <c r="AA746" s="4">
        <v>486</v>
      </c>
      <c r="AB746" s="4">
        <v>4</v>
      </c>
      <c r="AC746" s="4">
        <v>4</v>
      </c>
      <c r="AD746" s="4">
        <v>15</v>
      </c>
      <c r="AE746" s="4">
        <v>15</v>
      </c>
      <c r="AF746" s="4">
        <v>3</v>
      </c>
      <c r="AG746" s="4">
        <v>3</v>
      </c>
      <c r="AH746" s="4">
        <v>5</v>
      </c>
      <c r="AI746" s="4">
        <v>5</v>
      </c>
      <c r="AJ746" s="4">
        <v>8</v>
      </c>
      <c r="AK746" s="4">
        <v>8</v>
      </c>
      <c r="AL746" s="4">
        <v>3</v>
      </c>
      <c r="AM746" s="4">
        <v>3</v>
      </c>
      <c r="AN746" s="4">
        <v>0</v>
      </c>
      <c r="AO746" s="4">
        <v>0</v>
      </c>
      <c r="AP746" s="3" t="s">
        <v>59</v>
      </c>
      <c r="AQ746" s="3" t="s">
        <v>70</v>
      </c>
      <c r="AR746" s="6" t="str">
        <f>HYPERLINK("http://catalog.hathitrust.org/Record/001555624","HathiTrust Record")</f>
        <v>HathiTrust Record</v>
      </c>
      <c r="AS746" s="6" t="str">
        <f>HYPERLINK("https://creighton-primo.hosted.exlibrisgroup.com/primo-explore/search?tab=default_tab&amp;search_scope=EVERYTHING&amp;vid=01CRU&amp;lang=en_US&amp;offset=0&amp;query=any,contains,991002951089702656","Catalog Record")</f>
        <v>Catalog Record</v>
      </c>
      <c r="AT746" s="6" t="str">
        <f>HYPERLINK("http://www.worldcat.org/oclc/538894","WorldCat Record")</f>
        <v>WorldCat Record</v>
      </c>
      <c r="AU746" s="3" t="s">
        <v>9436</v>
      </c>
      <c r="AV746" s="3" t="s">
        <v>9437</v>
      </c>
      <c r="AW746" s="3" t="s">
        <v>9438</v>
      </c>
      <c r="AX746" s="3" t="s">
        <v>9438</v>
      </c>
      <c r="AY746" s="3" t="s">
        <v>9439</v>
      </c>
      <c r="AZ746" s="3" t="s">
        <v>75</v>
      </c>
      <c r="BB746" s="3" t="s">
        <v>9440</v>
      </c>
      <c r="BC746" s="3" t="s">
        <v>9441</v>
      </c>
      <c r="BD746" s="3" t="s">
        <v>9442</v>
      </c>
    </row>
    <row r="747" spans="1:56" ht="48" customHeight="1" x14ac:dyDescent="0.25">
      <c r="A747" s="7" t="s">
        <v>59</v>
      </c>
      <c r="B747" s="2" t="s">
        <v>9443</v>
      </c>
      <c r="C747" s="2" t="s">
        <v>9444</v>
      </c>
      <c r="D747" s="2" t="s">
        <v>9445</v>
      </c>
      <c r="F747" s="3" t="s">
        <v>59</v>
      </c>
      <c r="G747" s="3" t="s">
        <v>60</v>
      </c>
      <c r="H747" s="3" t="s">
        <v>70</v>
      </c>
      <c r="I747" s="3" t="s">
        <v>59</v>
      </c>
      <c r="J747" s="3" t="s">
        <v>61</v>
      </c>
      <c r="K747" s="2" t="s">
        <v>9446</v>
      </c>
      <c r="L747" s="2" t="s">
        <v>8326</v>
      </c>
      <c r="M747" s="3" t="s">
        <v>519</v>
      </c>
      <c r="O747" s="3" t="s">
        <v>64</v>
      </c>
      <c r="P747" s="3" t="s">
        <v>84</v>
      </c>
      <c r="R747" s="3" t="s">
        <v>67</v>
      </c>
      <c r="S747" s="4">
        <v>2</v>
      </c>
      <c r="T747" s="4">
        <v>5</v>
      </c>
      <c r="V747" s="5" t="s">
        <v>9447</v>
      </c>
      <c r="W747" s="5" t="s">
        <v>9448</v>
      </c>
      <c r="X747" s="5" t="s">
        <v>9448</v>
      </c>
      <c r="Y747" s="4">
        <v>339</v>
      </c>
      <c r="Z747" s="4">
        <v>245</v>
      </c>
      <c r="AA747" s="4">
        <v>255</v>
      </c>
      <c r="AB747" s="4">
        <v>5</v>
      </c>
      <c r="AC747" s="4">
        <v>5</v>
      </c>
      <c r="AD747" s="4">
        <v>16</v>
      </c>
      <c r="AE747" s="4">
        <v>16</v>
      </c>
      <c r="AF747" s="4">
        <v>6</v>
      </c>
      <c r="AG747" s="4">
        <v>6</v>
      </c>
      <c r="AH747" s="4">
        <v>4</v>
      </c>
      <c r="AI747" s="4">
        <v>4</v>
      </c>
      <c r="AJ747" s="4">
        <v>10</v>
      </c>
      <c r="AK747" s="4">
        <v>10</v>
      </c>
      <c r="AL747" s="4">
        <v>3</v>
      </c>
      <c r="AM747" s="4">
        <v>3</v>
      </c>
      <c r="AN747" s="4">
        <v>0</v>
      </c>
      <c r="AO747" s="4">
        <v>0</v>
      </c>
      <c r="AP747" s="3" t="s">
        <v>59</v>
      </c>
      <c r="AQ747" s="3" t="s">
        <v>59</v>
      </c>
      <c r="AS747" s="6" t="str">
        <f>HYPERLINK("https://creighton-primo.hosted.exlibrisgroup.com/primo-explore/search?tab=default_tab&amp;search_scope=EVERYTHING&amp;vid=01CRU&amp;lang=en_US&amp;offset=0&amp;query=any,contains,991001755729702656","Catalog Record")</f>
        <v>Catalog Record</v>
      </c>
      <c r="AT747" s="6" t="str">
        <f>HYPERLINK("http://www.worldcat.org/oclc/30701944","WorldCat Record")</f>
        <v>WorldCat Record</v>
      </c>
      <c r="AU747" s="3" t="s">
        <v>9449</v>
      </c>
      <c r="AV747" s="3" t="s">
        <v>9450</v>
      </c>
      <c r="AW747" s="3" t="s">
        <v>9451</v>
      </c>
      <c r="AX747" s="3" t="s">
        <v>9451</v>
      </c>
      <c r="AY747" s="3" t="s">
        <v>9452</v>
      </c>
      <c r="AZ747" s="3" t="s">
        <v>75</v>
      </c>
      <c r="BB747" s="3" t="s">
        <v>9453</v>
      </c>
      <c r="BC747" s="3" t="s">
        <v>9454</v>
      </c>
      <c r="BD747" s="3" t="s">
        <v>9455</v>
      </c>
    </row>
    <row r="748" spans="1:56" ht="48" customHeight="1" x14ac:dyDescent="0.25">
      <c r="A748" s="7" t="s">
        <v>59</v>
      </c>
      <c r="B748" s="2" t="s">
        <v>9456</v>
      </c>
      <c r="C748" s="2" t="s">
        <v>9457</v>
      </c>
      <c r="D748" s="2" t="s">
        <v>9458</v>
      </c>
      <c r="E748" s="3" t="s">
        <v>713</v>
      </c>
      <c r="F748" s="3" t="s">
        <v>70</v>
      </c>
      <c r="G748" s="3" t="s">
        <v>60</v>
      </c>
      <c r="H748" s="3" t="s">
        <v>59</v>
      </c>
      <c r="I748" s="3" t="s">
        <v>59</v>
      </c>
      <c r="J748" s="3" t="s">
        <v>61</v>
      </c>
      <c r="L748" s="2" t="s">
        <v>9459</v>
      </c>
      <c r="M748" s="3" t="s">
        <v>363</v>
      </c>
      <c r="O748" s="3" t="s">
        <v>64</v>
      </c>
      <c r="P748" s="3" t="s">
        <v>191</v>
      </c>
      <c r="R748" s="3" t="s">
        <v>67</v>
      </c>
      <c r="S748" s="4">
        <v>2</v>
      </c>
      <c r="T748" s="4">
        <v>2</v>
      </c>
      <c r="U748" s="5" t="s">
        <v>9460</v>
      </c>
      <c r="V748" s="5" t="s">
        <v>9460</v>
      </c>
      <c r="W748" s="5" t="s">
        <v>6862</v>
      </c>
      <c r="X748" s="5" t="s">
        <v>6862</v>
      </c>
      <c r="Y748" s="4">
        <v>261</v>
      </c>
      <c r="Z748" s="4">
        <v>199</v>
      </c>
      <c r="AA748" s="4">
        <v>200</v>
      </c>
      <c r="AB748" s="4">
        <v>2</v>
      </c>
      <c r="AC748" s="4">
        <v>2</v>
      </c>
      <c r="AD748" s="4">
        <v>5</v>
      </c>
      <c r="AE748" s="4">
        <v>5</v>
      </c>
      <c r="AF748" s="4">
        <v>0</v>
      </c>
      <c r="AG748" s="4">
        <v>0</v>
      </c>
      <c r="AH748" s="4">
        <v>2</v>
      </c>
      <c r="AI748" s="4">
        <v>2</v>
      </c>
      <c r="AJ748" s="4">
        <v>3</v>
      </c>
      <c r="AK748" s="4">
        <v>3</v>
      </c>
      <c r="AL748" s="4">
        <v>1</v>
      </c>
      <c r="AM748" s="4">
        <v>1</v>
      </c>
      <c r="AN748" s="4">
        <v>0</v>
      </c>
      <c r="AO748" s="4">
        <v>0</v>
      </c>
      <c r="AP748" s="3" t="s">
        <v>59</v>
      </c>
      <c r="AQ748" s="3" t="s">
        <v>70</v>
      </c>
      <c r="AR748" s="6" t="str">
        <f>HYPERLINK("http://catalog.hathitrust.org/Record/000470787","HathiTrust Record")</f>
        <v>HathiTrust Record</v>
      </c>
      <c r="AS748" s="6" t="str">
        <f>HYPERLINK("https://creighton-primo.hosted.exlibrisgroup.com/primo-explore/search?tab=default_tab&amp;search_scope=EVERYTHING&amp;vid=01CRU&amp;lang=en_US&amp;offset=0&amp;query=any,contains,991005204879702656","Catalog Record")</f>
        <v>Catalog Record</v>
      </c>
      <c r="AT748" s="6" t="str">
        <f>HYPERLINK("http://www.worldcat.org/oclc/8112676","WorldCat Record")</f>
        <v>WorldCat Record</v>
      </c>
      <c r="AU748" s="3" t="s">
        <v>9461</v>
      </c>
      <c r="AV748" s="3" t="s">
        <v>9462</v>
      </c>
      <c r="AW748" s="3" t="s">
        <v>9463</v>
      </c>
      <c r="AX748" s="3" t="s">
        <v>9463</v>
      </c>
      <c r="AY748" s="3" t="s">
        <v>9464</v>
      </c>
      <c r="AZ748" s="3" t="s">
        <v>75</v>
      </c>
      <c r="BB748" s="3" t="s">
        <v>9465</v>
      </c>
      <c r="BC748" s="3" t="s">
        <v>9466</v>
      </c>
      <c r="BD748" s="3" t="s">
        <v>9467</v>
      </c>
    </row>
    <row r="749" spans="1:56" ht="48" customHeight="1" x14ac:dyDescent="0.25">
      <c r="A749" s="7" t="s">
        <v>59</v>
      </c>
      <c r="B749" s="2" t="s">
        <v>9456</v>
      </c>
      <c r="C749" s="2" t="s">
        <v>9457</v>
      </c>
      <c r="D749" s="2" t="s">
        <v>9458</v>
      </c>
      <c r="E749" s="3" t="s">
        <v>723</v>
      </c>
      <c r="F749" s="3" t="s">
        <v>70</v>
      </c>
      <c r="G749" s="3" t="s">
        <v>60</v>
      </c>
      <c r="H749" s="3" t="s">
        <v>59</v>
      </c>
      <c r="I749" s="3" t="s">
        <v>59</v>
      </c>
      <c r="J749" s="3" t="s">
        <v>61</v>
      </c>
      <c r="L749" s="2" t="s">
        <v>9459</v>
      </c>
      <c r="M749" s="3" t="s">
        <v>363</v>
      </c>
      <c r="O749" s="3" t="s">
        <v>64</v>
      </c>
      <c r="P749" s="3" t="s">
        <v>191</v>
      </c>
      <c r="R749" s="3" t="s">
        <v>67</v>
      </c>
      <c r="S749" s="4">
        <v>0</v>
      </c>
      <c r="T749" s="4">
        <v>2</v>
      </c>
      <c r="V749" s="5" t="s">
        <v>9460</v>
      </c>
      <c r="W749" s="5" t="s">
        <v>6862</v>
      </c>
      <c r="X749" s="5" t="s">
        <v>6862</v>
      </c>
      <c r="Y749" s="4">
        <v>261</v>
      </c>
      <c r="Z749" s="4">
        <v>199</v>
      </c>
      <c r="AA749" s="4">
        <v>200</v>
      </c>
      <c r="AB749" s="4">
        <v>2</v>
      </c>
      <c r="AC749" s="4">
        <v>2</v>
      </c>
      <c r="AD749" s="4">
        <v>5</v>
      </c>
      <c r="AE749" s="4">
        <v>5</v>
      </c>
      <c r="AF749" s="4">
        <v>0</v>
      </c>
      <c r="AG749" s="4">
        <v>0</v>
      </c>
      <c r="AH749" s="4">
        <v>2</v>
      </c>
      <c r="AI749" s="4">
        <v>2</v>
      </c>
      <c r="AJ749" s="4">
        <v>3</v>
      </c>
      <c r="AK749" s="4">
        <v>3</v>
      </c>
      <c r="AL749" s="4">
        <v>1</v>
      </c>
      <c r="AM749" s="4">
        <v>1</v>
      </c>
      <c r="AN749" s="4">
        <v>0</v>
      </c>
      <c r="AO749" s="4">
        <v>0</v>
      </c>
      <c r="AP749" s="3" t="s">
        <v>59</v>
      </c>
      <c r="AQ749" s="3" t="s">
        <v>70</v>
      </c>
      <c r="AR749" s="6" t="str">
        <f>HYPERLINK("http://catalog.hathitrust.org/Record/000470787","HathiTrust Record")</f>
        <v>HathiTrust Record</v>
      </c>
      <c r="AS749" s="6" t="str">
        <f>HYPERLINK("https://creighton-primo.hosted.exlibrisgroup.com/primo-explore/search?tab=default_tab&amp;search_scope=EVERYTHING&amp;vid=01CRU&amp;lang=en_US&amp;offset=0&amp;query=any,contains,991005204879702656","Catalog Record")</f>
        <v>Catalog Record</v>
      </c>
      <c r="AT749" s="6" t="str">
        <f>HYPERLINK("http://www.worldcat.org/oclc/8112676","WorldCat Record")</f>
        <v>WorldCat Record</v>
      </c>
      <c r="AU749" s="3" t="s">
        <v>9461</v>
      </c>
      <c r="AV749" s="3" t="s">
        <v>9462</v>
      </c>
      <c r="AW749" s="3" t="s">
        <v>9463</v>
      </c>
      <c r="AX749" s="3" t="s">
        <v>9463</v>
      </c>
      <c r="AY749" s="3" t="s">
        <v>9464</v>
      </c>
      <c r="AZ749" s="3" t="s">
        <v>75</v>
      </c>
      <c r="BB749" s="3" t="s">
        <v>9465</v>
      </c>
      <c r="BC749" s="3" t="s">
        <v>9468</v>
      </c>
      <c r="BD749" s="3" t="s">
        <v>9469</v>
      </c>
    </row>
    <row r="750" spans="1:56" ht="48" customHeight="1" x14ac:dyDescent="0.25">
      <c r="A750" s="7" t="s">
        <v>59</v>
      </c>
      <c r="B750" s="2" t="s">
        <v>9470</v>
      </c>
      <c r="C750" s="2" t="s">
        <v>9471</v>
      </c>
      <c r="D750" s="2" t="s">
        <v>9472</v>
      </c>
      <c r="F750" s="3" t="s">
        <v>59</v>
      </c>
      <c r="G750" s="3" t="s">
        <v>60</v>
      </c>
      <c r="H750" s="3" t="s">
        <v>59</v>
      </c>
      <c r="I750" s="3" t="s">
        <v>59</v>
      </c>
      <c r="J750" s="3" t="s">
        <v>61</v>
      </c>
      <c r="K750" s="2" t="s">
        <v>9473</v>
      </c>
      <c r="L750" s="2" t="s">
        <v>9474</v>
      </c>
      <c r="M750" s="3" t="s">
        <v>190</v>
      </c>
      <c r="O750" s="3" t="s">
        <v>64</v>
      </c>
      <c r="P750" s="3" t="s">
        <v>191</v>
      </c>
      <c r="R750" s="3" t="s">
        <v>67</v>
      </c>
      <c r="S750" s="4">
        <v>4</v>
      </c>
      <c r="T750" s="4">
        <v>4</v>
      </c>
      <c r="U750" s="5" t="s">
        <v>9475</v>
      </c>
      <c r="V750" s="5" t="s">
        <v>9475</v>
      </c>
      <c r="W750" s="5" t="s">
        <v>5653</v>
      </c>
      <c r="X750" s="5" t="s">
        <v>5653</v>
      </c>
      <c r="Y750" s="4">
        <v>173</v>
      </c>
      <c r="Z750" s="4">
        <v>131</v>
      </c>
      <c r="AA750" s="4">
        <v>134</v>
      </c>
      <c r="AB750" s="4">
        <v>1</v>
      </c>
      <c r="AC750" s="4">
        <v>1</v>
      </c>
      <c r="AD750" s="4">
        <v>2</v>
      </c>
      <c r="AE750" s="4">
        <v>2</v>
      </c>
      <c r="AF750" s="4">
        <v>0</v>
      </c>
      <c r="AG750" s="4">
        <v>0</v>
      </c>
      <c r="AH750" s="4">
        <v>1</v>
      </c>
      <c r="AI750" s="4">
        <v>1</v>
      </c>
      <c r="AJ750" s="4">
        <v>1</v>
      </c>
      <c r="AK750" s="4">
        <v>1</v>
      </c>
      <c r="AL750" s="4">
        <v>0</v>
      </c>
      <c r="AM750" s="4">
        <v>0</v>
      </c>
      <c r="AN750" s="4">
        <v>0</v>
      </c>
      <c r="AO750" s="4">
        <v>0</v>
      </c>
      <c r="AP750" s="3" t="s">
        <v>59</v>
      </c>
      <c r="AQ750" s="3" t="s">
        <v>70</v>
      </c>
      <c r="AR750" s="6" t="str">
        <f>HYPERLINK("http://catalog.hathitrust.org/Record/000477533","HathiTrust Record")</f>
        <v>HathiTrust Record</v>
      </c>
      <c r="AS750" s="6" t="str">
        <f>HYPERLINK("https://creighton-primo.hosted.exlibrisgroup.com/primo-explore/search?tab=default_tab&amp;search_scope=EVERYTHING&amp;vid=01CRU&amp;lang=en_US&amp;offset=0&amp;query=any,contains,991000822379702656","Catalog Record")</f>
        <v>Catalog Record</v>
      </c>
      <c r="AT750" s="6" t="str">
        <f>HYPERLINK("http://www.worldcat.org/oclc/13395990","WorldCat Record")</f>
        <v>WorldCat Record</v>
      </c>
      <c r="AU750" s="3" t="s">
        <v>9476</v>
      </c>
      <c r="AV750" s="3" t="s">
        <v>9477</v>
      </c>
      <c r="AW750" s="3" t="s">
        <v>9478</v>
      </c>
      <c r="AX750" s="3" t="s">
        <v>9478</v>
      </c>
      <c r="AY750" s="3" t="s">
        <v>9479</v>
      </c>
      <c r="AZ750" s="3" t="s">
        <v>75</v>
      </c>
      <c r="BB750" s="3" t="s">
        <v>9480</v>
      </c>
      <c r="BC750" s="3" t="s">
        <v>9481</v>
      </c>
      <c r="BD750" s="3" t="s">
        <v>9482</v>
      </c>
    </row>
    <row r="751" spans="1:56" ht="48" customHeight="1" x14ac:dyDescent="0.25">
      <c r="A751" s="7" t="s">
        <v>59</v>
      </c>
      <c r="B751" s="2" t="s">
        <v>9483</v>
      </c>
      <c r="C751" s="2" t="s">
        <v>9484</v>
      </c>
      <c r="D751" s="2" t="s">
        <v>9485</v>
      </c>
      <c r="F751" s="3" t="s">
        <v>59</v>
      </c>
      <c r="G751" s="3" t="s">
        <v>60</v>
      </c>
      <c r="H751" s="3" t="s">
        <v>59</v>
      </c>
      <c r="I751" s="3" t="s">
        <v>70</v>
      </c>
      <c r="J751" s="3" t="s">
        <v>61</v>
      </c>
      <c r="K751" s="2" t="s">
        <v>9486</v>
      </c>
      <c r="L751" s="2" t="s">
        <v>9487</v>
      </c>
      <c r="M751" s="3" t="s">
        <v>519</v>
      </c>
      <c r="O751" s="3" t="s">
        <v>64</v>
      </c>
      <c r="P751" s="3" t="s">
        <v>84</v>
      </c>
      <c r="Q751" s="2" t="s">
        <v>9488</v>
      </c>
      <c r="R751" s="3" t="s">
        <v>67</v>
      </c>
      <c r="S751" s="4">
        <v>23</v>
      </c>
      <c r="T751" s="4">
        <v>23</v>
      </c>
      <c r="U751" s="5" t="s">
        <v>927</v>
      </c>
      <c r="V751" s="5" t="s">
        <v>927</v>
      </c>
      <c r="W751" s="5" t="s">
        <v>9489</v>
      </c>
      <c r="X751" s="5" t="s">
        <v>9489</v>
      </c>
      <c r="Y751" s="4">
        <v>218</v>
      </c>
      <c r="Z751" s="4">
        <v>115</v>
      </c>
      <c r="AA751" s="4">
        <v>390</v>
      </c>
      <c r="AB751" s="4">
        <v>3</v>
      </c>
      <c r="AC751" s="4">
        <v>4</v>
      </c>
      <c r="AD751" s="4">
        <v>5</v>
      </c>
      <c r="AE751" s="4">
        <v>19</v>
      </c>
      <c r="AF751" s="4">
        <v>1</v>
      </c>
      <c r="AG751" s="4">
        <v>6</v>
      </c>
      <c r="AH751" s="4">
        <v>1</v>
      </c>
      <c r="AI751" s="4">
        <v>4</v>
      </c>
      <c r="AJ751" s="4">
        <v>2</v>
      </c>
      <c r="AK751" s="4">
        <v>10</v>
      </c>
      <c r="AL751" s="4">
        <v>2</v>
      </c>
      <c r="AM751" s="4">
        <v>3</v>
      </c>
      <c r="AN751" s="4">
        <v>0</v>
      </c>
      <c r="AO751" s="4">
        <v>0</v>
      </c>
      <c r="AP751" s="3" t="s">
        <v>59</v>
      </c>
      <c r="AQ751" s="3" t="s">
        <v>70</v>
      </c>
      <c r="AR751" s="6" t="str">
        <f>HYPERLINK("http://catalog.hathitrust.org/Record/002806837","HathiTrust Record")</f>
        <v>HathiTrust Record</v>
      </c>
      <c r="AS751" s="6" t="str">
        <f>HYPERLINK("https://creighton-primo.hosted.exlibrisgroup.com/primo-explore/search?tab=default_tab&amp;search_scope=EVERYTHING&amp;vid=01CRU&amp;lang=en_US&amp;offset=0&amp;query=any,contains,991002313559702656","Catalog Record")</f>
        <v>Catalog Record</v>
      </c>
      <c r="AT751" s="6" t="str">
        <f>HYPERLINK("http://www.worldcat.org/oclc/30030710","WorldCat Record")</f>
        <v>WorldCat Record</v>
      </c>
      <c r="AU751" s="3" t="s">
        <v>9490</v>
      </c>
      <c r="AV751" s="3" t="s">
        <v>9491</v>
      </c>
      <c r="AW751" s="3" t="s">
        <v>9492</v>
      </c>
      <c r="AX751" s="3" t="s">
        <v>9492</v>
      </c>
      <c r="AY751" s="3" t="s">
        <v>9493</v>
      </c>
      <c r="AZ751" s="3" t="s">
        <v>75</v>
      </c>
      <c r="BB751" s="3" t="s">
        <v>9494</v>
      </c>
      <c r="BC751" s="3" t="s">
        <v>9495</v>
      </c>
      <c r="BD751" s="3" t="s">
        <v>9496</v>
      </c>
    </row>
    <row r="752" spans="1:56" ht="48" customHeight="1" x14ac:dyDescent="0.25">
      <c r="A752" s="7" t="s">
        <v>59</v>
      </c>
      <c r="B752" s="2" t="s">
        <v>9497</v>
      </c>
      <c r="C752" s="2" t="s">
        <v>9498</v>
      </c>
      <c r="D752" s="2" t="s">
        <v>9499</v>
      </c>
      <c r="F752" s="3" t="s">
        <v>59</v>
      </c>
      <c r="G752" s="3" t="s">
        <v>60</v>
      </c>
      <c r="H752" s="3" t="s">
        <v>59</v>
      </c>
      <c r="I752" s="3" t="s">
        <v>59</v>
      </c>
      <c r="J752" s="3" t="s">
        <v>61</v>
      </c>
      <c r="L752" s="2" t="s">
        <v>9500</v>
      </c>
      <c r="M752" s="3" t="s">
        <v>604</v>
      </c>
      <c r="O752" s="3" t="s">
        <v>64</v>
      </c>
      <c r="P752" s="3" t="s">
        <v>130</v>
      </c>
      <c r="R752" s="3" t="s">
        <v>67</v>
      </c>
      <c r="S752" s="4">
        <v>16</v>
      </c>
      <c r="T752" s="4">
        <v>16</v>
      </c>
      <c r="U752" s="5" t="s">
        <v>4131</v>
      </c>
      <c r="V752" s="5" t="s">
        <v>4131</v>
      </c>
      <c r="W752" s="5" t="s">
        <v>8923</v>
      </c>
      <c r="X752" s="5" t="s">
        <v>8923</v>
      </c>
      <c r="Y752" s="4">
        <v>320</v>
      </c>
      <c r="Z752" s="4">
        <v>208</v>
      </c>
      <c r="AA752" s="4">
        <v>317</v>
      </c>
      <c r="AB752" s="4">
        <v>2</v>
      </c>
      <c r="AC752" s="4">
        <v>3</v>
      </c>
      <c r="AD752" s="4">
        <v>8</v>
      </c>
      <c r="AE752" s="4">
        <v>10</v>
      </c>
      <c r="AF752" s="4">
        <v>2</v>
      </c>
      <c r="AG752" s="4">
        <v>2</v>
      </c>
      <c r="AH752" s="4">
        <v>2</v>
      </c>
      <c r="AI752" s="4">
        <v>2</v>
      </c>
      <c r="AJ752" s="4">
        <v>5</v>
      </c>
      <c r="AK752" s="4">
        <v>6</v>
      </c>
      <c r="AL752" s="4">
        <v>1</v>
      </c>
      <c r="AM752" s="4">
        <v>2</v>
      </c>
      <c r="AN752" s="4">
        <v>0</v>
      </c>
      <c r="AO752" s="4">
        <v>0</v>
      </c>
      <c r="AP752" s="3" t="s">
        <v>59</v>
      </c>
      <c r="AQ752" s="3" t="s">
        <v>70</v>
      </c>
      <c r="AR752" s="6" t="str">
        <f>HYPERLINK("http://catalog.hathitrust.org/Record/003026159","HathiTrust Record")</f>
        <v>HathiTrust Record</v>
      </c>
      <c r="AS752" s="6" t="str">
        <f>HYPERLINK("https://creighton-primo.hosted.exlibrisgroup.com/primo-explore/search?tab=default_tab&amp;search_scope=EVERYTHING&amp;vid=01CRU&amp;lang=en_US&amp;offset=0&amp;query=any,contains,991002519079702656","Catalog Record")</f>
        <v>Catalog Record</v>
      </c>
      <c r="AT752" s="6" t="str">
        <f>HYPERLINK("http://www.worldcat.org/oclc/32778364","WorldCat Record")</f>
        <v>WorldCat Record</v>
      </c>
      <c r="AU752" s="3" t="s">
        <v>9501</v>
      </c>
      <c r="AV752" s="3" t="s">
        <v>9502</v>
      </c>
      <c r="AW752" s="3" t="s">
        <v>9503</v>
      </c>
      <c r="AX752" s="3" t="s">
        <v>9503</v>
      </c>
      <c r="AY752" s="3" t="s">
        <v>9504</v>
      </c>
      <c r="AZ752" s="3" t="s">
        <v>75</v>
      </c>
      <c r="BB752" s="3" t="s">
        <v>9505</v>
      </c>
      <c r="BC752" s="3" t="s">
        <v>9506</v>
      </c>
      <c r="BD752" s="3" t="s">
        <v>9507</v>
      </c>
    </row>
    <row r="753" spans="1:56" ht="48" customHeight="1" x14ac:dyDescent="0.25">
      <c r="A753" s="7" t="s">
        <v>59</v>
      </c>
      <c r="B753" s="2" t="s">
        <v>9508</v>
      </c>
      <c r="C753" s="2" t="s">
        <v>9509</v>
      </c>
      <c r="D753" s="2" t="s">
        <v>9510</v>
      </c>
      <c r="F753" s="3" t="s">
        <v>59</v>
      </c>
      <c r="G753" s="3" t="s">
        <v>60</v>
      </c>
      <c r="H753" s="3" t="s">
        <v>70</v>
      </c>
      <c r="I753" s="3" t="s">
        <v>59</v>
      </c>
      <c r="J753" s="3" t="s">
        <v>61</v>
      </c>
      <c r="L753" s="2" t="s">
        <v>9129</v>
      </c>
      <c r="M753" s="3" t="s">
        <v>519</v>
      </c>
      <c r="O753" s="3" t="s">
        <v>64</v>
      </c>
      <c r="P753" s="3" t="s">
        <v>264</v>
      </c>
      <c r="R753" s="3" t="s">
        <v>67</v>
      </c>
      <c r="S753" s="4">
        <v>37</v>
      </c>
      <c r="T753" s="4">
        <v>74</v>
      </c>
      <c r="U753" s="5" t="s">
        <v>9511</v>
      </c>
      <c r="V753" s="5" t="s">
        <v>9512</v>
      </c>
      <c r="W753" s="5" t="s">
        <v>9513</v>
      </c>
      <c r="X753" s="5" t="s">
        <v>5289</v>
      </c>
      <c r="Y753" s="4">
        <v>488</v>
      </c>
      <c r="Z753" s="4">
        <v>332</v>
      </c>
      <c r="AA753" s="4">
        <v>442</v>
      </c>
      <c r="AB753" s="4">
        <v>5</v>
      </c>
      <c r="AC753" s="4">
        <v>5</v>
      </c>
      <c r="AD753" s="4">
        <v>14</v>
      </c>
      <c r="AE753" s="4">
        <v>16</v>
      </c>
      <c r="AF753" s="4">
        <v>5</v>
      </c>
      <c r="AG753" s="4">
        <v>6</v>
      </c>
      <c r="AH753" s="4">
        <v>3</v>
      </c>
      <c r="AI753" s="4">
        <v>4</v>
      </c>
      <c r="AJ753" s="4">
        <v>8</v>
      </c>
      <c r="AK753" s="4">
        <v>8</v>
      </c>
      <c r="AL753" s="4">
        <v>3</v>
      </c>
      <c r="AM753" s="4">
        <v>3</v>
      </c>
      <c r="AN753" s="4">
        <v>0</v>
      </c>
      <c r="AO753" s="4">
        <v>0</v>
      </c>
      <c r="AP753" s="3" t="s">
        <v>59</v>
      </c>
      <c r="AQ753" s="3" t="s">
        <v>70</v>
      </c>
      <c r="AR753" s="6" t="str">
        <f>HYPERLINK("http://catalog.hathitrust.org/Record/002818347","HathiTrust Record")</f>
        <v>HathiTrust Record</v>
      </c>
      <c r="AS753" s="6" t="str">
        <f>HYPERLINK("https://creighton-primo.hosted.exlibrisgroup.com/primo-explore/search?tab=default_tab&amp;search_scope=EVERYTHING&amp;vid=01CRU&amp;lang=en_US&amp;offset=0&amp;query=any,contains,991001798269702656","Catalog Record")</f>
        <v>Catalog Record</v>
      </c>
      <c r="AT753" s="6" t="str">
        <f>HYPERLINK("http://www.worldcat.org/oclc/29929377","WorldCat Record")</f>
        <v>WorldCat Record</v>
      </c>
      <c r="AU753" s="3" t="s">
        <v>9514</v>
      </c>
      <c r="AV753" s="3" t="s">
        <v>9515</v>
      </c>
      <c r="AW753" s="3" t="s">
        <v>9516</v>
      </c>
      <c r="AX753" s="3" t="s">
        <v>9516</v>
      </c>
      <c r="AY753" s="3" t="s">
        <v>9517</v>
      </c>
      <c r="AZ753" s="3" t="s">
        <v>75</v>
      </c>
      <c r="BB753" s="3" t="s">
        <v>9518</v>
      </c>
      <c r="BC753" s="3" t="s">
        <v>9519</v>
      </c>
      <c r="BD753" s="3" t="s">
        <v>9520</v>
      </c>
    </row>
    <row r="754" spans="1:56" ht="48" customHeight="1" x14ac:dyDescent="0.25">
      <c r="A754" s="7" t="s">
        <v>59</v>
      </c>
      <c r="B754" s="2" t="s">
        <v>9521</v>
      </c>
      <c r="C754" s="2" t="s">
        <v>9522</v>
      </c>
      <c r="D754" s="2" t="s">
        <v>9523</v>
      </c>
      <c r="F754" s="3" t="s">
        <v>59</v>
      </c>
      <c r="G754" s="3" t="s">
        <v>60</v>
      </c>
      <c r="H754" s="3" t="s">
        <v>59</v>
      </c>
      <c r="I754" s="3" t="s">
        <v>59</v>
      </c>
      <c r="J754" s="3" t="s">
        <v>61</v>
      </c>
      <c r="L754" s="2" t="s">
        <v>9524</v>
      </c>
      <c r="M754" s="3" t="s">
        <v>549</v>
      </c>
      <c r="O754" s="3" t="s">
        <v>64</v>
      </c>
      <c r="P754" s="3" t="s">
        <v>130</v>
      </c>
      <c r="Q754" s="2" t="s">
        <v>9525</v>
      </c>
      <c r="R754" s="3" t="s">
        <v>67</v>
      </c>
      <c r="S754" s="4">
        <v>2</v>
      </c>
      <c r="T754" s="4">
        <v>2</v>
      </c>
      <c r="U754" s="5" t="s">
        <v>9526</v>
      </c>
      <c r="V754" s="5" t="s">
        <v>9526</v>
      </c>
      <c r="W754" s="5" t="s">
        <v>6862</v>
      </c>
      <c r="X754" s="5" t="s">
        <v>6862</v>
      </c>
      <c r="Y754" s="4">
        <v>367</v>
      </c>
      <c r="Z754" s="4">
        <v>260</v>
      </c>
      <c r="AA754" s="4">
        <v>272</v>
      </c>
      <c r="AB754" s="4">
        <v>3</v>
      </c>
      <c r="AC754" s="4">
        <v>3</v>
      </c>
      <c r="AD754" s="4">
        <v>5</v>
      </c>
      <c r="AE754" s="4">
        <v>5</v>
      </c>
      <c r="AF754" s="4">
        <v>0</v>
      </c>
      <c r="AG754" s="4">
        <v>0</v>
      </c>
      <c r="AH754" s="4">
        <v>2</v>
      </c>
      <c r="AI754" s="4">
        <v>2</v>
      </c>
      <c r="AJ754" s="4">
        <v>3</v>
      </c>
      <c r="AK754" s="4">
        <v>3</v>
      </c>
      <c r="AL754" s="4">
        <v>2</v>
      </c>
      <c r="AM754" s="4">
        <v>2</v>
      </c>
      <c r="AN754" s="4">
        <v>0</v>
      </c>
      <c r="AO754" s="4">
        <v>0</v>
      </c>
      <c r="AP754" s="3" t="s">
        <v>59</v>
      </c>
      <c r="AQ754" s="3" t="s">
        <v>70</v>
      </c>
      <c r="AR754" s="6" t="str">
        <f>HYPERLINK("http://catalog.hathitrust.org/Record/000085971","HathiTrust Record")</f>
        <v>HathiTrust Record</v>
      </c>
      <c r="AS754" s="6" t="str">
        <f>HYPERLINK("https://creighton-primo.hosted.exlibrisgroup.com/primo-explore/search?tab=default_tab&amp;search_scope=EVERYTHING&amp;vid=01CRU&amp;lang=en_US&amp;offset=0&amp;query=any,contains,991004168299702656","Catalog Record")</f>
        <v>Catalog Record</v>
      </c>
      <c r="AT754" s="6" t="str">
        <f>HYPERLINK("http://www.worldcat.org/oclc/2572123","WorldCat Record")</f>
        <v>WorldCat Record</v>
      </c>
      <c r="AU754" s="3" t="s">
        <v>9527</v>
      </c>
      <c r="AV754" s="3" t="s">
        <v>9528</v>
      </c>
      <c r="AW754" s="3" t="s">
        <v>9529</v>
      </c>
      <c r="AX754" s="3" t="s">
        <v>9529</v>
      </c>
      <c r="AY754" s="3" t="s">
        <v>9530</v>
      </c>
      <c r="AZ754" s="3" t="s">
        <v>75</v>
      </c>
      <c r="BB754" s="3" t="s">
        <v>9531</v>
      </c>
      <c r="BC754" s="3" t="s">
        <v>9532</v>
      </c>
      <c r="BD754" s="3" t="s">
        <v>9533</v>
      </c>
    </row>
    <row r="755" spans="1:56" ht="48" customHeight="1" x14ac:dyDescent="0.25">
      <c r="A755" s="7" t="s">
        <v>59</v>
      </c>
      <c r="B755" s="2" t="s">
        <v>9534</v>
      </c>
      <c r="C755" s="2" t="s">
        <v>9535</v>
      </c>
      <c r="D755" s="2" t="s">
        <v>9536</v>
      </c>
      <c r="F755" s="3" t="s">
        <v>59</v>
      </c>
      <c r="G755" s="3" t="s">
        <v>60</v>
      </c>
      <c r="H755" s="3" t="s">
        <v>59</v>
      </c>
      <c r="I755" s="3" t="s">
        <v>59</v>
      </c>
      <c r="J755" s="3" t="s">
        <v>61</v>
      </c>
      <c r="L755" s="2" t="s">
        <v>9537</v>
      </c>
      <c r="M755" s="3" t="s">
        <v>1831</v>
      </c>
      <c r="O755" s="3" t="s">
        <v>64</v>
      </c>
      <c r="P755" s="3" t="s">
        <v>130</v>
      </c>
      <c r="Q755" s="2" t="s">
        <v>9538</v>
      </c>
      <c r="R755" s="3" t="s">
        <v>67</v>
      </c>
      <c r="S755" s="4">
        <v>8</v>
      </c>
      <c r="T755" s="4">
        <v>8</v>
      </c>
      <c r="U755" s="5" t="s">
        <v>4702</v>
      </c>
      <c r="V755" s="5" t="s">
        <v>4702</v>
      </c>
      <c r="W755" s="5" t="s">
        <v>6862</v>
      </c>
      <c r="X755" s="5" t="s">
        <v>6862</v>
      </c>
      <c r="Y755" s="4">
        <v>380</v>
      </c>
      <c r="Z755" s="4">
        <v>279</v>
      </c>
      <c r="AA755" s="4">
        <v>281</v>
      </c>
      <c r="AB755" s="4">
        <v>3</v>
      </c>
      <c r="AC755" s="4">
        <v>3</v>
      </c>
      <c r="AD755" s="4">
        <v>8</v>
      </c>
      <c r="AE755" s="4">
        <v>8</v>
      </c>
      <c r="AF755" s="4">
        <v>1</v>
      </c>
      <c r="AG755" s="4">
        <v>1</v>
      </c>
      <c r="AH755" s="4">
        <v>3</v>
      </c>
      <c r="AI755" s="4">
        <v>3</v>
      </c>
      <c r="AJ755" s="4">
        <v>4</v>
      </c>
      <c r="AK755" s="4">
        <v>4</v>
      </c>
      <c r="AL755" s="4">
        <v>2</v>
      </c>
      <c r="AM755" s="4">
        <v>2</v>
      </c>
      <c r="AN755" s="4">
        <v>0</v>
      </c>
      <c r="AO755" s="4">
        <v>0</v>
      </c>
      <c r="AP755" s="3" t="s">
        <v>59</v>
      </c>
      <c r="AQ755" s="3" t="s">
        <v>70</v>
      </c>
      <c r="AR755" s="6" t="str">
        <f>HYPERLINK("http://catalog.hathitrust.org/Record/000702589","HathiTrust Record")</f>
        <v>HathiTrust Record</v>
      </c>
      <c r="AS755" s="6" t="str">
        <f>HYPERLINK("https://creighton-primo.hosted.exlibrisgroup.com/primo-explore/search?tab=default_tab&amp;search_scope=EVERYTHING&amp;vid=01CRU&amp;lang=en_US&amp;offset=0&amp;query=any,contains,991005264409702656","Catalog Record")</f>
        <v>Catalog Record</v>
      </c>
      <c r="AT755" s="6" t="str">
        <f>HYPERLINK("http://www.worldcat.org/oclc/1878387","WorldCat Record")</f>
        <v>WorldCat Record</v>
      </c>
      <c r="AU755" s="3" t="s">
        <v>9539</v>
      </c>
      <c r="AV755" s="3" t="s">
        <v>9540</v>
      </c>
      <c r="AW755" s="3" t="s">
        <v>9541</v>
      </c>
      <c r="AX755" s="3" t="s">
        <v>9541</v>
      </c>
      <c r="AY755" s="3" t="s">
        <v>9542</v>
      </c>
      <c r="AZ755" s="3" t="s">
        <v>75</v>
      </c>
      <c r="BB755" s="3" t="s">
        <v>9543</v>
      </c>
      <c r="BC755" s="3" t="s">
        <v>9544</v>
      </c>
      <c r="BD755" s="3" t="s">
        <v>9545</v>
      </c>
    </row>
    <row r="756" spans="1:56" ht="48" customHeight="1" x14ac:dyDescent="0.25">
      <c r="A756" s="7" t="s">
        <v>59</v>
      </c>
      <c r="B756" s="2" t="s">
        <v>9546</v>
      </c>
      <c r="C756" s="2" t="s">
        <v>9547</v>
      </c>
      <c r="D756" s="2" t="s">
        <v>9548</v>
      </c>
      <c r="F756" s="3" t="s">
        <v>59</v>
      </c>
      <c r="G756" s="3" t="s">
        <v>60</v>
      </c>
      <c r="H756" s="3" t="s">
        <v>59</v>
      </c>
      <c r="I756" s="3" t="s">
        <v>59</v>
      </c>
      <c r="J756" s="3" t="s">
        <v>61</v>
      </c>
      <c r="L756" s="2" t="s">
        <v>9549</v>
      </c>
      <c r="M756" s="3" t="s">
        <v>519</v>
      </c>
      <c r="O756" s="3" t="s">
        <v>64</v>
      </c>
      <c r="P756" s="3" t="s">
        <v>130</v>
      </c>
      <c r="R756" s="3" t="s">
        <v>67</v>
      </c>
      <c r="S756" s="4">
        <v>11</v>
      </c>
      <c r="T756" s="4">
        <v>11</v>
      </c>
      <c r="U756" s="5" t="s">
        <v>9550</v>
      </c>
      <c r="V756" s="5" t="s">
        <v>9550</v>
      </c>
      <c r="W756" s="5" t="s">
        <v>8301</v>
      </c>
      <c r="X756" s="5" t="s">
        <v>8301</v>
      </c>
      <c r="Y756" s="4">
        <v>600</v>
      </c>
      <c r="Z756" s="4">
        <v>459</v>
      </c>
      <c r="AA756" s="4">
        <v>490</v>
      </c>
      <c r="AB756" s="4">
        <v>3</v>
      </c>
      <c r="AC756" s="4">
        <v>3</v>
      </c>
      <c r="AD756" s="4">
        <v>18</v>
      </c>
      <c r="AE756" s="4">
        <v>21</v>
      </c>
      <c r="AF756" s="4">
        <v>8</v>
      </c>
      <c r="AG756" s="4">
        <v>10</v>
      </c>
      <c r="AH756" s="4">
        <v>5</v>
      </c>
      <c r="AI756" s="4">
        <v>6</v>
      </c>
      <c r="AJ756" s="4">
        <v>6</v>
      </c>
      <c r="AK756" s="4">
        <v>8</v>
      </c>
      <c r="AL756" s="4">
        <v>2</v>
      </c>
      <c r="AM756" s="4">
        <v>2</v>
      </c>
      <c r="AN756" s="4">
        <v>0</v>
      </c>
      <c r="AO756" s="4">
        <v>0</v>
      </c>
      <c r="AP756" s="3" t="s">
        <v>59</v>
      </c>
      <c r="AQ756" s="3" t="s">
        <v>70</v>
      </c>
      <c r="AR756" s="6" t="str">
        <f>HYPERLINK("http://catalog.hathitrust.org/Record/002734007","HathiTrust Record")</f>
        <v>HathiTrust Record</v>
      </c>
      <c r="AS756" s="6" t="str">
        <f>HYPERLINK("https://creighton-primo.hosted.exlibrisgroup.com/primo-explore/search?tab=default_tab&amp;search_scope=EVERYTHING&amp;vid=01CRU&amp;lang=en_US&amp;offset=0&amp;query=any,contains,991002077729702656","Catalog Record")</f>
        <v>Catalog Record</v>
      </c>
      <c r="AT756" s="6" t="str">
        <f>HYPERLINK("http://www.worldcat.org/oclc/26634636","WorldCat Record")</f>
        <v>WorldCat Record</v>
      </c>
      <c r="AU756" s="3" t="s">
        <v>9551</v>
      </c>
      <c r="AV756" s="3" t="s">
        <v>9552</v>
      </c>
      <c r="AW756" s="3" t="s">
        <v>9553</v>
      </c>
      <c r="AX756" s="3" t="s">
        <v>9553</v>
      </c>
      <c r="AY756" s="3" t="s">
        <v>9554</v>
      </c>
      <c r="AZ756" s="3" t="s">
        <v>75</v>
      </c>
      <c r="BB756" s="3" t="s">
        <v>9555</v>
      </c>
      <c r="BC756" s="3" t="s">
        <v>9556</v>
      </c>
      <c r="BD756" s="3" t="s">
        <v>9557</v>
      </c>
    </row>
    <row r="757" spans="1:56" ht="48" customHeight="1" x14ac:dyDescent="0.25">
      <c r="A757" s="7" t="s">
        <v>59</v>
      </c>
      <c r="B757" s="2" t="s">
        <v>9558</v>
      </c>
      <c r="C757" s="2" t="s">
        <v>9559</v>
      </c>
      <c r="D757" s="2" t="s">
        <v>9560</v>
      </c>
      <c r="F757" s="3" t="s">
        <v>59</v>
      </c>
      <c r="G757" s="3" t="s">
        <v>60</v>
      </c>
      <c r="H757" s="3" t="s">
        <v>59</v>
      </c>
      <c r="I757" s="3" t="s">
        <v>70</v>
      </c>
      <c r="J757" s="3" t="s">
        <v>61</v>
      </c>
      <c r="K757" s="2" t="s">
        <v>9561</v>
      </c>
      <c r="L757" s="2" t="s">
        <v>9562</v>
      </c>
      <c r="M757" s="3" t="s">
        <v>190</v>
      </c>
      <c r="N757" s="2" t="s">
        <v>9563</v>
      </c>
      <c r="O757" s="3" t="s">
        <v>64</v>
      </c>
      <c r="P757" s="3" t="s">
        <v>84</v>
      </c>
      <c r="R757" s="3" t="s">
        <v>67</v>
      </c>
      <c r="S757" s="4">
        <v>5</v>
      </c>
      <c r="T757" s="4">
        <v>5</v>
      </c>
      <c r="U757" s="5" t="s">
        <v>9564</v>
      </c>
      <c r="V757" s="5" t="s">
        <v>9564</v>
      </c>
      <c r="W757" s="5" t="s">
        <v>9565</v>
      </c>
      <c r="X757" s="5" t="s">
        <v>9565</v>
      </c>
      <c r="Y757" s="4">
        <v>472</v>
      </c>
      <c r="Z757" s="4">
        <v>329</v>
      </c>
      <c r="AA757" s="4">
        <v>605</v>
      </c>
      <c r="AB757" s="4">
        <v>3</v>
      </c>
      <c r="AC757" s="4">
        <v>5</v>
      </c>
      <c r="AD757" s="4">
        <v>14</v>
      </c>
      <c r="AE757" s="4">
        <v>27</v>
      </c>
      <c r="AF757" s="4">
        <v>3</v>
      </c>
      <c r="AG757" s="4">
        <v>9</v>
      </c>
      <c r="AH757" s="4">
        <v>5</v>
      </c>
      <c r="AI757" s="4">
        <v>9</v>
      </c>
      <c r="AJ757" s="4">
        <v>9</v>
      </c>
      <c r="AK757" s="4">
        <v>16</v>
      </c>
      <c r="AL757" s="4">
        <v>2</v>
      </c>
      <c r="AM757" s="4">
        <v>3</v>
      </c>
      <c r="AN757" s="4">
        <v>0</v>
      </c>
      <c r="AO757" s="4">
        <v>0</v>
      </c>
      <c r="AP757" s="3" t="s">
        <v>59</v>
      </c>
      <c r="AQ757" s="3" t="s">
        <v>70</v>
      </c>
      <c r="AR757" s="6" t="str">
        <f>HYPERLINK("http://catalog.hathitrust.org/Record/000815459","HathiTrust Record")</f>
        <v>HathiTrust Record</v>
      </c>
      <c r="AS757" s="6" t="str">
        <f>HYPERLINK("https://creighton-primo.hosted.exlibrisgroup.com/primo-explore/search?tab=default_tab&amp;search_scope=EVERYTHING&amp;vid=01CRU&amp;lang=en_US&amp;offset=0&amp;query=any,contains,991000846499702656","Catalog Record")</f>
        <v>Catalog Record</v>
      </c>
      <c r="AT757" s="6" t="str">
        <f>HYPERLINK("http://www.worldcat.org/oclc/13560893","WorldCat Record")</f>
        <v>WorldCat Record</v>
      </c>
      <c r="AU757" s="3" t="s">
        <v>9566</v>
      </c>
      <c r="AV757" s="3" t="s">
        <v>9567</v>
      </c>
      <c r="AW757" s="3" t="s">
        <v>9568</v>
      </c>
      <c r="AX757" s="3" t="s">
        <v>9568</v>
      </c>
      <c r="AY757" s="3" t="s">
        <v>9569</v>
      </c>
      <c r="AZ757" s="3" t="s">
        <v>75</v>
      </c>
      <c r="BB757" s="3" t="s">
        <v>9570</v>
      </c>
      <c r="BC757" s="3" t="s">
        <v>9571</v>
      </c>
      <c r="BD757" s="3" t="s">
        <v>9572</v>
      </c>
    </row>
    <row r="758" spans="1:56" ht="48" customHeight="1" x14ac:dyDescent="0.25">
      <c r="A758" s="7" t="s">
        <v>59</v>
      </c>
      <c r="B758" s="2" t="s">
        <v>9573</v>
      </c>
      <c r="C758" s="2" t="s">
        <v>9574</v>
      </c>
      <c r="D758" s="2" t="s">
        <v>9575</v>
      </c>
      <c r="F758" s="3" t="s">
        <v>59</v>
      </c>
      <c r="G758" s="3" t="s">
        <v>60</v>
      </c>
      <c r="H758" s="3" t="s">
        <v>59</v>
      </c>
      <c r="I758" s="3" t="s">
        <v>59</v>
      </c>
      <c r="J758" s="3" t="s">
        <v>61</v>
      </c>
      <c r="L758" s="2" t="s">
        <v>9576</v>
      </c>
      <c r="M758" s="3" t="s">
        <v>1611</v>
      </c>
      <c r="O758" s="3" t="s">
        <v>64</v>
      </c>
      <c r="P758" s="3" t="s">
        <v>130</v>
      </c>
      <c r="Q758" s="2" t="s">
        <v>8713</v>
      </c>
      <c r="R758" s="3" t="s">
        <v>67</v>
      </c>
      <c r="S758" s="4">
        <v>2</v>
      </c>
      <c r="T758" s="4">
        <v>2</v>
      </c>
      <c r="U758" s="5" t="s">
        <v>3766</v>
      </c>
      <c r="V758" s="5" t="s">
        <v>3766</v>
      </c>
      <c r="W758" s="5" t="s">
        <v>9577</v>
      </c>
      <c r="X758" s="5" t="s">
        <v>9577</v>
      </c>
      <c r="Y758" s="4">
        <v>417</v>
      </c>
      <c r="Z758" s="4">
        <v>308</v>
      </c>
      <c r="AA758" s="4">
        <v>308</v>
      </c>
      <c r="AB758" s="4">
        <v>2</v>
      </c>
      <c r="AC758" s="4">
        <v>2</v>
      </c>
      <c r="AD758" s="4">
        <v>14</v>
      </c>
      <c r="AE758" s="4">
        <v>14</v>
      </c>
      <c r="AF758" s="4">
        <v>3</v>
      </c>
      <c r="AG758" s="4">
        <v>3</v>
      </c>
      <c r="AH758" s="4">
        <v>4</v>
      </c>
      <c r="AI758" s="4">
        <v>4</v>
      </c>
      <c r="AJ758" s="4">
        <v>10</v>
      </c>
      <c r="AK758" s="4">
        <v>10</v>
      </c>
      <c r="AL758" s="4">
        <v>1</v>
      </c>
      <c r="AM758" s="4">
        <v>1</v>
      </c>
      <c r="AN758" s="4">
        <v>0</v>
      </c>
      <c r="AO758" s="4">
        <v>0</v>
      </c>
      <c r="AP758" s="3" t="s">
        <v>59</v>
      </c>
      <c r="AQ758" s="3" t="s">
        <v>59</v>
      </c>
      <c r="AS758" s="6" t="str">
        <f>HYPERLINK("https://creighton-primo.hosted.exlibrisgroup.com/primo-explore/search?tab=default_tab&amp;search_scope=EVERYTHING&amp;vid=01CRU&amp;lang=en_US&amp;offset=0&amp;query=any,contains,991002517739702656","Catalog Record")</f>
        <v>Catalog Record</v>
      </c>
      <c r="AT758" s="6" t="str">
        <f>HYPERLINK("http://www.worldcat.org/oclc/32745668","WorldCat Record")</f>
        <v>WorldCat Record</v>
      </c>
      <c r="AU758" s="3" t="s">
        <v>9578</v>
      </c>
      <c r="AV758" s="3" t="s">
        <v>9579</v>
      </c>
      <c r="AW758" s="3" t="s">
        <v>9580</v>
      </c>
      <c r="AX758" s="3" t="s">
        <v>9580</v>
      </c>
      <c r="AY758" s="3" t="s">
        <v>9581</v>
      </c>
      <c r="AZ758" s="3" t="s">
        <v>75</v>
      </c>
      <c r="BB758" s="3" t="s">
        <v>9582</v>
      </c>
      <c r="BC758" s="3" t="s">
        <v>9583</v>
      </c>
      <c r="BD758" s="3" t="s">
        <v>9584</v>
      </c>
    </row>
    <row r="759" spans="1:56" ht="48" customHeight="1" x14ac:dyDescent="0.25">
      <c r="A759" s="7" t="s">
        <v>59</v>
      </c>
      <c r="B759" s="2" t="s">
        <v>9585</v>
      </c>
      <c r="C759" s="2" t="s">
        <v>9586</v>
      </c>
      <c r="D759" s="2" t="s">
        <v>9587</v>
      </c>
      <c r="E759" s="3" t="s">
        <v>1470</v>
      </c>
      <c r="F759" s="3" t="s">
        <v>70</v>
      </c>
      <c r="G759" s="3" t="s">
        <v>60</v>
      </c>
      <c r="H759" s="3" t="s">
        <v>59</v>
      </c>
      <c r="I759" s="3" t="s">
        <v>59</v>
      </c>
      <c r="J759" s="3" t="s">
        <v>61</v>
      </c>
      <c r="K759" s="2" t="s">
        <v>9588</v>
      </c>
      <c r="L759" s="2" t="s">
        <v>9589</v>
      </c>
      <c r="M759" s="3" t="s">
        <v>219</v>
      </c>
      <c r="O759" s="3" t="s">
        <v>64</v>
      </c>
      <c r="P759" s="3" t="s">
        <v>130</v>
      </c>
      <c r="R759" s="3" t="s">
        <v>67</v>
      </c>
      <c r="S759" s="4">
        <v>2</v>
      </c>
      <c r="T759" s="4">
        <v>2</v>
      </c>
      <c r="U759" s="5" t="s">
        <v>9590</v>
      </c>
      <c r="V759" s="5" t="s">
        <v>9590</v>
      </c>
      <c r="W759" s="5" t="s">
        <v>2089</v>
      </c>
      <c r="X759" s="5" t="s">
        <v>2089</v>
      </c>
      <c r="Y759" s="4">
        <v>92</v>
      </c>
      <c r="Z759" s="4">
        <v>76</v>
      </c>
      <c r="AA759" s="4">
        <v>78</v>
      </c>
      <c r="AB759" s="4">
        <v>1</v>
      </c>
      <c r="AC759" s="4">
        <v>1</v>
      </c>
      <c r="AD759" s="4">
        <v>3</v>
      </c>
      <c r="AE759" s="4">
        <v>3</v>
      </c>
      <c r="AF759" s="4">
        <v>0</v>
      </c>
      <c r="AG759" s="4">
        <v>0</v>
      </c>
      <c r="AH759" s="4">
        <v>2</v>
      </c>
      <c r="AI759" s="4">
        <v>2</v>
      </c>
      <c r="AJ759" s="4">
        <v>1</v>
      </c>
      <c r="AK759" s="4">
        <v>1</v>
      </c>
      <c r="AL759" s="4">
        <v>0</v>
      </c>
      <c r="AM759" s="4">
        <v>0</v>
      </c>
      <c r="AN759" s="4">
        <v>0</v>
      </c>
      <c r="AO759" s="4">
        <v>0</v>
      </c>
      <c r="AP759" s="3" t="s">
        <v>59</v>
      </c>
      <c r="AQ759" s="3" t="s">
        <v>70</v>
      </c>
      <c r="AR759" s="6" t="str">
        <f>HYPERLINK("http://catalog.hathitrust.org/Record/002205748","HathiTrust Record")</f>
        <v>HathiTrust Record</v>
      </c>
      <c r="AS759" s="6" t="str">
        <f>HYPERLINK("https://creighton-primo.hosted.exlibrisgroup.com/primo-explore/search?tab=default_tab&amp;search_scope=EVERYTHING&amp;vid=01CRU&amp;lang=en_US&amp;offset=0&amp;query=any,contains,991001683629702656","Catalog Record")</f>
        <v>Catalog Record</v>
      </c>
      <c r="AT759" s="6" t="str">
        <f>HYPERLINK("http://www.worldcat.org/oclc/21376156","WorldCat Record")</f>
        <v>WorldCat Record</v>
      </c>
      <c r="AU759" s="3" t="s">
        <v>9591</v>
      </c>
      <c r="AV759" s="3" t="s">
        <v>9592</v>
      </c>
      <c r="AW759" s="3" t="s">
        <v>9593</v>
      </c>
      <c r="AX759" s="3" t="s">
        <v>9593</v>
      </c>
      <c r="AY759" s="3" t="s">
        <v>9594</v>
      </c>
      <c r="AZ759" s="3" t="s">
        <v>75</v>
      </c>
      <c r="BB759" s="3" t="s">
        <v>9595</v>
      </c>
      <c r="BC759" s="3" t="s">
        <v>9596</v>
      </c>
      <c r="BD759" s="3" t="s">
        <v>9597</v>
      </c>
    </row>
    <row r="760" spans="1:56" ht="48" customHeight="1" x14ac:dyDescent="0.25">
      <c r="A760" s="7" t="s">
        <v>59</v>
      </c>
      <c r="B760" s="2" t="s">
        <v>9598</v>
      </c>
      <c r="C760" s="2" t="s">
        <v>9599</v>
      </c>
      <c r="D760" s="2" t="s">
        <v>9600</v>
      </c>
      <c r="F760" s="3" t="s">
        <v>59</v>
      </c>
      <c r="G760" s="3" t="s">
        <v>60</v>
      </c>
      <c r="H760" s="3" t="s">
        <v>59</v>
      </c>
      <c r="I760" s="3" t="s">
        <v>59</v>
      </c>
      <c r="J760" s="3" t="s">
        <v>61</v>
      </c>
      <c r="K760" s="2" t="s">
        <v>9601</v>
      </c>
      <c r="L760" s="2" t="s">
        <v>518</v>
      </c>
      <c r="M760" s="3" t="s">
        <v>519</v>
      </c>
      <c r="N760" s="2" t="s">
        <v>731</v>
      </c>
      <c r="O760" s="3" t="s">
        <v>64</v>
      </c>
      <c r="P760" s="3" t="s">
        <v>84</v>
      </c>
      <c r="R760" s="3" t="s">
        <v>67</v>
      </c>
      <c r="S760" s="4">
        <v>12</v>
      </c>
      <c r="T760" s="4">
        <v>12</v>
      </c>
      <c r="U760" s="5" t="s">
        <v>9602</v>
      </c>
      <c r="V760" s="5" t="s">
        <v>9602</v>
      </c>
      <c r="W760" s="5" t="s">
        <v>9603</v>
      </c>
      <c r="X760" s="5" t="s">
        <v>9603</v>
      </c>
      <c r="Y760" s="4">
        <v>196</v>
      </c>
      <c r="Z760" s="4">
        <v>111</v>
      </c>
      <c r="AA760" s="4">
        <v>131</v>
      </c>
      <c r="AB760" s="4">
        <v>1</v>
      </c>
      <c r="AC760" s="4">
        <v>2</v>
      </c>
      <c r="AD760" s="4">
        <v>2</v>
      </c>
      <c r="AE760" s="4">
        <v>3</v>
      </c>
      <c r="AF760" s="4">
        <v>0</v>
      </c>
      <c r="AG760" s="4">
        <v>0</v>
      </c>
      <c r="AH760" s="4">
        <v>2</v>
      </c>
      <c r="AI760" s="4">
        <v>2</v>
      </c>
      <c r="AJ760" s="4">
        <v>1</v>
      </c>
      <c r="AK760" s="4">
        <v>1</v>
      </c>
      <c r="AL760" s="4">
        <v>0</v>
      </c>
      <c r="AM760" s="4">
        <v>1</v>
      </c>
      <c r="AN760" s="4">
        <v>0</v>
      </c>
      <c r="AO760" s="4">
        <v>0</v>
      </c>
      <c r="AP760" s="3" t="s">
        <v>59</v>
      </c>
      <c r="AQ760" s="3" t="s">
        <v>59</v>
      </c>
      <c r="AS760" s="6" t="str">
        <f>HYPERLINK("https://creighton-primo.hosted.exlibrisgroup.com/primo-explore/search?tab=default_tab&amp;search_scope=EVERYTHING&amp;vid=01CRU&amp;lang=en_US&amp;offset=0&amp;query=any,contains,991002346539702656","Catalog Record")</f>
        <v>Catalog Record</v>
      </c>
      <c r="AT760" s="6" t="str">
        <f>HYPERLINK("http://www.worldcat.org/oclc/30546271","WorldCat Record")</f>
        <v>WorldCat Record</v>
      </c>
      <c r="AU760" s="3" t="s">
        <v>9604</v>
      </c>
      <c r="AV760" s="3" t="s">
        <v>9605</v>
      </c>
      <c r="AW760" s="3" t="s">
        <v>9606</v>
      </c>
      <c r="AX760" s="3" t="s">
        <v>9606</v>
      </c>
      <c r="AY760" s="3" t="s">
        <v>9607</v>
      </c>
      <c r="AZ760" s="3" t="s">
        <v>75</v>
      </c>
      <c r="BB760" s="3" t="s">
        <v>9608</v>
      </c>
      <c r="BC760" s="3" t="s">
        <v>9609</v>
      </c>
      <c r="BD760" s="3" t="s">
        <v>9610</v>
      </c>
    </row>
    <row r="761" spans="1:56" ht="48" customHeight="1" x14ac:dyDescent="0.25">
      <c r="A761" s="7" t="s">
        <v>59</v>
      </c>
      <c r="B761" s="2" t="s">
        <v>9611</v>
      </c>
      <c r="C761" s="2" t="s">
        <v>9612</v>
      </c>
      <c r="D761" s="2" t="s">
        <v>9613</v>
      </c>
      <c r="F761" s="3" t="s">
        <v>59</v>
      </c>
      <c r="G761" s="3" t="s">
        <v>60</v>
      </c>
      <c r="H761" s="3" t="s">
        <v>59</v>
      </c>
      <c r="I761" s="3" t="s">
        <v>59</v>
      </c>
      <c r="J761" s="3" t="s">
        <v>61</v>
      </c>
      <c r="L761" s="2" t="s">
        <v>9614</v>
      </c>
      <c r="M761" s="3" t="s">
        <v>219</v>
      </c>
      <c r="N761" s="2" t="s">
        <v>114</v>
      </c>
      <c r="O761" s="3" t="s">
        <v>64</v>
      </c>
      <c r="P761" s="3" t="s">
        <v>84</v>
      </c>
      <c r="Q761" s="2" t="s">
        <v>3871</v>
      </c>
      <c r="R761" s="3" t="s">
        <v>67</v>
      </c>
      <c r="S761" s="4">
        <v>1</v>
      </c>
      <c r="T761" s="4">
        <v>1</v>
      </c>
      <c r="U761" s="5" t="s">
        <v>9615</v>
      </c>
      <c r="V761" s="5" t="s">
        <v>9615</v>
      </c>
      <c r="W761" s="5" t="s">
        <v>9616</v>
      </c>
      <c r="X761" s="5" t="s">
        <v>9616</v>
      </c>
      <c r="Y761" s="4">
        <v>368</v>
      </c>
      <c r="Z761" s="4">
        <v>243</v>
      </c>
      <c r="AA761" s="4">
        <v>484</v>
      </c>
      <c r="AB761" s="4">
        <v>2</v>
      </c>
      <c r="AC761" s="4">
        <v>4</v>
      </c>
      <c r="AD761" s="4">
        <v>9</v>
      </c>
      <c r="AE761" s="4">
        <v>21</v>
      </c>
      <c r="AF761" s="4">
        <v>2</v>
      </c>
      <c r="AG761" s="4">
        <v>7</v>
      </c>
      <c r="AH761" s="4">
        <v>4</v>
      </c>
      <c r="AI761" s="4">
        <v>5</v>
      </c>
      <c r="AJ761" s="4">
        <v>5</v>
      </c>
      <c r="AK761" s="4">
        <v>11</v>
      </c>
      <c r="AL761" s="4">
        <v>1</v>
      </c>
      <c r="AM761" s="4">
        <v>3</v>
      </c>
      <c r="AN761" s="4">
        <v>0</v>
      </c>
      <c r="AO761" s="4">
        <v>0</v>
      </c>
      <c r="AP761" s="3" t="s">
        <v>59</v>
      </c>
      <c r="AQ761" s="3" t="s">
        <v>70</v>
      </c>
      <c r="AR761" s="6" t="str">
        <f>HYPERLINK("http://catalog.hathitrust.org/Record/002219691","HathiTrust Record")</f>
        <v>HathiTrust Record</v>
      </c>
      <c r="AS761" s="6" t="str">
        <f>HYPERLINK("https://creighton-primo.hosted.exlibrisgroup.com/primo-explore/search?tab=default_tab&amp;search_scope=EVERYTHING&amp;vid=01CRU&amp;lang=en_US&amp;offset=0&amp;query=any,contains,991001671859702656","Catalog Record")</f>
        <v>Catalog Record</v>
      </c>
      <c r="AT761" s="6" t="str">
        <f>HYPERLINK("http://www.worldcat.org/oclc/21295280","WorldCat Record")</f>
        <v>WorldCat Record</v>
      </c>
      <c r="AU761" s="3" t="s">
        <v>9617</v>
      </c>
      <c r="AV761" s="3" t="s">
        <v>9618</v>
      </c>
      <c r="AW761" s="3" t="s">
        <v>9619</v>
      </c>
      <c r="AX761" s="3" t="s">
        <v>9619</v>
      </c>
      <c r="AY761" s="3" t="s">
        <v>9620</v>
      </c>
      <c r="AZ761" s="3" t="s">
        <v>75</v>
      </c>
      <c r="BB761" s="3" t="s">
        <v>9621</v>
      </c>
      <c r="BC761" s="3" t="s">
        <v>9622</v>
      </c>
      <c r="BD761" s="3" t="s">
        <v>9623</v>
      </c>
    </row>
    <row r="762" spans="1:56" ht="48" customHeight="1" x14ac:dyDescent="0.25">
      <c r="A762" s="7" t="s">
        <v>59</v>
      </c>
      <c r="B762" s="2" t="s">
        <v>9624</v>
      </c>
      <c r="C762" s="2" t="s">
        <v>9625</v>
      </c>
      <c r="D762" s="2" t="s">
        <v>9626</v>
      </c>
      <c r="F762" s="3" t="s">
        <v>59</v>
      </c>
      <c r="G762" s="3" t="s">
        <v>60</v>
      </c>
      <c r="H762" s="3" t="s">
        <v>59</v>
      </c>
      <c r="I762" s="3" t="s">
        <v>59</v>
      </c>
      <c r="J762" s="3" t="s">
        <v>61</v>
      </c>
      <c r="K762" s="2" t="s">
        <v>9627</v>
      </c>
      <c r="L762" s="2" t="s">
        <v>9628</v>
      </c>
      <c r="M762" s="3" t="s">
        <v>1611</v>
      </c>
      <c r="O762" s="3" t="s">
        <v>64</v>
      </c>
      <c r="P762" s="3" t="s">
        <v>84</v>
      </c>
      <c r="R762" s="3" t="s">
        <v>67</v>
      </c>
      <c r="S762" s="4">
        <v>2</v>
      </c>
      <c r="T762" s="4">
        <v>2</v>
      </c>
      <c r="U762" s="5" t="s">
        <v>9629</v>
      </c>
      <c r="V762" s="5" t="s">
        <v>9629</v>
      </c>
      <c r="W762" s="5" t="s">
        <v>9630</v>
      </c>
      <c r="X762" s="5" t="s">
        <v>9630</v>
      </c>
      <c r="Y762" s="4">
        <v>279</v>
      </c>
      <c r="Z762" s="4">
        <v>186</v>
      </c>
      <c r="AA762" s="4">
        <v>204</v>
      </c>
      <c r="AB762" s="4">
        <v>3</v>
      </c>
      <c r="AC762" s="4">
        <v>3</v>
      </c>
      <c r="AD762" s="4">
        <v>9</v>
      </c>
      <c r="AE762" s="4">
        <v>9</v>
      </c>
      <c r="AF762" s="4">
        <v>1</v>
      </c>
      <c r="AG762" s="4">
        <v>1</v>
      </c>
      <c r="AH762" s="4">
        <v>4</v>
      </c>
      <c r="AI762" s="4">
        <v>4</v>
      </c>
      <c r="AJ762" s="4">
        <v>6</v>
      </c>
      <c r="AK762" s="4">
        <v>6</v>
      </c>
      <c r="AL762" s="4">
        <v>2</v>
      </c>
      <c r="AM762" s="4">
        <v>2</v>
      </c>
      <c r="AN762" s="4">
        <v>0</v>
      </c>
      <c r="AO762" s="4">
        <v>0</v>
      </c>
      <c r="AP762" s="3" t="s">
        <v>59</v>
      </c>
      <c r="AQ762" s="3" t="s">
        <v>70</v>
      </c>
      <c r="AR762" s="6" t="str">
        <f>HYPERLINK("http://catalog.hathitrust.org/Record/101970503","HathiTrust Record")</f>
        <v>HathiTrust Record</v>
      </c>
      <c r="AS762" s="6" t="str">
        <f>HYPERLINK("https://creighton-primo.hosted.exlibrisgroup.com/primo-explore/search?tab=default_tab&amp;search_scope=EVERYTHING&amp;vid=01CRU&amp;lang=en_US&amp;offset=0&amp;query=any,contains,991002651619702656","Catalog Record")</f>
        <v>Catalog Record</v>
      </c>
      <c r="AT762" s="6" t="str">
        <f>HYPERLINK("http://www.worldcat.org/oclc/34675961","WorldCat Record")</f>
        <v>WorldCat Record</v>
      </c>
      <c r="AU762" s="3" t="s">
        <v>9631</v>
      </c>
      <c r="AV762" s="3" t="s">
        <v>9632</v>
      </c>
      <c r="AW762" s="3" t="s">
        <v>9633</v>
      </c>
      <c r="AX762" s="3" t="s">
        <v>9633</v>
      </c>
      <c r="AY762" s="3" t="s">
        <v>9634</v>
      </c>
      <c r="AZ762" s="3" t="s">
        <v>75</v>
      </c>
      <c r="BB762" s="3" t="s">
        <v>9635</v>
      </c>
      <c r="BC762" s="3" t="s">
        <v>9636</v>
      </c>
      <c r="BD762" s="3" t="s">
        <v>9637</v>
      </c>
    </row>
    <row r="763" spans="1:56" ht="48" customHeight="1" x14ac:dyDescent="0.25">
      <c r="A763" s="7" t="s">
        <v>59</v>
      </c>
      <c r="B763" s="2" t="s">
        <v>9638</v>
      </c>
      <c r="C763" s="2" t="s">
        <v>9639</v>
      </c>
      <c r="D763" s="2" t="s">
        <v>9640</v>
      </c>
      <c r="F763" s="3" t="s">
        <v>59</v>
      </c>
      <c r="G763" s="3" t="s">
        <v>60</v>
      </c>
      <c r="H763" s="3" t="s">
        <v>59</v>
      </c>
      <c r="I763" s="3" t="s">
        <v>59</v>
      </c>
      <c r="J763" s="3" t="s">
        <v>61</v>
      </c>
      <c r="L763" s="2" t="s">
        <v>9641</v>
      </c>
      <c r="M763" s="3" t="s">
        <v>604</v>
      </c>
      <c r="O763" s="3" t="s">
        <v>64</v>
      </c>
      <c r="P763" s="3" t="s">
        <v>84</v>
      </c>
      <c r="Q763" s="2" t="s">
        <v>9642</v>
      </c>
      <c r="R763" s="3" t="s">
        <v>67</v>
      </c>
      <c r="S763" s="4">
        <v>2</v>
      </c>
      <c r="T763" s="4">
        <v>2</v>
      </c>
      <c r="U763" s="5" t="s">
        <v>9643</v>
      </c>
      <c r="V763" s="5" t="s">
        <v>9643</v>
      </c>
      <c r="W763" s="5" t="s">
        <v>3971</v>
      </c>
      <c r="X763" s="5" t="s">
        <v>3971</v>
      </c>
      <c r="Y763" s="4">
        <v>207</v>
      </c>
      <c r="Z763" s="4">
        <v>143</v>
      </c>
      <c r="AA763" s="4">
        <v>149</v>
      </c>
      <c r="AB763" s="4">
        <v>1</v>
      </c>
      <c r="AC763" s="4">
        <v>1</v>
      </c>
      <c r="AD763" s="4">
        <v>3</v>
      </c>
      <c r="AE763" s="4">
        <v>3</v>
      </c>
      <c r="AF763" s="4">
        <v>1</v>
      </c>
      <c r="AG763" s="4">
        <v>1</v>
      </c>
      <c r="AH763" s="4">
        <v>1</v>
      </c>
      <c r="AI763" s="4">
        <v>1</v>
      </c>
      <c r="AJ763" s="4">
        <v>2</v>
      </c>
      <c r="AK763" s="4">
        <v>2</v>
      </c>
      <c r="AL763" s="4">
        <v>0</v>
      </c>
      <c r="AM763" s="4">
        <v>0</v>
      </c>
      <c r="AN763" s="4">
        <v>0</v>
      </c>
      <c r="AO763" s="4">
        <v>0</v>
      </c>
      <c r="AP763" s="3" t="s">
        <v>59</v>
      </c>
      <c r="AQ763" s="3" t="s">
        <v>59</v>
      </c>
      <c r="AS763" s="6" t="str">
        <f>HYPERLINK("https://creighton-primo.hosted.exlibrisgroup.com/primo-explore/search?tab=default_tab&amp;search_scope=EVERYTHING&amp;vid=01CRU&amp;lang=en_US&amp;offset=0&amp;query=any,contains,991002412759702656","Catalog Record")</f>
        <v>Catalog Record</v>
      </c>
      <c r="AT763" s="6" t="str">
        <f>HYPERLINK("http://www.worldcat.org/oclc/31409531","WorldCat Record")</f>
        <v>WorldCat Record</v>
      </c>
      <c r="AU763" s="3" t="s">
        <v>9644</v>
      </c>
      <c r="AV763" s="3" t="s">
        <v>9645</v>
      </c>
      <c r="AW763" s="3" t="s">
        <v>9646</v>
      </c>
      <c r="AX763" s="3" t="s">
        <v>9646</v>
      </c>
      <c r="AY763" s="3" t="s">
        <v>9647</v>
      </c>
      <c r="AZ763" s="3" t="s">
        <v>75</v>
      </c>
      <c r="BB763" s="3" t="s">
        <v>9648</v>
      </c>
      <c r="BC763" s="3" t="s">
        <v>9649</v>
      </c>
      <c r="BD763" s="3" t="s">
        <v>9650</v>
      </c>
    </row>
    <row r="764" spans="1:56" ht="48" customHeight="1" x14ac:dyDescent="0.25">
      <c r="A764" s="7" t="s">
        <v>59</v>
      </c>
      <c r="B764" s="2" t="s">
        <v>9651</v>
      </c>
      <c r="C764" s="2" t="s">
        <v>9652</v>
      </c>
      <c r="D764" s="2" t="s">
        <v>9653</v>
      </c>
      <c r="F764" s="3" t="s">
        <v>59</v>
      </c>
      <c r="G764" s="3" t="s">
        <v>60</v>
      </c>
      <c r="H764" s="3" t="s">
        <v>59</v>
      </c>
      <c r="I764" s="3" t="s">
        <v>59</v>
      </c>
      <c r="J764" s="3" t="s">
        <v>61</v>
      </c>
      <c r="K764" s="2" t="s">
        <v>9654</v>
      </c>
      <c r="L764" s="2" t="s">
        <v>9655</v>
      </c>
      <c r="M764" s="3" t="s">
        <v>1817</v>
      </c>
      <c r="O764" s="3" t="s">
        <v>64</v>
      </c>
      <c r="P764" s="3" t="s">
        <v>264</v>
      </c>
      <c r="R764" s="3" t="s">
        <v>67</v>
      </c>
      <c r="S764" s="4">
        <v>2</v>
      </c>
      <c r="T764" s="4">
        <v>2</v>
      </c>
      <c r="U764" s="5" t="s">
        <v>9656</v>
      </c>
      <c r="V764" s="5" t="s">
        <v>9656</v>
      </c>
      <c r="W764" s="5" t="s">
        <v>9657</v>
      </c>
      <c r="X764" s="5" t="s">
        <v>9657</v>
      </c>
      <c r="Y764" s="4">
        <v>980</v>
      </c>
      <c r="Z764" s="4">
        <v>892</v>
      </c>
      <c r="AA764" s="4">
        <v>1007</v>
      </c>
      <c r="AB764" s="4">
        <v>9</v>
      </c>
      <c r="AC764" s="4">
        <v>10</v>
      </c>
      <c r="AD764" s="4">
        <v>36</v>
      </c>
      <c r="AE764" s="4">
        <v>39</v>
      </c>
      <c r="AF764" s="4">
        <v>12</v>
      </c>
      <c r="AG764" s="4">
        <v>14</v>
      </c>
      <c r="AH764" s="4">
        <v>8</v>
      </c>
      <c r="AI764" s="4">
        <v>8</v>
      </c>
      <c r="AJ764" s="4">
        <v>15</v>
      </c>
      <c r="AK764" s="4">
        <v>16</v>
      </c>
      <c r="AL764" s="4">
        <v>8</v>
      </c>
      <c r="AM764" s="4">
        <v>8</v>
      </c>
      <c r="AN764" s="4">
        <v>0</v>
      </c>
      <c r="AO764" s="4">
        <v>0</v>
      </c>
      <c r="AP764" s="3" t="s">
        <v>59</v>
      </c>
      <c r="AQ764" s="3" t="s">
        <v>70</v>
      </c>
      <c r="AR764" s="6" t="str">
        <f>HYPERLINK("http://catalog.hathitrust.org/Record/004306027","HathiTrust Record")</f>
        <v>HathiTrust Record</v>
      </c>
      <c r="AS764" s="6" t="str">
        <f>HYPERLINK("https://creighton-primo.hosted.exlibrisgroup.com/primo-explore/search?tab=default_tab&amp;search_scope=EVERYTHING&amp;vid=01CRU&amp;lang=en_US&amp;offset=0&amp;query=any,contains,991001719639702656","Catalog Record")</f>
        <v>Catalog Record</v>
      </c>
      <c r="AT764" s="6" t="str">
        <f>HYPERLINK("http://www.worldcat.org/oclc/51440191","WorldCat Record")</f>
        <v>WorldCat Record</v>
      </c>
      <c r="AU764" s="3" t="s">
        <v>9658</v>
      </c>
      <c r="AV764" s="3" t="s">
        <v>9659</v>
      </c>
      <c r="AW764" s="3" t="s">
        <v>9660</v>
      </c>
      <c r="AX764" s="3" t="s">
        <v>9660</v>
      </c>
      <c r="AY764" s="3" t="s">
        <v>9661</v>
      </c>
      <c r="AZ764" s="3" t="s">
        <v>75</v>
      </c>
      <c r="BB764" s="3" t="s">
        <v>9662</v>
      </c>
      <c r="BC764" s="3" t="s">
        <v>9663</v>
      </c>
      <c r="BD764" s="3" t="s">
        <v>9664</v>
      </c>
    </row>
    <row r="765" spans="1:56" ht="48" customHeight="1" x14ac:dyDescent="0.25">
      <c r="A765" s="7" t="s">
        <v>59</v>
      </c>
      <c r="B765" s="2" t="s">
        <v>9665</v>
      </c>
      <c r="C765" s="2" t="s">
        <v>9666</v>
      </c>
      <c r="D765" s="2" t="s">
        <v>9667</v>
      </c>
      <c r="F765" s="3" t="s">
        <v>59</v>
      </c>
      <c r="G765" s="3" t="s">
        <v>60</v>
      </c>
      <c r="H765" s="3" t="s">
        <v>59</v>
      </c>
      <c r="I765" s="3" t="s">
        <v>59</v>
      </c>
      <c r="J765" s="3" t="s">
        <v>61</v>
      </c>
      <c r="K765" s="2" t="s">
        <v>9668</v>
      </c>
      <c r="L765" s="2" t="s">
        <v>9669</v>
      </c>
      <c r="M765" s="3" t="s">
        <v>519</v>
      </c>
      <c r="O765" s="3" t="s">
        <v>64</v>
      </c>
      <c r="P765" s="3" t="s">
        <v>84</v>
      </c>
      <c r="R765" s="3" t="s">
        <v>67</v>
      </c>
      <c r="S765" s="4">
        <v>5</v>
      </c>
      <c r="T765" s="4">
        <v>5</v>
      </c>
      <c r="U765" s="5" t="s">
        <v>9602</v>
      </c>
      <c r="V765" s="5" t="s">
        <v>9602</v>
      </c>
      <c r="W765" s="5" t="s">
        <v>9670</v>
      </c>
      <c r="X765" s="5" t="s">
        <v>9670</v>
      </c>
      <c r="Y765" s="4">
        <v>195</v>
      </c>
      <c r="Z765" s="4">
        <v>102</v>
      </c>
      <c r="AA765" s="4">
        <v>102</v>
      </c>
      <c r="AB765" s="4">
        <v>1</v>
      </c>
      <c r="AC765" s="4">
        <v>1</v>
      </c>
      <c r="AD765" s="4">
        <v>3</v>
      </c>
      <c r="AE765" s="4">
        <v>3</v>
      </c>
      <c r="AF765" s="4">
        <v>1</v>
      </c>
      <c r="AG765" s="4">
        <v>1</v>
      </c>
      <c r="AH765" s="4">
        <v>0</v>
      </c>
      <c r="AI765" s="4">
        <v>0</v>
      </c>
      <c r="AJ765" s="4">
        <v>2</v>
      </c>
      <c r="AK765" s="4">
        <v>2</v>
      </c>
      <c r="AL765" s="4">
        <v>0</v>
      </c>
      <c r="AM765" s="4">
        <v>0</v>
      </c>
      <c r="AN765" s="4">
        <v>0</v>
      </c>
      <c r="AO765" s="4">
        <v>0</v>
      </c>
      <c r="AP765" s="3" t="s">
        <v>59</v>
      </c>
      <c r="AQ765" s="3" t="s">
        <v>59</v>
      </c>
      <c r="AS765" s="6" t="str">
        <f>HYPERLINK("https://creighton-primo.hosted.exlibrisgroup.com/primo-explore/search?tab=default_tab&amp;search_scope=EVERYTHING&amp;vid=01CRU&amp;lang=en_US&amp;offset=0&amp;query=any,contains,991002421499702656","Catalog Record")</f>
        <v>Catalog Record</v>
      </c>
      <c r="AT765" s="6" t="str">
        <f>HYPERLINK("http://www.worldcat.org/oclc/31528519","WorldCat Record")</f>
        <v>WorldCat Record</v>
      </c>
      <c r="AU765" s="3" t="s">
        <v>9671</v>
      </c>
      <c r="AV765" s="3" t="s">
        <v>9672</v>
      </c>
      <c r="AW765" s="3" t="s">
        <v>9673</v>
      </c>
      <c r="AX765" s="3" t="s">
        <v>9673</v>
      </c>
      <c r="AY765" s="3" t="s">
        <v>9674</v>
      </c>
      <c r="AZ765" s="3" t="s">
        <v>75</v>
      </c>
      <c r="BB765" s="3" t="s">
        <v>9675</v>
      </c>
      <c r="BC765" s="3" t="s">
        <v>9676</v>
      </c>
      <c r="BD765" s="3" t="s">
        <v>9677</v>
      </c>
    </row>
    <row r="766" spans="1:56" ht="48" customHeight="1" x14ac:dyDescent="0.25">
      <c r="A766" s="7" t="s">
        <v>59</v>
      </c>
      <c r="B766" s="2" t="s">
        <v>9678</v>
      </c>
      <c r="C766" s="2" t="s">
        <v>9679</v>
      </c>
      <c r="D766" s="2" t="s">
        <v>9680</v>
      </c>
      <c r="F766" s="3" t="s">
        <v>59</v>
      </c>
      <c r="G766" s="3" t="s">
        <v>60</v>
      </c>
      <c r="H766" s="3" t="s">
        <v>59</v>
      </c>
      <c r="I766" s="3" t="s">
        <v>59</v>
      </c>
      <c r="J766" s="3" t="s">
        <v>61</v>
      </c>
      <c r="L766" s="2" t="s">
        <v>9681</v>
      </c>
      <c r="M766" s="3" t="s">
        <v>319</v>
      </c>
      <c r="O766" s="3" t="s">
        <v>64</v>
      </c>
      <c r="P766" s="3" t="s">
        <v>191</v>
      </c>
      <c r="R766" s="3" t="s">
        <v>67</v>
      </c>
      <c r="S766" s="4">
        <v>3</v>
      </c>
      <c r="T766" s="4">
        <v>3</v>
      </c>
      <c r="U766" s="5" t="s">
        <v>9682</v>
      </c>
      <c r="V766" s="5" t="s">
        <v>9682</v>
      </c>
      <c r="W766" s="5" t="s">
        <v>6862</v>
      </c>
      <c r="X766" s="5" t="s">
        <v>6862</v>
      </c>
      <c r="Y766" s="4">
        <v>243</v>
      </c>
      <c r="Z766" s="4">
        <v>174</v>
      </c>
      <c r="AA766" s="4">
        <v>194</v>
      </c>
      <c r="AB766" s="4">
        <v>2</v>
      </c>
      <c r="AC766" s="4">
        <v>2</v>
      </c>
      <c r="AD766" s="4">
        <v>8</v>
      </c>
      <c r="AE766" s="4">
        <v>8</v>
      </c>
      <c r="AF766" s="4">
        <v>1</v>
      </c>
      <c r="AG766" s="4">
        <v>1</v>
      </c>
      <c r="AH766" s="4">
        <v>2</v>
      </c>
      <c r="AI766" s="4">
        <v>2</v>
      </c>
      <c r="AJ766" s="4">
        <v>5</v>
      </c>
      <c r="AK766" s="4">
        <v>5</v>
      </c>
      <c r="AL766" s="4">
        <v>1</v>
      </c>
      <c r="AM766" s="4">
        <v>1</v>
      </c>
      <c r="AN766" s="4">
        <v>0</v>
      </c>
      <c r="AO766" s="4">
        <v>0</v>
      </c>
      <c r="AP766" s="3" t="s">
        <v>59</v>
      </c>
      <c r="AQ766" s="3" t="s">
        <v>70</v>
      </c>
      <c r="AR766" s="6" t="str">
        <f>HYPERLINK("http://catalog.hathitrust.org/Record/000348826","HathiTrust Record")</f>
        <v>HathiTrust Record</v>
      </c>
      <c r="AS766" s="6" t="str">
        <f>HYPERLINK("https://creighton-primo.hosted.exlibrisgroup.com/primo-explore/search?tab=default_tab&amp;search_scope=EVERYTHING&amp;vid=01CRU&amp;lang=en_US&amp;offset=0&amp;query=any,contains,991000127199702656","Catalog Record")</f>
        <v>Catalog Record</v>
      </c>
      <c r="AT766" s="6" t="str">
        <f>HYPERLINK("http://www.worldcat.org/oclc/9084264","WorldCat Record")</f>
        <v>WorldCat Record</v>
      </c>
      <c r="AU766" s="3" t="s">
        <v>9683</v>
      </c>
      <c r="AV766" s="3" t="s">
        <v>9684</v>
      </c>
      <c r="AW766" s="3" t="s">
        <v>9685</v>
      </c>
      <c r="AX766" s="3" t="s">
        <v>9685</v>
      </c>
      <c r="AY766" s="3" t="s">
        <v>9686</v>
      </c>
      <c r="AZ766" s="3" t="s">
        <v>75</v>
      </c>
      <c r="BC766" s="3" t="s">
        <v>9687</v>
      </c>
      <c r="BD766" s="3" t="s">
        <v>9688</v>
      </c>
    </row>
    <row r="767" spans="1:56" ht="48" customHeight="1" x14ac:dyDescent="0.25">
      <c r="A767" s="7" t="s">
        <v>59</v>
      </c>
      <c r="B767" s="2" t="s">
        <v>9689</v>
      </c>
      <c r="C767" s="2" t="s">
        <v>9690</v>
      </c>
      <c r="D767" s="2" t="s">
        <v>9691</v>
      </c>
      <c r="F767" s="3" t="s">
        <v>59</v>
      </c>
      <c r="G767" s="3" t="s">
        <v>60</v>
      </c>
      <c r="H767" s="3" t="s">
        <v>59</v>
      </c>
      <c r="I767" s="3" t="s">
        <v>59</v>
      </c>
      <c r="J767" s="3" t="s">
        <v>61</v>
      </c>
      <c r="L767" s="2" t="s">
        <v>9692</v>
      </c>
      <c r="M767" s="3" t="s">
        <v>843</v>
      </c>
      <c r="O767" s="3" t="s">
        <v>64</v>
      </c>
      <c r="P767" s="3" t="s">
        <v>84</v>
      </c>
      <c r="R767" s="3" t="s">
        <v>67</v>
      </c>
      <c r="S767" s="4">
        <v>1</v>
      </c>
      <c r="T767" s="4">
        <v>1</v>
      </c>
      <c r="U767" s="5" t="s">
        <v>9693</v>
      </c>
      <c r="V767" s="5" t="s">
        <v>9693</v>
      </c>
      <c r="W767" s="5" t="s">
        <v>9693</v>
      </c>
      <c r="X767" s="5" t="s">
        <v>9693</v>
      </c>
      <c r="Y767" s="4">
        <v>127</v>
      </c>
      <c r="Z767" s="4">
        <v>59</v>
      </c>
      <c r="AA767" s="4">
        <v>68</v>
      </c>
      <c r="AB767" s="4">
        <v>1</v>
      </c>
      <c r="AC767" s="4">
        <v>1</v>
      </c>
      <c r="AD767" s="4">
        <v>1</v>
      </c>
      <c r="AE767" s="4">
        <v>1</v>
      </c>
      <c r="AF767" s="4">
        <v>0</v>
      </c>
      <c r="AG767" s="4">
        <v>0</v>
      </c>
      <c r="AH767" s="4">
        <v>0</v>
      </c>
      <c r="AI767" s="4">
        <v>0</v>
      </c>
      <c r="AJ767" s="4">
        <v>1</v>
      </c>
      <c r="AK767" s="4">
        <v>1</v>
      </c>
      <c r="AL767" s="4">
        <v>0</v>
      </c>
      <c r="AM767" s="4">
        <v>0</v>
      </c>
      <c r="AN767" s="4">
        <v>0</v>
      </c>
      <c r="AO767" s="4">
        <v>0</v>
      </c>
      <c r="AP767" s="3" t="s">
        <v>59</v>
      </c>
      <c r="AQ767" s="3" t="s">
        <v>59</v>
      </c>
      <c r="AS767" s="6" t="str">
        <f>HYPERLINK("https://creighton-primo.hosted.exlibrisgroup.com/primo-explore/search?tab=default_tab&amp;search_scope=EVERYTHING&amp;vid=01CRU&amp;lang=en_US&amp;offset=0&amp;query=any,contains,991005262789702656","Catalog Record")</f>
        <v>Catalog Record</v>
      </c>
      <c r="AT767" s="6" t="str">
        <f>HYPERLINK("http://www.worldcat.org/oclc/170922279","WorldCat Record")</f>
        <v>WorldCat Record</v>
      </c>
      <c r="AU767" s="3" t="s">
        <v>9694</v>
      </c>
      <c r="AV767" s="3" t="s">
        <v>9695</v>
      </c>
      <c r="AW767" s="3" t="s">
        <v>9696</v>
      </c>
      <c r="AX767" s="3" t="s">
        <v>9696</v>
      </c>
      <c r="AY767" s="3" t="s">
        <v>9697</v>
      </c>
      <c r="AZ767" s="3" t="s">
        <v>75</v>
      </c>
      <c r="BB767" s="3" t="s">
        <v>9698</v>
      </c>
      <c r="BC767" s="3" t="s">
        <v>9699</v>
      </c>
      <c r="BD767" s="3" t="s">
        <v>9700</v>
      </c>
    </row>
    <row r="768" spans="1:56" ht="48" customHeight="1" x14ac:dyDescent="0.25">
      <c r="A768" s="7" t="s">
        <v>59</v>
      </c>
      <c r="B768" s="2" t="s">
        <v>9701</v>
      </c>
      <c r="C768" s="2" t="s">
        <v>9702</v>
      </c>
      <c r="D768" s="2" t="s">
        <v>9703</v>
      </c>
      <c r="F768" s="3" t="s">
        <v>59</v>
      </c>
      <c r="G768" s="3" t="s">
        <v>60</v>
      </c>
      <c r="H768" s="3" t="s">
        <v>70</v>
      </c>
      <c r="I768" s="3" t="s">
        <v>59</v>
      </c>
      <c r="J768" s="3" t="s">
        <v>61</v>
      </c>
      <c r="L768" s="2" t="s">
        <v>9704</v>
      </c>
      <c r="M768" s="3" t="s">
        <v>348</v>
      </c>
      <c r="O768" s="3" t="s">
        <v>64</v>
      </c>
      <c r="P768" s="3" t="s">
        <v>130</v>
      </c>
      <c r="Q768" s="2" t="s">
        <v>9705</v>
      </c>
      <c r="R768" s="3" t="s">
        <v>67</v>
      </c>
      <c r="S768" s="4">
        <v>18</v>
      </c>
      <c r="T768" s="4">
        <v>28</v>
      </c>
      <c r="U768" s="5" t="s">
        <v>9706</v>
      </c>
      <c r="V768" s="5" t="s">
        <v>9706</v>
      </c>
      <c r="W768" s="5" t="s">
        <v>6947</v>
      </c>
      <c r="X768" s="5" t="s">
        <v>6947</v>
      </c>
      <c r="Y768" s="4">
        <v>358</v>
      </c>
      <c r="Z768" s="4">
        <v>250</v>
      </c>
      <c r="AA768" s="4">
        <v>508</v>
      </c>
      <c r="AB768" s="4">
        <v>2</v>
      </c>
      <c r="AC768" s="4">
        <v>3</v>
      </c>
      <c r="AD768" s="4">
        <v>10</v>
      </c>
      <c r="AE768" s="4">
        <v>21</v>
      </c>
      <c r="AF768" s="4">
        <v>3</v>
      </c>
      <c r="AG768" s="4">
        <v>7</v>
      </c>
      <c r="AH768" s="4">
        <v>3</v>
      </c>
      <c r="AI768" s="4">
        <v>6</v>
      </c>
      <c r="AJ768" s="4">
        <v>9</v>
      </c>
      <c r="AK768" s="4">
        <v>13</v>
      </c>
      <c r="AL768" s="4">
        <v>0</v>
      </c>
      <c r="AM768" s="4">
        <v>1</v>
      </c>
      <c r="AN768" s="4">
        <v>0</v>
      </c>
      <c r="AO768" s="4">
        <v>0</v>
      </c>
      <c r="AP768" s="3" t="s">
        <v>59</v>
      </c>
      <c r="AQ768" s="3" t="s">
        <v>70</v>
      </c>
      <c r="AR768" s="6" t="str">
        <f>HYPERLINK("http://catalog.hathitrust.org/Record/002714504","HathiTrust Record")</f>
        <v>HathiTrust Record</v>
      </c>
      <c r="AS768" s="6" t="str">
        <f>HYPERLINK("https://creighton-primo.hosted.exlibrisgroup.com/primo-explore/search?tab=default_tab&amp;search_scope=EVERYTHING&amp;vid=01CRU&amp;lang=en_US&amp;offset=0&amp;query=any,contains,991001798359702656","Catalog Record")</f>
        <v>Catalog Record</v>
      </c>
      <c r="AT768" s="6" t="str">
        <f>HYPERLINK("http://www.worldcat.org/oclc/27430582","WorldCat Record")</f>
        <v>WorldCat Record</v>
      </c>
      <c r="AU768" s="3" t="s">
        <v>9707</v>
      </c>
      <c r="AV768" s="3" t="s">
        <v>9708</v>
      </c>
      <c r="AW768" s="3" t="s">
        <v>9709</v>
      </c>
      <c r="AX768" s="3" t="s">
        <v>9709</v>
      </c>
      <c r="AY768" s="3" t="s">
        <v>9710</v>
      </c>
      <c r="AZ768" s="3" t="s">
        <v>75</v>
      </c>
      <c r="BB768" s="3" t="s">
        <v>9711</v>
      </c>
      <c r="BC768" s="3" t="s">
        <v>9712</v>
      </c>
      <c r="BD768" s="3" t="s">
        <v>9713</v>
      </c>
    </row>
    <row r="769" spans="1:56" ht="48" customHeight="1" x14ac:dyDescent="0.25">
      <c r="A769" s="7" t="s">
        <v>59</v>
      </c>
      <c r="B769" s="2" t="s">
        <v>9714</v>
      </c>
      <c r="C769" s="2" t="s">
        <v>9715</v>
      </c>
      <c r="D769" s="2" t="s">
        <v>9716</v>
      </c>
      <c r="F769" s="3" t="s">
        <v>59</v>
      </c>
      <c r="G769" s="3" t="s">
        <v>60</v>
      </c>
      <c r="H769" s="3" t="s">
        <v>70</v>
      </c>
      <c r="I769" s="3" t="s">
        <v>59</v>
      </c>
      <c r="J769" s="3" t="s">
        <v>61</v>
      </c>
      <c r="L769" s="2" t="s">
        <v>1675</v>
      </c>
      <c r="M769" s="3" t="s">
        <v>348</v>
      </c>
      <c r="O769" s="3" t="s">
        <v>64</v>
      </c>
      <c r="P769" s="3" t="s">
        <v>176</v>
      </c>
      <c r="R769" s="3" t="s">
        <v>67</v>
      </c>
      <c r="S769" s="4">
        <v>8</v>
      </c>
      <c r="T769" s="4">
        <v>25</v>
      </c>
      <c r="U769" s="5" t="s">
        <v>9682</v>
      </c>
      <c r="V769" s="5" t="s">
        <v>9682</v>
      </c>
      <c r="W769" s="5" t="s">
        <v>9717</v>
      </c>
      <c r="X769" s="5" t="s">
        <v>9717</v>
      </c>
      <c r="Y769" s="4">
        <v>264</v>
      </c>
      <c r="Z769" s="4">
        <v>177</v>
      </c>
      <c r="AA769" s="4">
        <v>224</v>
      </c>
      <c r="AB769" s="4">
        <v>2</v>
      </c>
      <c r="AC769" s="4">
        <v>3</v>
      </c>
      <c r="AD769" s="4">
        <v>5</v>
      </c>
      <c r="AE769" s="4">
        <v>9</v>
      </c>
      <c r="AF769" s="4">
        <v>0</v>
      </c>
      <c r="AG769" s="4">
        <v>2</v>
      </c>
      <c r="AH769" s="4">
        <v>2</v>
      </c>
      <c r="AI769" s="4">
        <v>4</v>
      </c>
      <c r="AJ769" s="4">
        <v>4</v>
      </c>
      <c r="AK769" s="4">
        <v>4</v>
      </c>
      <c r="AL769" s="4">
        <v>0</v>
      </c>
      <c r="AM769" s="4">
        <v>1</v>
      </c>
      <c r="AN769" s="4">
        <v>0</v>
      </c>
      <c r="AO769" s="4">
        <v>0</v>
      </c>
      <c r="AP769" s="3" t="s">
        <v>59</v>
      </c>
      <c r="AQ769" s="3" t="s">
        <v>70</v>
      </c>
      <c r="AR769" s="6" t="str">
        <f>HYPERLINK("http://catalog.hathitrust.org/Record/002652478","HathiTrust Record")</f>
        <v>HathiTrust Record</v>
      </c>
      <c r="AS769" s="6" t="str">
        <f>HYPERLINK("https://creighton-primo.hosted.exlibrisgroup.com/primo-explore/search?tab=default_tab&amp;search_scope=EVERYTHING&amp;vid=01CRU&amp;lang=en_US&amp;offset=0&amp;query=any,contains,991001804379702656","Catalog Record")</f>
        <v>Catalog Record</v>
      </c>
      <c r="AT769" s="6" t="str">
        <f>HYPERLINK("http://www.worldcat.org/oclc/27145577","WorldCat Record")</f>
        <v>WorldCat Record</v>
      </c>
      <c r="AU769" s="3" t="s">
        <v>9718</v>
      </c>
      <c r="AV769" s="3" t="s">
        <v>9719</v>
      </c>
      <c r="AW769" s="3" t="s">
        <v>9720</v>
      </c>
      <c r="AX769" s="3" t="s">
        <v>9720</v>
      </c>
      <c r="AY769" s="3" t="s">
        <v>9721</v>
      </c>
      <c r="AZ769" s="3" t="s">
        <v>75</v>
      </c>
      <c r="BB769" s="3" t="s">
        <v>9722</v>
      </c>
      <c r="BC769" s="3" t="s">
        <v>9723</v>
      </c>
      <c r="BD769" s="3" t="s">
        <v>9724</v>
      </c>
    </row>
    <row r="770" spans="1:56" ht="48" customHeight="1" x14ac:dyDescent="0.25">
      <c r="A770" s="7" t="s">
        <v>59</v>
      </c>
      <c r="B770" s="2" t="s">
        <v>9725</v>
      </c>
      <c r="C770" s="2" t="s">
        <v>9726</v>
      </c>
      <c r="D770" s="2" t="s">
        <v>9727</v>
      </c>
      <c r="F770" s="3" t="s">
        <v>59</v>
      </c>
      <c r="G770" s="3" t="s">
        <v>60</v>
      </c>
      <c r="H770" s="3" t="s">
        <v>59</v>
      </c>
      <c r="I770" s="3" t="s">
        <v>59</v>
      </c>
      <c r="J770" s="3" t="s">
        <v>61</v>
      </c>
      <c r="K770" s="2" t="s">
        <v>9728</v>
      </c>
      <c r="L770" s="2" t="s">
        <v>9729</v>
      </c>
      <c r="M770" s="3" t="s">
        <v>604</v>
      </c>
      <c r="O770" s="3" t="s">
        <v>64</v>
      </c>
      <c r="P770" s="3" t="s">
        <v>1129</v>
      </c>
      <c r="Q770" s="2" t="s">
        <v>7589</v>
      </c>
      <c r="R770" s="3" t="s">
        <v>67</v>
      </c>
      <c r="S770" s="4">
        <v>4</v>
      </c>
      <c r="T770" s="4">
        <v>4</v>
      </c>
      <c r="U770" s="5" t="s">
        <v>9730</v>
      </c>
      <c r="V770" s="5" t="s">
        <v>9730</v>
      </c>
      <c r="W770" s="5" t="s">
        <v>1158</v>
      </c>
      <c r="X770" s="5" t="s">
        <v>1158</v>
      </c>
      <c r="Y770" s="4">
        <v>111</v>
      </c>
      <c r="Z770" s="4">
        <v>72</v>
      </c>
      <c r="AA770" s="4">
        <v>98</v>
      </c>
      <c r="AB770" s="4">
        <v>1</v>
      </c>
      <c r="AC770" s="4">
        <v>1</v>
      </c>
      <c r="AD770" s="4">
        <v>3</v>
      </c>
      <c r="AE770" s="4">
        <v>4</v>
      </c>
      <c r="AF770" s="4">
        <v>2</v>
      </c>
      <c r="AG770" s="4">
        <v>3</v>
      </c>
      <c r="AH770" s="4">
        <v>1</v>
      </c>
      <c r="AI770" s="4">
        <v>1</v>
      </c>
      <c r="AJ770" s="4">
        <v>3</v>
      </c>
      <c r="AK770" s="4">
        <v>4</v>
      </c>
      <c r="AL770" s="4">
        <v>0</v>
      </c>
      <c r="AM770" s="4">
        <v>0</v>
      </c>
      <c r="AN770" s="4">
        <v>0</v>
      </c>
      <c r="AO770" s="4">
        <v>0</v>
      </c>
      <c r="AP770" s="3" t="s">
        <v>59</v>
      </c>
      <c r="AQ770" s="3" t="s">
        <v>59</v>
      </c>
      <c r="AS770" s="6" t="str">
        <f>HYPERLINK("https://creighton-primo.hosted.exlibrisgroup.com/primo-explore/search?tab=default_tab&amp;search_scope=EVERYTHING&amp;vid=01CRU&amp;lang=en_US&amp;offset=0&amp;query=any,contains,991002452319702656","Catalog Record")</f>
        <v>Catalog Record</v>
      </c>
      <c r="AT770" s="6" t="str">
        <f>HYPERLINK("http://www.worldcat.org/oclc/31971331","WorldCat Record")</f>
        <v>WorldCat Record</v>
      </c>
      <c r="AU770" s="3" t="s">
        <v>9731</v>
      </c>
      <c r="AV770" s="3" t="s">
        <v>9732</v>
      </c>
      <c r="AW770" s="3" t="s">
        <v>9733</v>
      </c>
      <c r="AX770" s="3" t="s">
        <v>9733</v>
      </c>
      <c r="AY770" s="3" t="s">
        <v>9734</v>
      </c>
      <c r="AZ770" s="3" t="s">
        <v>75</v>
      </c>
      <c r="BB770" s="3" t="s">
        <v>9735</v>
      </c>
      <c r="BC770" s="3" t="s">
        <v>9736</v>
      </c>
      <c r="BD770" s="3" t="s">
        <v>9737</v>
      </c>
    </row>
    <row r="771" spans="1:56" ht="48" customHeight="1" x14ac:dyDescent="0.25">
      <c r="A771" s="7" t="s">
        <v>59</v>
      </c>
      <c r="B771" s="2" t="s">
        <v>9738</v>
      </c>
      <c r="C771" s="2" t="s">
        <v>9739</v>
      </c>
      <c r="D771" s="2" t="s">
        <v>9740</v>
      </c>
      <c r="F771" s="3" t="s">
        <v>59</v>
      </c>
      <c r="G771" s="3" t="s">
        <v>60</v>
      </c>
      <c r="H771" s="3" t="s">
        <v>59</v>
      </c>
      <c r="I771" s="3" t="s">
        <v>59</v>
      </c>
      <c r="J771" s="3" t="s">
        <v>61</v>
      </c>
      <c r="L771" s="2" t="s">
        <v>9741</v>
      </c>
      <c r="M771" s="3" t="s">
        <v>843</v>
      </c>
      <c r="N771" s="2" t="s">
        <v>9742</v>
      </c>
      <c r="O771" s="3" t="s">
        <v>64</v>
      </c>
      <c r="P771" s="3" t="s">
        <v>912</v>
      </c>
      <c r="Q771" s="2" t="s">
        <v>9743</v>
      </c>
      <c r="R771" s="3" t="s">
        <v>67</v>
      </c>
      <c r="S771" s="4">
        <v>1</v>
      </c>
      <c r="T771" s="4">
        <v>1</v>
      </c>
      <c r="U771" s="5" t="s">
        <v>2350</v>
      </c>
      <c r="V771" s="5" t="s">
        <v>2350</v>
      </c>
      <c r="W771" s="5" t="s">
        <v>2350</v>
      </c>
      <c r="X771" s="5" t="s">
        <v>2350</v>
      </c>
      <c r="Y771" s="4">
        <v>140</v>
      </c>
      <c r="Z771" s="4">
        <v>100</v>
      </c>
      <c r="AA771" s="4">
        <v>159</v>
      </c>
      <c r="AB771" s="4">
        <v>2</v>
      </c>
      <c r="AC771" s="4">
        <v>3</v>
      </c>
      <c r="AD771" s="4">
        <v>3</v>
      </c>
      <c r="AE771" s="4">
        <v>5</v>
      </c>
      <c r="AF771" s="4">
        <v>0</v>
      </c>
      <c r="AG771" s="4">
        <v>1</v>
      </c>
      <c r="AH771" s="4">
        <v>1</v>
      </c>
      <c r="AI771" s="4">
        <v>1</v>
      </c>
      <c r="AJ771" s="4">
        <v>2</v>
      </c>
      <c r="AK771" s="4">
        <v>2</v>
      </c>
      <c r="AL771" s="4">
        <v>1</v>
      </c>
      <c r="AM771" s="4">
        <v>2</v>
      </c>
      <c r="AN771" s="4">
        <v>0</v>
      </c>
      <c r="AO771" s="4">
        <v>0</v>
      </c>
      <c r="AP771" s="3" t="s">
        <v>59</v>
      </c>
      <c r="AQ771" s="3" t="s">
        <v>59</v>
      </c>
      <c r="AS771" s="6" t="str">
        <f>HYPERLINK("https://creighton-primo.hosted.exlibrisgroup.com/primo-explore/search?tab=default_tab&amp;search_scope=EVERYTHING&amp;vid=01CRU&amp;lang=en_US&amp;offset=0&amp;query=any,contains,991005338759702656","Catalog Record")</f>
        <v>Catalog Record</v>
      </c>
      <c r="AT771" s="6" t="str">
        <f>HYPERLINK("http://www.worldcat.org/oclc/166378576","WorldCat Record")</f>
        <v>WorldCat Record</v>
      </c>
      <c r="AU771" s="3" t="s">
        <v>9744</v>
      </c>
      <c r="AV771" s="3" t="s">
        <v>9745</v>
      </c>
      <c r="AW771" s="3" t="s">
        <v>9746</v>
      </c>
      <c r="AX771" s="3" t="s">
        <v>9746</v>
      </c>
      <c r="AY771" s="3" t="s">
        <v>9747</v>
      </c>
      <c r="AZ771" s="3" t="s">
        <v>75</v>
      </c>
      <c r="BB771" s="3" t="s">
        <v>9748</v>
      </c>
      <c r="BC771" s="3" t="s">
        <v>9749</v>
      </c>
      <c r="BD771" s="3" t="s">
        <v>9750</v>
      </c>
    </row>
    <row r="772" spans="1:56" ht="48" customHeight="1" x14ac:dyDescent="0.25">
      <c r="A772" s="7" t="s">
        <v>59</v>
      </c>
      <c r="B772" s="2" t="s">
        <v>9751</v>
      </c>
      <c r="C772" s="2" t="s">
        <v>9752</v>
      </c>
      <c r="D772" s="2" t="s">
        <v>9753</v>
      </c>
      <c r="F772" s="3" t="s">
        <v>59</v>
      </c>
      <c r="G772" s="3" t="s">
        <v>60</v>
      </c>
      <c r="H772" s="3" t="s">
        <v>59</v>
      </c>
      <c r="I772" s="3" t="s">
        <v>59</v>
      </c>
      <c r="J772" s="3" t="s">
        <v>61</v>
      </c>
      <c r="K772" s="2" t="s">
        <v>9561</v>
      </c>
      <c r="L772" s="2" t="s">
        <v>3830</v>
      </c>
      <c r="M772" s="3" t="s">
        <v>897</v>
      </c>
      <c r="O772" s="3" t="s">
        <v>64</v>
      </c>
      <c r="P772" s="3" t="s">
        <v>84</v>
      </c>
      <c r="Q772" s="2" t="s">
        <v>8686</v>
      </c>
      <c r="R772" s="3" t="s">
        <v>67</v>
      </c>
      <c r="S772" s="4">
        <v>12</v>
      </c>
      <c r="T772" s="4">
        <v>12</v>
      </c>
      <c r="U772" s="5" t="s">
        <v>445</v>
      </c>
      <c r="V772" s="5" t="s">
        <v>445</v>
      </c>
      <c r="W772" s="5" t="s">
        <v>9754</v>
      </c>
      <c r="X772" s="5" t="s">
        <v>9754</v>
      </c>
      <c r="Y772" s="4">
        <v>523</v>
      </c>
      <c r="Z772" s="4">
        <v>421</v>
      </c>
      <c r="AA772" s="4">
        <v>428</v>
      </c>
      <c r="AB772" s="4">
        <v>2</v>
      </c>
      <c r="AC772" s="4">
        <v>2</v>
      </c>
      <c r="AD772" s="4">
        <v>17</v>
      </c>
      <c r="AE772" s="4">
        <v>17</v>
      </c>
      <c r="AF772" s="4">
        <v>10</v>
      </c>
      <c r="AG772" s="4">
        <v>10</v>
      </c>
      <c r="AH772" s="4">
        <v>3</v>
      </c>
      <c r="AI772" s="4">
        <v>3</v>
      </c>
      <c r="AJ772" s="4">
        <v>10</v>
      </c>
      <c r="AK772" s="4">
        <v>10</v>
      </c>
      <c r="AL772" s="4">
        <v>1</v>
      </c>
      <c r="AM772" s="4">
        <v>1</v>
      </c>
      <c r="AN772" s="4">
        <v>0</v>
      </c>
      <c r="AO772" s="4">
        <v>0</v>
      </c>
      <c r="AP772" s="3" t="s">
        <v>59</v>
      </c>
      <c r="AQ772" s="3" t="s">
        <v>70</v>
      </c>
      <c r="AR772" s="6" t="str">
        <f>HYPERLINK("http://catalog.hathitrust.org/Record/002453474","HathiTrust Record")</f>
        <v>HathiTrust Record</v>
      </c>
      <c r="AS772" s="6" t="str">
        <f>HYPERLINK("https://creighton-primo.hosted.exlibrisgroup.com/primo-explore/search?tab=default_tab&amp;search_scope=EVERYTHING&amp;vid=01CRU&amp;lang=en_US&amp;offset=0&amp;query=any,contains,991001812359702656","Catalog Record")</f>
        <v>Catalog Record</v>
      </c>
      <c r="AT772" s="6" t="str">
        <f>HYPERLINK("http://www.worldcat.org/oclc/22765033","WorldCat Record")</f>
        <v>WorldCat Record</v>
      </c>
      <c r="AU772" s="3" t="s">
        <v>9755</v>
      </c>
      <c r="AV772" s="3" t="s">
        <v>9756</v>
      </c>
      <c r="AW772" s="3" t="s">
        <v>9757</v>
      </c>
      <c r="AX772" s="3" t="s">
        <v>9757</v>
      </c>
      <c r="AY772" s="3" t="s">
        <v>9758</v>
      </c>
      <c r="AZ772" s="3" t="s">
        <v>75</v>
      </c>
      <c r="BB772" s="3" t="s">
        <v>9759</v>
      </c>
      <c r="BC772" s="3" t="s">
        <v>9760</v>
      </c>
      <c r="BD772" s="3" t="s">
        <v>9761</v>
      </c>
    </row>
    <row r="773" spans="1:56" ht="48" customHeight="1" x14ac:dyDescent="0.25">
      <c r="A773" s="7" t="s">
        <v>59</v>
      </c>
      <c r="B773" s="2" t="s">
        <v>9762</v>
      </c>
      <c r="C773" s="2" t="s">
        <v>9763</v>
      </c>
      <c r="D773" s="2" t="s">
        <v>9764</v>
      </c>
      <c r="F773" s="3" t="s">
        <v>59</v>
      </c>
      <c r="G773" s="3" t="s">
        <v>60</v>
      </c>
      <c r="H773" s="3" t="s">
        <v>59</v>
      </c>
      <c r="I773" s="3" t="s">
        <v>59</v>
      </c>
      <c r="J773" s="3" t="s">
        <v>61</v>
      </c>
      <c r="K773" s="2" t="s">
        <v>9765</v>
      </c>
      <c r="L773" s="2" t="s">
        <v>9766</v>
      </c>
      <c r="M773" s="3" t="s">
        <v>175</v>
      </c>
      <c r="O773" s="3" t="s">
        <v>64</v>
      </c>
      <c r="P773" s="3" t="s">
        <v>130</v>
      </c>
      <c r="R773" s="3" t="s">
        <v>67</v>
      </c>
      <c r="S773" s="4">
        <v>73</v>
      </c>
      <c r="T773" s="4">
        <v>73</v>
      </c>
      <c r="U773" s="5" t="s">
        <v>9767</v>
      </c>
      <c r="V773" s="5" t="s">
        <v>9767</v>
      </c>
      <c r="W773" s="5" t="s">
        <v>9768</v>
      </c>
      <c r="X773" s="5" t="s">
        <v>9768</v>
      </c>
      <c r="Y773" s="4">
        <v>546</v>
      </c>
      <c r="Z773" s="4">
        <v>410</v>
      </c>
      <c r="AA773" s="4">
        <v>490</v>
      </c>
      <c r="AB773" s="4">
        <v>3</v>
      </c>
      <c r="AC773" s="4">
        <v>3</v>
      </c>
      <c r="AD773" s="4">
        <v>21</v>
      </c>
      <c r="AE773" s="4">
        <v>21</v>
      </c>
      <c r="AF773" s="4">
        <v>6</v>
      </c>
      <c r="AG773" s="4">
        <v>6</v>
      </c>
      <c r="AH773" s="4">
        <v>7</v>
      </c>
      <c r="AI773" s="4">
        <v>7</v>
      </c>
      <c r="AJ773" s="4">
        <v>11</v>
      </c>
      <c r="AK773" s="4">
        <v>11</v>
      </c>
      <c r="AL773" s="4">
        <v>2</v>
      </c>
      <c r="AM773" s="4">
        <v>2</v>
      </c>
      <c r="AN773" s="4">
        <v>0</v>
      </c>
      <c r="AO773" s="4">
        <v>0</v>
      </c>
      <c r="AP773" s="3" t="s">
        <v>59</v>
      </c>
      <c r="AQ773" s="3" t="s">
        <v>70</v>
      </c>
      <c r="AR773" s="6" t="str">
        <f>HYPERLINK("http://catalog.hathitrust.org/Record/004024841","HathiTrust Record")</f>
        <v>HathiTrust Record</v>
      </c>
      <c r="AS773" s="6" t="str">
        <f>HYPERLINK("https://creighton-primo.hosted.exlibrisgroup.com/primo-explore/search?tab=default_tab&amp;search_scope=EVERYTHING&amp;vid=01CRU&amp;lang=en_US&amp;offset=0&amp;query=any,contains,991003219579702656","Catalog Record")</f>
        <v>Catalog Record</v>
      </c>
      <c r="AT773" s="6" t="str">
        <f>HYPERLINK("http://www.worldcat.org/oclc/39700016","WorldCat Record")</f>
        <v>WorldCat Record</v>
      </c>
      <c r="AU773" s="3" t="s">
        <v>9769</v>
      </c>
      <c r="AV773" s="3" t="s">
        <v>9770</v>
      </c>
      <c r="AW773" s="3" t="s">
        <v>9771</v>
      </c>
      <c r="AX773" s="3" t="s">
        <v>9771</v>
      </c>
      <c r="AY773" s="3" t="s">
        <v>9772</v>
      </c>
      <c r="AZ773" s="3" t="s">
        <v>75</v>
      </c>
      <c r="BB773" s="3" t="s">
        <v>9773</v>
      </c>
      <c r="BC773" s="3" t="s">
        <v>9774</v>
      </c>
      <c r="BD773" s="3" t="s">
        <v>9775</v>
      </c>
    </row>
    <row r="774" spans="1:56" ht="48" customHeight="1" x14ac:dyDescent="0.25">
      <c r="A774" s="7" t="s">
        <v>59</v>
      </c>
      <c r="B774" s="2" t="s">
        <v>9776</v>
      </c>
      <c r="C774" s="2" t="s">
        <v>9777</v>
      </c>
      <c r="D774" s="2" t="s">
        <v>9778</v>
      </c>
      <c r="F774" s="3" t="s">
        <v>59</v>
      </c>
      <c r="G774" s="3" t="s">
        <v>60</v>
      </c>
      <c r="H774" s="3" t="s">
        <v>59</v>
      </c>
      <c r="I774" s="3" t="s">
        <v>59</v>
      </c>
      <c r="J774" s="3" t="s">
        <v>61</v>
      </c>
      <c r="L774" s="2" t="s">
        <v>9779</v>
      </c>
      <c r="M774" s="3" t="s">
        <v>319</v>
      </c>
      <c r="O774" s="3" t="s">
        <v>64</v>
      </c>
      <c r="P774" s="3" t="s">
        <v>130</v>
      </c>
      <c r="Q774" s="2" t="s">
        <v>9780</v>
      </c>
      <c r="R774" s="3" t="s">
        <v>67</v>
      </c>
      <c r="S774" s="4">
        <v>3</v>
      </c>
      <c r="T774" s="4">
        <v>3</v>
      </c>
      <c r="U774" s="5" t="s">
        <v>9781</v>
      </c>
      <c r="V774" s="5" t="s">
        <v>9781</v>
      </c>
      <c r="W774" s="5" t="s">
        <v>1422</v>
      </c>
      <c r="X774" s="5" t="s">
        <v>1422</v>
      </c>
      <c r="Y774" s="4">
        <v>274</v>
      </c>
      <c r="Z774" s="4">
        <v>213</v>
      </c>
      <c r="AA774" s="4">
        <v>242</v>
      </c>
      <c r="AB774" s="4">
        <v>2</v>
      </c>
      <c r="AC774" s="4">
        <v>2</v>
      </c>
      <c r="AD774" s="4">
        <v>9</v>
      </c>
      <c r="AE774" s="4">
        <v>10</v>
      </c>
      <c r="AF774" s="4">
        <v>1</v>
      </c>
      <c r="AG774" s="4">
        <v>2</v>
      </c>
      <c r="AH774" s="4">
        <v>4</v>
      </c>
      <c r="AI774" s="4">
        <v>4</v>
      </c>
      <c r="AJ774" s="4">
        <v>6</v>
      </c>
      <c r="AK774" s="4">
        <v>7</v>
      </c>
      <c r="AL774" s="4">
        <v>1</v>
      </c>
      <c r="AM774" s="4">
        <v>1</v>
      </c>
      <c r="AN774" s="4">
        <v>0</v>
      </c>
      <c r="AO774" s="4">
        <v>0</v>
      </c>
      <c r="AP774" s="3" t="s">
        <v>59</v>
      </c>
      <c r="AQ774" s="3" t="s">
        <v>70</v>
      </c>
      <c r="AR774" s="6" t="str">
        <f>HYPERLINK("http://catalog.hathitrust.org/Record/000362982","HathiTrust Record")</f>
        <v>HathiTrust Record</v>
      </c>
      <c r="AS774" s="6" t="str">
        <f>HYPERLINK("https://creighton-primo.hosted.exlibrisgroup.com/primo-explore/search?tab=default_tab&amp;search_scope=EVERYTHING&amp;vid=01CRU&amp;lang=en_US&amp;offset=0&amp;query=any,contains,991000418239702656","Catalog Record")</f>
        <v>Catalog Record</v>
      </c>
      <c r="AT774" s="6" t="str">
        <f>HYPERLINK("http://www.worldcat.org/oclc/10726728","WorldCat Record")</f>
        <v>WorldCat Record</v>
      </c>
      <c r="AU774" s="3" t="s">
        <v>9782</v>
      </c>
      <c r="AV774" s="3" t="s">
        <v>9783</v>
      </c>
      <c r="AW774" s="3" t="s">
        <v>9784</v>
      </c>
      <c r="AX774" s="3" t="s">
        <v>9784</v>
      </c>
      <c r="AY774" s="3" t="s">
        <v>9785</v>
      </c>
      <c r="AZ774" s="3" t="s">
        <v>75</v>
      </c>
      <c r="BB774" s="3" t="s">
        <v>9786</v>
      </c>
      <c r="BC774" s="3" t="s">
        <v>9787</v>
      </c>
      <c r="BD774" s="3" t="s">
        <v>9788</v>
      </c>
    </row>
    <row r="775" spans="1:56" ht="48" customHeight="1" x14ac:dyDescent="0.25">
      <c r="A775" s="7" t="s">
        <v>59</v>
      </c>
      <c r="B775" s="2" t="s">
        <v>9789</v>
      </c>
      <c r="C775" s="2" t="s">
        <v>9790</v>
      </c>
      <c r="D775" s="2" t="s">
        <v>9791</v>
      </c>
      <c r="F775" s="3" t="s">
        <v>59</v>
      </c>
      <c r="G775" s="3" t="s">
        <v>60</v>
      </c>
      <c r="H775" s="3" t="s">
        <v>59</v>
      </c>
      <c r="I775" s="3" t="s">
        <v>59</v>
      </c>
      <c r="J775" s="3" t="s">
        <v>61</v>
      </c>
      <c r="L775" s="2" t="s">
        <v>9792</v>
      </c>
      <c r="M775" s="3" t="s">
        <v>219</v>
      </c>
      <c r="O775" s="3" t="s">
        <v>64</v>
      </c>
      <c r="P775" s="3" t="s">
        <v>130</v>
      </c>
      <c r="Q775" s="2" t="s">
        <v>9793</v>
      </c>
      <c r="R775" s="3" t="s">
        <v>67</v>
      </c>
      <c r="S775" s="4">
        <v>8</v>
      </c>
      <c r="T775" s="4">
        <v>8</v>
      </c>
      <c r="U775" s="5" t="s">
        <v>9794</v>
      </c>
      <c r="V775" s="5" t="s">
        <v>9794</v>
      </c>
      <c r="W775" s="5" t="s">
        <v>2089</v>
      </c>
      <c r="X775" s="5" t="s">
        <v>2089</v>
      </c>
      <c r="Y775" s="4">
        <v>342</v>
      </c>
      <c r="Z775" s="4">
        <v>267</v>
      </c>
      <c r="AA775" s="4">
        <v>273</v>
      </c>
      <c r="AB775" s="4">
        <v>3</v>
      </c>
      <c r="AC775" s="4">
        <v>3</v>
      </c>
      <c r="AD775" s="4">
        <v>12</v>
      </c>
      <c r="AE775" s="4">
        <v>12</v>
      </c>
      <c r="AF775" s="4">
        <v>3</v>
      </c>
      <c r="AG775" s="4">
        <v>3</v>
      </c>
      <c r="AH775" s="4">
        <v>3</v>
      </c>
      <c r="AI775" s="4">
        <v>3</v>
      </c>
      <c r="AJ775" s="4">
        <v>6</v>
      </c>
      <c r="AK775" s="4">
        <v>6</v>
      </c>
      <c r="AL775" s="4">
        <v>2</v>
      </c>
      <c r="AM775" s="4">
        <v>2</v>
      </c>
      <c r="AN775" s="4">
        <v>0</v>
      </c>
      <c r="AO775" s="4">
        <v>0</v>
      </c>
      <c r="AP775" s="3" t="s">
        <v>59</v>
      </c>
      <c r="AQ775" s="3" t="s">
        <v>70</v>
      </c>
      <c r="AR775" s="6" t="str">
        <f>HYPERLINK("http://catalog.hathitrust.org/Record/002230696","HathiTrust Record")</f>
        <v>HathiTrust Record</v>
      </c>
      <c r="AS775" s="6" t="str">
        <f>HYPERLINK("https://creighton-primo.hosted.exlibrisgroup.com/primo-explore/search?tab=default_tab&amp;search_scope=EVERYTHING&amp;vid=01CRU&amp;lang=en_US&amp;offset=0&amp;query=any,contains,991001660089702656","Catalog Record")</f>
        <v>Catalog Record</v>
      </c>
      <c r="AT775" s="6" t="str">
        <f>HYPERLINK("http://www.worldcat.org/oclc/21161296","WorldCat Record")</f>
        <v>WorldCat Record</v>
      </c>
      <c r="AU775" s="3" t="s">
        <v>9795</v>
      </c>
      <c r="AV775" s="3" t="s">
        <v>9796</v>
      </c>
      <c r="AW775" s="3" t="s">
        <v>9797</v>
      </c>
      <c r="AX775" s="3" t="s">
        <v>9797</v>
      </c>
      <c r="AY775" s="3" t="s">
        <v>9798</v>
      </c>
      <c r="AZ775" s="3" t="s">
        <v>75</v>
      </c>
      <c r="BB775" s="3" t="s">
        <v>9799</v>
      </c>
      <c r="BC775" s="3" t="s">
        <v>9800</v>
      </c>
      <c r="BD775" s="3" t="s">
        <v>9801</v>
      </c>
    </row>
    <row r="776" spans="1:56" ht="48" customHeight="1" x14ac:dyDescent="0.25">
      <c r="A776" s="7" t="s">
        <v>59</v>
      </c>
      <c r="B776" s="2" t="s">
        <v>9802</v>
      </c>
      <c r="C776" s="2" t="s">
        <v>9803</v>
      </c>
      <c r="D776" s="2" t="s">
        <v>9804</v>
      </c>
      <c r="E776" s="3" t="s">
        <v>1470</v>
      </c>
      <c r="F776" s="3" t="s">
        <v>70</v>
      </c>
      <c r="G776" s="3" t="s">
        <v>60</v>
      </c>
      <c r="H776" s="3" t="s">
        <v>59</v>
      </c>
      <c r="I776" s="3" t="s">
        <v>59</v>
      </c>
      <c r="J776" s="3" t="s">
        <v>61</v>
      </c>
      <c r="L776" s="2" t="s">
        <v>9805</v>
      </c>
      <c r="M776" s="3" t="s">
        <v>190</v>
      </c>
      <c r="O776" s="3" t="s">
        <v>64</v>
      </c>
      <c r="P776" s="3" t="s">
        <v>191</v>
      </c>
      <c r="R776" s="3" t="s">
        <v>67</v>
      </c>
      <c r="S776" s="4">
        <v>6</v>
      </c>
      <c r="T776" s="4">
        <v>6</v>
      </c>
      <c r="U776" s="5" t="s">
        <v>1803</v>
      </c>
      <c r="V776" s="5" t="s">
        <v>1803</v>
      </c>
      <c r="W776" s="5" t="s">
        <v>6862</v>
      </c>
      <c r="X776" s="5" t="s">
        <v>6862</v>
      </c>
      <c r="Y776" s="4">
        <v>303</v>
      </c>
      <c r="Z776" s="4">
        <v>233</v>
      </c>
      <c r="AA776" s="4">
        <v>257</v>
      </c>
      <c r="AB776" s="4">
        <v>3</v>
      </c>
      <c r="AC776" s="4">
        <v>3</v>
      </c>
      <c r="AD776" s="4">
        <v>6</v>
      </c>
      <c r="AE776" s="4">
        <v>6</v>
      </c>
      <c r="AF776" s="4">
        <v>1</v>
      </c>
      <c r="AG776" s="4">
        <v>1</v>
      </c>
      <c r="AH776" s="4">
        <v>1</v>
      </c>
      <c r="AI776" s="4">
        <v>1</v>
      </c>
      <c r="AJ776" s="4">
        <v>3</v>
      </c>
      <c r="AK776" s="4">
        <v>3</v>
      </c>
      <c r="AL776" s="4">
        <v>2</v>
      </c>
      <c r="AM776" s="4">
        <v>2</v>
      </c>
      <c r="AN776" s="4">
        <v>0</v>
      </c>
      <c r="AO776" s="4">
        <v>0</v>
      </c>
      <c r="AP776" s="3" t="s">
        <v>59</v>
      </c>
      <c r="AQ776" s="3" t="s">
        <v>70</v>
      </c>
      <c r="AR776" s="6" t="str">
        <f>HYPERLINK("http://catalog.hathitrust.org/Record/000663477","HathiTrust Record")</f>
        <v>HathiTrust Record</v>
      </c>
      <c r="AS776" s="6" t="str">
        <f>HYPERLINK("https://creighton-primo.hosted.exlibrisgroup.com/primo-explore/search?tab=default_tab&amp;search_scope=EVERYTHING&amp;vid=01CRU&amp;lang=en_US&amp;offset=0&amp;query=any,contains,991000706999702656","Catalog Record")</f>
        <v>Catalog Record</v>
      </c>
      <c r="AT776" s="6" t="str">
        <f>HYPERLINK("http://www.worldcat.org/oclc/12557789","WorldCat Record")</f>
        <v>WorldCat Record</v>
      </c>
      <c r="AU776" s="3" t="s">
        <v>9806</v>
      </c>
      <c r="AV776" s="3" t="s">
        <v>9807</v>
      </c>
      <c r="AW776" s="3" t="s">
        <v>9808</v>
      </c>
      <c r="AX776" s="3" t="s">
        <v>9808</v>
      </c>
      <c r="AY776" s="3" t="s">
        <v>9809</v>
      </c>
      <c r="AZ776" s="3" t="s">
        <v>75</v>
      </c>
      <c r="BB776" s="3" t="s">
        <v>9810</v>
      </c>
      <c r="BC776" s="3" t="s">
        <v>9811</v>
      </c>
      <c r="BD776" s="3" t="s">
        <v>9812</v>
      </c>
    </row>
    <row r="777" spans="1:56" ht="48" customHeight="1" x14ac:dyDescent="0.25">
      <c r="A777" s="7" t="s">
        <v>59</v>
      </c>
      <c r="B777" s="2" t="s">
        <v>9813</v>
      </c>
      <c r="C777" s="2" t="s">
        <v>9814</v>
      </c>
      <c r="D777" s="2" t="s">
        <v>9815</v>
      </c>
      <c r="F777" s="3" t="s">
        <v>59</v>
      </c>
      <c r="G777" s="3" t="s">
        <v>60</v>
      </c>
      <c r="H777" s="3" t="s">
        <v>59</v>
      </c>
      <c r="I777" s="3" t="s">
        <v>59</v>
      </c>
      <c r="J777" s="3" t="s">
        <v>61</v>
      </c>
      <c r="L777" s="2" t="s">
        <v>9816</v>
      </c>
      <c r="M777" s="3" t="s">
        <v>348</v>
      </c>
      <c r="O777" s="3" t="s">
        <v>64</v>
      </c>
      <c r="P777" s="3" t="s">
        <v>912</v>
      </c>
      <c r="Q777" s="2" t="s">
        <v>9817</v>
      </c>
      <c r="R777" s="3" t="s">
        <v>67</v>
      </c>
      <c r="S777" s="4">
        <v>8</v>
      </c>
      <c r="T777" s="4">
        <v>8</v>
      </c>
      <c r="U777" s="5" t="s">
        <v>9511</v>
      </c>
      <c r="V777" s="5" t="s">
        <v>9511</v>
      </c>
      <c r="W777" s="5" t="s">
        <v>9818</v>
      </c>
      <c r="X777" s="5" t="s">
        <v>9818</v>
      </c>
      <c r="Y777" s="4">
        <v>238</v>
      </c>
      <c r="Z777" s="4">
        <v>152</v>
      </c>
      <c r="AA777" s="4">
        <v>215</v>
      </c>
      <c r="AB777" s="4">
        <v>2</v>
      </c>
      <c r="AC777" s="4">
        <v>5</v>
      </c>
      <c r="AD777" s="4">
        <v>4</v>
      </c>
      <c r="AE777" s="4">
        <v>9</v>
      </c>
      <c r="AF777" s="4">
        <v>1</v>
      </c>
      <c r="AG777" s="4">
        <v>2</v>
      </c>
      <c r="AH777" s="4">
        <v>1</v>
      </c>
      <c r="AI777" s="4">
        <v>2</v>
      </c>
      <c r="AJ777" s="4">
        <v>2</v>
      </c>
      <c r="AK777" s="4">
        <v>3</v>
      </c>
      <c r="AL777" s="4">
        <v>1</v>
      </c>
      <c r="AM777" s="4">
        <v>4</v>
      </c>
      <c r="AN777" s="4">
        <v>0</v>
      </c>
      <c r="AO777" s="4">
        <v>0</v>
      </c>
      <c r="AP777" s="3" t="s">
        <v>59</v>
      </c>
      <c r="AQ777" s="3" t="s">
        <v>59</v>
      </c>
      <c r="AS777" s="6" t="str">
        <f>HYPERLINK("https://creighton-primo.hosted.exlibrisgroup.com/primo-explore/search?tab=default_tab&amp;search_scope=EVERYTHING&amp;vid=01CRU&amp;lang=en_US&amp;offset=0&amp;query=any,contains,991002196209702656","Catalog Record")</f>
        <v>Catalog Record</v>
      </c>
      <c r="AT777" s="6" t="str">
        <f>HYPERLINK("http://www.worldcat.org/oclc/28224280","WorldCat Record")</f>
        <v>WorldCat Record</v>
      </c>
      <c r="AU777" s="3" t="s">
        <v>9819</v>
      </c>
      <c r="AV777" s="3" t="s">
        <v>9820</v>
      </c>
      <c r="AW777" s="3" t="s">
        <v>9821</v>
      </c>
      <c r="AX777" s="3" t="s">
        <v>9821</v>
      </c>
      <c r="AY777" s="3" t="s">
        <v>9822</v>
      </c>
      <c r="AZ777" s="3" t="s">
        <v>75</v>
      </c>
      <c r="BB777" s="3" t="s">
        <v>9823</v>
      </c>
      <c r="BC777" s="3" t="s">
        <v>9824</v>
      </c>
      <c r="BD777" s="3" t="s">
        <v>9825</v>
      </c>
    </row>
    <row r="778" spans="1:56" ht="48" customHeight="1" x14ac:dyDescent="0.25">
      <c r="A778" s="7" t="s">
        <v>59</v>
      </c>
      <c r="B778" s="2" t="s">
        <v>9826</v>
      </c>
      <c r="C778" s="2" t="s">
        <v>9827</v>
      </c>
      <c r="D778" s="2" t="s">
        <v>9828</v>
      </c>
      <c r="F778" s="3" t="s">
        <v>59</v>
      </c>
      <c r="G778" s="3" t="s">
        <v>60</v>
      </c>
      <c r="H778" s="3" t="s">
        <v>59</v>
      </c>
      <c r="I778" s="3" t="s">
        <v>59</v>
      </c>
      <c r="J778" s="3" t="s">
        <v>61</v>
      </c>
      <c r="K778" s="2" t="s">
        <v>9829</v>
      </c>
      <c r="L778" s="2" t="s">
        <v>9830</v>
      </c>
      <c r="M778" s="3" t="s">
        <v>348</v>
      </c>
      <c r="O778" s="3" t="s">
        <v>64</v>
      </c>
      <c r="P778" s="3" t="s">
        <v>130</v>
      </c>
      <c r="R778" s="3" t="s">
        <v>67</v>
      </c>
      <c r="S778" s="4">
        <v>10</v>
      </c>
      <c r="T778" s="4">
        <v>10</v>
      </c>
      <c r="U778" s="5" t="s">
        <v>9831</v>
      </c>
      <c r="V778" s="5" t="s">
        <v>9831</v>
      </c>
      <c r="W778" s="5" t="s">
        <v>9832</v>
      </c>
      <c r="X778" s="5" t="s">
        <v>9832</v>
      </c>
      <c r="Y778" s="4">
        <v>325</v>
      </c>
      <c r="Z778" s="4">
        <v>252</v>
      </c>
      <c r="AA778" s="4">
        <v>252</v>
      </c>
      <c r="AB778" s="4">
        <v>2</v>
      </c>
      <c r="AC778" s="4">
        <v>2</v>
      </c>
      <c r="AD778" s="4">
        <v>9</v>
      </c>
      <c r="AE778" s="4">
        <v>9</v>
      </c>
      <c r="AF778" s="4">
        <v>2</v>
      </c>
      <c r="AG778" s="4">
        <v>2</v>
      </c>
      <c r="AH778" s="4">
        <v>0</v>
      </c>
      <c r="AI778" s="4">
        <v>0</v>
      </c>
      <c r="AJ778" s="4">
        <v>8</v>
      </c>
      <c r="AK778" s="4">
        <v>8</v>
      </c>
      <c r="AL778" s="4">
        <v>1</v>
      </c>
      <c r="AM778" s="4">
        <v>1</v>
      </c>
      <c r="AN778" s="4">
        <v>0</v>
      </c>
      <c r="AO778" s="4">
        <v>0</v>
      </c>
      <c r="AP778" s="3" t="s">
        <v>59</v>
      </c>
      <c r="AQ778" s="3" t="s">
        <v>59</v>
      </c>
      <c r="AS778" s="6" t="str">
        <f>HYPERLINK("https://creighton-primo.hosted.exlibrisgroup.com/primo-explore/search?tab=default_tab&amp;search_scope=EVERYTHING&amp;vid=01CRU&amp;lang=en_US&amp;offset=0&amp;query=any,contains,991002177469702656","Catalog Record")</f>
        <v>Catalog Record</v>
      </c>
      <c r="AT778" s="6" t="str">
        <f>HYPERLINK("http://www.worldcat.org/oclc/28026607","WorldCat Record")</f>
        <v>WorldCat Record</v>
      </c>
      <c r="AU778" s="3" t="s">
        <v>9833</v>
      </c>
      <c r="AV778" s="3" t="s">
        <v>9834</v>
      </c>
      <c r="AW778" s="3" t="s">
        <v>9835</v>
      </c>
      <c r="AX778" s="3" t="s">
        <v>9835</v>
      </c>
      <c r="AY778" s="3" t="s">
        <v>9836</v>
      </c>
      <c r="AZ778" s="3" t="s">
        <v>75</v>
      </c>
      <c r="BB778" s="3" t="s">
        <v>9837</v>
      </c>
      <c r="BC778" s="3" t="s">
        <v>9838</v>
      </c>
      <c r="BD778" s="3" t="s">
        <v>9839</v>
      </c>
    </row>
    <row r="779" spans="1:56" ht="48" customHeight="1" x14ac:dyDescent="0.25">
      <c r="A779" s="7" t="s">
        <v>59</v>
      </c>
      <c r="B779" s="2" t="s">
        <v>9840</v>
      </c>
      <c r="C779" s="2" t="s">
        <v>9841</v>
      </c>
      <c r="D779" s="2" t="s">
        <v>9842</v>
      </c>
      <c r="F779" s="3" t="s">
        <v>59</v>
      </c>
      <c r="G779" s="3" t="s">
        <v>60</v>
      </c>
      <c r="H779" s="3" t="s">
        <v>59</v>
      </c>
      <c r="I779" s="3" t="s">
        <v>70</v>
      </c>
      <c r="J779" s="3" t="s">
        <v>61</v>
      </c>
      <c r="K779" s="2" t="s">
        <v>7898</v>
      </c>
      <c r="L779" s="2" t="s">
        <v>9843</v>
      </c>
      <c r="M779" s="3" t="s">
        <v>129</v>
      </c>
      <c r="N779" s="2" t="s">
        <v>9844</v>
      </c>
      <c r="O779" s="3" t="s">
        <v>64</v>
      </c>
      <c r="P779" s="3" t="s">
        <v>130</v>
      </c>
      <c r="R779" s="3" t="s">
        <v>67</v>
      </c>
      <c r="S779" s="4">
        <v>13</v>
      </c>
      <c r="T779" s="4">
        <v>13</v>
      </c>
      <c r="U779" s="5" t="s">
        <v>3832</v>
      </c>
      <c r="V779" s="5" t="s">
        <v>3832</v>
      </c>
      <c r="W779" s="5" t="s">
        <v>3568</v>
      </c>
      <c r="X779" s="5" t="s">
        <v>3568</v>
      </c>
      <c r="Y779" s="4">
        <v>624</v>
      </c>
      <c r="Z779" s="4">
        <v>447</v>
      </c>
      <c r="AA779" s="4">
        <v>1022</v>
      </c>
      <c r="AB779" s="4">
        <v>3</v>
      </c>
      <c r="AC779" s="4">
        <v>10</v>
      </c>
      <c r="AD779" s="4">
        <v>18</v>
      </c>
      <c r="AE779" s="4">
        <v>45</v>
      </c>
      <c r="AF779" s="4">
        <v>8</v>
      </c>
      <c r="AG779" s="4">
        <v>19</v>
      </c>
      <c r="AH779" s="4">
        <v>5</v>
      </c>
      <c r="AI779" s="4">
        <v>7</v>
      </c>
      <c r="AJ779" s="4">
        <v>8</v>
      </c>
      <c r="AK779" s="4">
        <v>21</v>
      </c>
      <c r="AL779" s="4">
        <v>2</v>
      </c>
      <c r="AM779" s="4">
        <v>8</v>
      </c>
      <c r="AN779" s="4">
        <v>0</v>
      </c>
      <c r="AO779" s="4">
        <v>0</v>
      </c>
      <c r="AP779" s="3" t="s">
        <v>59</v>
      </c>
      <c r="AQ779" s="3" t="s">
        <v>59</v>
      </c>
      <c r="AS779" s="6" t="str">
        <f>HYPERLINK("https://creighton-primo.hosted.exlibrisgroup.com/primo-explore/search?tab=default_tab&amp;search_scope=EVERYTHING&amp;vid=01CRU&amp;lang=en_US&amp;offset=0&amp;query=any,contains,991001821629702656","Catalog Record")</f>
        <v>Catalog Record</v>
      </c>
      <c r="AT779" s="6" t="str">
        <f>HYPERLINK("http://www.worldcat.org/oclc/22891832","WorldCat Record")</f>
        <v>WorldCat Record</v>
      </c>
      <c r="AU779" s="3" t="s">
        <v>9845</v>
      </c>
      <c r="AV779" s="3" t="s">
        <v>9846</v>
      </c>
      <c r="AW779" s="3" t="s">
        <v>9847</v>
      </c>
      <c r="AX779" s="3" t="s">
        <v>9847</v>
      </c>
      <c r="AY779" s="3" t="s">
        <v>9848</v>
      </c>
      <c r="AZ779" s="3" t="s">
        <v>75</v>
      </c>
      <c r="BB779" s="3" t="s">
        <v>9849</v>
      </c>
      <c r="BC779" s="3" t="s">
        <v>9850</v>
      </c>
      <c r="BD779" s="3" t="s">
        <v>9851</v>
      </c>
    </row>
    <row r="780" spans="1:56" ht="48" customHeight="1" x14ac:dyDescent="0.25">
      <c r="A780" s="7" t="s">
        <v>59</v>
      </c>
      <c r="B780" s="2" t="s">
        <v>9852</v>
      </c>
      <c r="C780" s="2" t="s">
        <v>9853</v>
      </c>
      <c r="D780" s="2" t="s">
        <v>9854</v>
      </c>
      <c r="F780" s="3" t="s">
        <v>59</v>
      </c>
      <c r="G780" s="3" t="s">
        <v>60</v>
      </c>
      <c r="H780" s="3" t="s">
        <v>59</v>
      </c>
      <c r="I780" s="3" t="s">
        <v>59</v>
      </c>
      <c r="J780" s="3" t="s">
        <v>61</v>
      </c>
      <c r="K780" s="2" t="s">
        <v>7898</v>
      </c>
      <c r="L780" s="2" t="s">
        <v>9855</v>
      </c>
      <c r="M780" s="3" t="s">
        <v>471</v>
      </c>
      <c r="O780" s="3" t="s">
        <v>64</v>
      </c>
      <c r="P780" s="3" t="s">
        <v>176</v>
      </c>
      <c r="R780" s="3" t="s">
        <v>67</v>
      </c>
      <c r="S780" s="4">
        <v>7</v>
      </c>
      <c r="T780" s="4">
        <v>7</v>
      </c>
      <c r="U780" s="5" t="s">
        <v>391</v>
      </c>
      <c r="V780" s="5" t="s">
        <v>391</v>
      </c>
      <c r="W780" s="5" t="s">
        <v>9856</v>
      </c>
      <c r="X780" s="5" t="s">
        <v>9856</v>
      </c>
      <c r="Y780" s="4">
        <v>856</v>
      </c>
      <c r="Z780" s="4">
        <v>670</v>
      </c>
      <c r="AA780" s="4">
        <v>675</v>
      </c>
      <c r="AB780" s="4">
        <v>5</v>
      </c>
      <c r="AC780" s="4">
        <v>5</v>
      </c>
      <c r="AD780" s="4">
        <v>27</v>
      </c>
      <c r="AE780" s="4">
        <v>27</v>
      </c>
      <c r="AF780" s="4">
        <v>11</v>
      </c>
      <c r="AG780" s="4">
        <v>11</v>
      </c>
      <c r="AH780" s="4">
        <v>6</v>
      </c>
      <c r="AI780" s="4">
        <v>6</v>
      </c>
      <c r="AJ780" s="4">
        <v>12</v>
      </c>
      <c r="AK780" s="4">
        <v>12</v>
      </c>
      <c r="AL780" s="4">
        <v>4</v>
      </c>
      <c r="AM780" s="4">
        <v>4</v>
      </c>
      <c r="AN780" s="4">
        <v>0</v>
      </c>
      <c r="AO780" s="4">
        <v>0</v>
      </c>
      <c r="AP780" s="3" t="s">
        <v>59</v>
      </c>
      <c r="AQ780" s="3" t="s">
        <v>59</v>
      </c>
      <c r="AS780" s="6" t="str">
        <f>HYPERLINK("https://creighton-primo.hosted.exlibrisgroup.com/primo-explore/search?tab=default_tab&amp;search_scope=EVERYTHING&amp;vid=01CRU&amp;lang=en_US&amp;offset=0&amp;query=any,contains,991005257769702656","Catalog Record")</f>
        <v>Catalog Record</v>
      </c>
      <c r="AT780" s="6" t="str">
        <f>HYPERLINK("http://www.worldcat.org/oclc/828346","WorldCat Record")</f>
        <v>WorldCat Record</v>
      </c>
      <c r="AU780" s="3" t="s">
        <v>9857</v>
      </c>
      <c r="AV780" s="3" t="s">
        <v>9858</v>
      </c>
      <c r="AW780" s="3" t="s">
        <v>9859</v>
      </c>
      <c r="AX780" s="3" t="s">
        <v>9859</v>
      </c>
      <c r="AY780" s="3" t="s">
        <v>9860</v>
      </c>
      <c r="AZ780" s="3" t="s">
        <v>75</v>
      </c>
      <c r="BB780" s="3" t="s">
        <v>9861</v>
      </c>
      <c r="BC780" s="3" t="s">
        <v>9862</v>
      </c>
      <c r="BD780" s="3" t="s">
        <v>9863</v>
      </c>
    </row>
    <row r="781" spans="1:56" ht="48" customHeight="1" x14ac:dyDescent="0.25">
      <c r="A781" s="7" t="s">
        <v>59</v>
      </c>
      <c r="B781" s="2" t="s">
        <v>9864</v>
      </c>
      <c r="C781" s="2" t="s">
        <v>9865</v>
      </c>
      <c r="D781" s="2" t="s">
        <v>9866</v>
      </c>
      <c r="F781" s="3" t="s">
        <v>59</v>
      </c>
      <c r="G781" s="3" t="s">
        <v>60</v>
      </c>
      <c r="H781" s="3" t="s">
        <v>59</v>
      </c>
      <c r="I781" s="3" t="s">
        <v>59</v>
      </c>
      <c r="J781" s="3" t="s">
        <v>61</v>
      </c>
      <c r="K781" s="2" t="s">
        <v>9867</v>
      </c>
      <c r="L781" s="2" t="s">
        <v>9868</v>
      </c>
      <c r="M781" s="3" t="s">
        <v>925</v>
      </c>
      <c r="O781" s="3" t="s">
        <v>64</v>
      </c>
      <c r="P781" s="3" t="s">
        <v>5944</v>
      </c>
      <c r="R781" s="3" t="s">
        <v>67</v>
      </c>
      <c r="S781" s="4">
        <v>3</v>
      </c>
      <c r="T781" s="4">
        <v>3</v>
      </c>
      <c r="U781" s="5" t="s">
        <v>3648</v>
      </c>
      <c r="V781" s="5" t="s">
        <v>3648</v>
      </c>
      <c r="W781" s="5" t="s">
        <v>9869</v>
      </c>
      <c r="X781" s="5" t="s">
        <v>9869</v>
      </c>
      <c r="Y781" s="4">
        <v>705</v>
      </c>
      <c r="Z781" s="4">
        <v>625</v>
      </c>
      <c r="AA781" s="4">
        <v>626</v>
      </c>
      <c r="AB781" s="4">
        <v>7</v>
      </c>
      <c r="AC781" s="4">
        <v>7</v>
      </c>
      <c r="AD781" s="4">
        <v>22</v>
      </c>
      <c r="AE781" s="4">
        <v>22</v>
      </c>
      <c r="AF781" s="4">
        <v>6</v>
      </c>
      <c r="AG781" s="4">
        <v>6</v>
      </c>
      <c r="AH781" s="4">
        <v>4</v>
      </c>
      <c r="AI781" s="4">
        <v>4</v>
      </c>
      <c r="AJ781" s="4">
        <v>13</v>
      </c>
      <c r="AK781" s="4">
        <v>13</v>
      </c>
      <c r="AL781" s="4">
        <v>5</v>
      </c>
      <c r="AM781" s="4">
        <v>5</v>
      </c>
      <c r="AN781" s="4">
        <v>0</v>
      </c>
      <c r="AO781" s="4">
        <v>0</v>
      </c>
      <c r="AP781" s="3" t="s">
        <v>59</v>
      </c>
      <c r="AQ781" s="3" t="s">
        <v>59</v>
      </c>
      <c r="AS781" s="6" t="str">
        <f>HYPERLINK("https://creighton-primo.hosted.exlibrisgroup.com/primo-explore/search?tab=default_tab&amp;search_scope=EVERYTHING&amp;vid=01CRU&amp;lang=en_US&amp;offset=0&amp;query=any,contains,991002852579702656","Catalog Record")</f>
        <v>Catalog Record</v>
      </c>
      <c r="AT781" s="6" t="str">
        <f>HYPERLINK("http://www.worldcat.org/oclc/37588483","WorldCat Record")</f>
        <v>WorldCat Record</v>
      </c>
      <c r="AU781" s="3" t="s">
        <v>9870</v>
      </c>
      <c r="AV781" s="3" t="s">
        <v>9871</v>
      </c>
      <c r="AW781" s="3" t="s">
        <v>9872</v>
      </c>
      <c r="AX781" s="3" t="s">
        <v>9872</v>
      </c>
      <c r="AY781" s="3" t="s">
        <v>9873</v>
      </c>
      <c r="AZ781" s="3" t="s">
        <v>75</v>
      </c>
      <c r="BB781" s="3" t="s">
        <v>9874</v>
      </c>
      <c r="BC781" s="3" t="s">
        <v>9875</v>
      </c>
      <c r="BD781" s="3" t="s">
        <v>9876</v>
      </c>
    </row>
    <row r="782" spans="1:56" ht="48" customHeight="1" x14ac:dyDescent="0.25">
      <c r="A782" s="7" t="s">
        <v>59</v>
      </c>
      <c r="B782" s="2" t="s">
        <v>9877</v>
      </c>
      <c r="C782" s="2" t="s">
        <v>9878</v>
      </c>
      <c r="D782" s="2" t="s">
        <v>9879</v>
      </c>
      <c r="F782" s="3" t="s">
        <v>59</v>
      </c>
      <c r="G782" s="3" t="s">
        <v>60</v>
      </c>
      <c r="H782" s="3" t="s">
        <v>59</v>
      </c>
      <c r="I782" s="3" t="s">
        <v>59</v>
      </c>
      <c r="J782" s="3" t="s">
        <v>61</v>
      </c>
      <c r="L782" s="2" t="s">
        <v>9030</v>
      </c>
      <c r="M782" s="3" t="s">
        <v>897</v>
      </c>
      <c r="O782" s="3" t="s">
        <v>64</v>
      </c>
      <c r="P782" s="3" t="s">
        <v>191</v>
      </c>
      <c r="R782" s="3" t="s">
        <v>67</v>
      </c>
      <c r="S782" s="4">
        <v>1</v>
      </c>
      <c r="T782" s="4">
        <v>1</v>
      </c>
      <c r="U782" s="5" t="s">
        <v>9880</v>
      </c>
      <c r="V782" s="5" t="s">
        <v>9880</v>
      </c>
      <c r="W782" s="5" t="s">
        <v>9881</v>
      </c>
      <c r="X782" s="5" t="s">
        <v>9881</v>
      </c>
      <c r="Y782" s="4">
        <v>156</v>
      </c>
      <c r="Z782" s="4">
        <v>124</v>
      </c>
      <c r="AA782" s="4">
        <v>130</v>
      </c>
      <c r="AB782" s="4">
        <v>2</v>
      </c>
      <c r="AC782" s="4">
        <v>2</v>
      </c>
      <c r="AD782" s="4">
        <v>3</v>
      </c>
      <c r="AE782" s="4">
        <v>3</v>
      </c>
      <c r="AF782" s="4">
        <v>0</v>
      </c>
      <c r="AG782" s="4">
        <v>0</v>
      </c>
      <c r="AH782" s="4">
        <v>0</v>
      </c>
      <c r="AI782" s="4">
        <v>0</v>
      </c>
      <c r="AJ782" s="4">
        <v>2</v>
      </c>
      <c r="AK782" s="4">
        <v>2</v>
      </c>
      <c r="AL782" s="4">
        <v>1</v>
      </c>
      <c r="AM782" s="4">
        <v>1</v>
      </c>
      <c r="AN782" s="4">
        <v>0</v>
      </c>
      <c r="AO782" s="4">
        <v>0</v>
      </c>
      <c r="AP782" s="3" t="s">
        <v>59</v>
      </c>
      <c r="AQ782" s="3" t="s">
        <v>59</v>
      </c>
      <c r="AS782" s="6" t="str">
        <f>HYPERLINK("https://creighton-primo.hosted.exlibrisgroup.com/primo-explore/search?tab=default_tab&amp;search_scope=EVERYTHING&amp;vid=01CRU&amp;lang=en_US&amp;offset=0&amp;query=any,contains,991001748049702656","Catalog Record")</f>
        <v>Catalog Record</v>
      </c>
      <c r="AT782" s="6" t="str">
        <f>HYPERLINK("http://www.worldcat.org/oclc/22119790","WorldCat Record")</f>
        <v>WorldCat Record</v>
      </c>
      <c r="AU782" s="3" t="s">
        <v>9882</v>
      </c>
      <c r="AV782" s="3" t="s">
        <v>9883</v>
      </c>
      <c r="AW782" s="3" t="s">
        <v>9884</v>
      </c>
      <c r="AX782" s="3" t="s">
        <v>9884</v>
      </c>
      <c r="AY782" s="3" t="s">
        <v>9885</v>
      </c>
      <c r="AZ782" s="3" t="s">
        <v>75</v>
      </c>
      <c r="BB782" s="3" t="s">
        <v>9886</v>
      </c>
      <c r="BC782" s="3" t="s">
        <v>9887</v>
      </c>
      <c r="BD782" s="3" t="s">
        <v>9888</v>
      </c>
    </row>
    <row r="783" spans="1:56" ht="48" customHeight="1" x14ac:dyDescent="0.25">
      <c r="A783" s="7" t="s">
        <v>59</v>
      </c>
      <c r="B783" s="2" t="s">
        <v>9889</v>
      </c>
      <c r="C783" s="2" t="s">
        <v>9890</v>
      </c>
      <c r="D783" s="2" t="s">
        <v>9891</v>
      </c>
      <c r="F783" s="3" t="s">
        <v>59</v>
      </c>
      <c r="G783" s="3" t="s">
        <v>60</v>
      </c>
      <c r="H783" s="3" t="s">
        <v>59</v>
      </c>
      <c r="I783" s="3" t="s">
        <v>59</v>
      </c>
      <c r="J783" s="3" t="s">
        <v>61</v>
      </c>
      <c r="K783" s="2" t="s">
        <v>9892</v>
      </c>
      <c r="L783" s="2" t="s">
        <v>9893</v>
      </c>
      <c r="M783" s="3" t="s">
        <v>519</v>
      </c>
      <c r="N783" s="2" t="s">
        <v>731</v>
      </c>
      <c r="O783" s="3" t="s">
        <v>64</v>
      </c>
      <c r="P783" s="3" t="s">
        <v>84</v>
      </c>
      <c r="Q783" s="2" t="s">
        <v>8686</v>
      </c>
      <c r="R783" s="3" t="s">
        <v>67</v>
      </c>
      <c r="S783" s="4">
        <v>10</v>
      </c>
      <c r="T783" s="4">
        <v>10</v>
      </c>
      <c r="U783" s="5" t="s">
        <v>391</v>
      </c>
      <c r="V783" s="5" t="s">
        <v>391</v>
      </c>
      <c r="W783" s="5" t="s">
        <v>9894</v>
      </c>
      <c r="X783" s="5" t="s">
        <v>9894</v>
      </c>
      <c r="Y783" s="4">
        <v>290</v>
      </c>
      <c r="Z783" s="4">
        <v>192</v>
      </c>
      <c r="AA783" s="4">
        <v>193</v>
      </c>
      <c r="AB783" s="4">
        <v>1</v>
      </c>
      <c r="AC783" s="4">
        <v>1</v>
      </c>
      <c r="AD783" s="4">
        <v>12</v>
      </c>
      <c r="AE783" s="4">
        <v>12</v>
      </c>
      <c r="AF783" s="4">
        <v>2</v>
      </c>
      <c r="AG783" s="4">
        <v>2</v>
      </c>
      <c r="AH783" s="4">
        <v>6</v>
      </c>
      <c r="AI783" s="4">
        <v>6</v>
      </c>
      <c r="AJ783" s="4">
        <v>7</v>
      </c>
      <c r="AK783" s="4">
        <v>7</v>
      </c>
      <c r="AL783" s="4">
        <v>0</v>
      </c>
      <c r="AM783" s="4">
        <v>0</v>
      </c>
      <c r="AN783" s="4">
        <v>0</v>
      </c>
      <c r="AO783" s="4">
        <v>0</v>
      </c>
      <c r="AP783" s="3" t="s">
        <v>59</v>
      </c>
      <c r="AQ783" s="3" t="s">
        <v>70</v>
      </c>
      <c r="AR783" s="6" t="str">
        <f>HYPERLINK("http://catalog.hathitrust.org/Record/002882687","HathiTrust Record")</f>
        <v>HathiTrust Record</v>
      </c>
      <c r="AS783" s="6" t="str">
        <f>HYPERLINK("https://creighton-primo.hosted.exlibrisgroup.com/primo-explore/search?tab=default_tab&amp;search_scope=EVERYTHING&amp;vid=01CRU&amp;lang=en_US&amp;offset=0&amp;query=any,contains,991002253349702656","Catalog Record")</f>
        <v>Catalog Record</v>
      </c>
      <c r="AT783" s="6" t="str">
        <f>HYPERLINK("http://www.worldcat.org/oclc/29185290","WorldCat Record")</f>
        <v>WorldCat Record</v>
      </c>
      <c r="AU783" s="3" t="s">
        <v>9895</v>
      </c>
      <c r="AV783" s="3" t="s">
        <v>9896</v>
      </c>
      <c r="AW783" s="3" t="s">
        <v>9897</v>
      </c>
      <c r="AX783" s="3" t="s">
        <v>9897</v>
      </c>
      <c r="AY783" s="3" t="s">
        <v>9898</v>
      </c>
      <c r="AZ783" s="3" t="s">
        <v>75</v>
      </c>
      <c r="BB783" s="3" t="s">
        <v>9899</v>
      </c>
      <c r="BC783" s="3" t="s">
        <v>9900</v>
      </c>
      <c r="BD783" s="3" t="s">
        <v>9901</v>
      </c>
    </row>
    <row r="784" spans="1:56" ht="48" customHeight="1" x14ac:dyDescent="0.25">
      <c r="A784" s="7" t="s">
        <v>59</v>
      </c>
      <c r="B784" s="2" t="s">
        <v>9902</v>
      </c>
      <c r="C784" s="2" t="s">
        <v>9903</v>
      </c>
      <c r="D784" s="2" t="s">
        <v>9904</v>
      </c>
      <c r="F784" s="3" t="s">
        <v>59</v>
      </c>
      <c r="G784" s="3" t="s">
        <v>60</v>
      </c>
      <c r="H784" s="3" t="s">
        <v>59</v>
      </c>
      <c r="I784" s="3" t="s">
        <v>59</v>
      </c>
      <c r="J784" s="3" t="s">
        <v>61</v>
      </c>
      <c r="K784" s="2" t="s">
        <v>9905</v>
      </c>
      <c r="L784" s="2" t="s">
        <v>9906</v>
      </c>
      <c r="M784" s="3" t="s">
        <v>63</v>
      </c>
      <c r="O784" s="3" t="s">
        <v>64</v>
      </c>
      <c r="P784" s="3" t="s">
        <v>264</v>
      </c>
      <c r="R784" s="3" t="s">
        <v>67</v>
      </c>
      <c r="S784" s="4">
        <v>21</v>
      </c>
      <c r="T784" s="4">
        <v>21</v>
      </c>
      <c r="U784" s="5" t="s">
        <v>9907</v>
      </c>
      <c r="V784" s="5" t="s">
        <v>9907</v>
      </c>
      <c r="W784" s="5" t="s">
        <v>9908</v>
      </c>
      <c r="X784" s="5" t="s">
        <v>9908</v>
      </c>
      <c r="Y784" s="4">
        <v>1191</v>
      </c>
      <c r="Z784" s="4">
        <v>1006</v>
      </c>
      <c r="AA784" s="4">
        <v>1015</v>
      </c>
      <c r="AB784" s="4">
        <v>5</v>
      </c>
      <c r="AC784" s="4">
        <v>5</v>
      </c>
      <c r="AD784" s="4">
        <v>27</v>
      </c>
      <c r="AE784" s="4">
        <v>27</v>
      </c>
      <c r="AF784" s="4">
        <v>10</v>
      </c>
      <c r="AG784" s="4">
        <v>10</v>
      </c>
      <c r="AH784" s="4">
        <v>8</v>
      </c>
      <c r="AI784" s="4">
        <v>8</v>
      </c>
      <c r="AJ784" s="4">
        <v>14</v>
      </c>
      <c r="AK784" s="4">
        <v>14</v>
      </c>
      <c r="AL784" s="4">
        <v>3</v>
      </c>
      <c r="AM784" s="4">
        <v>3</v>
      </c>
      <c r="AN784" s="4">
        <v>0</v>
      </c>
      <c r="AO784" s="4">
        <v>0</v>
      </c>
      <c r="AP784" s="3" t="s">
        <v>59</v>
      </c>
      <c r="AQ784" s="3" t="s">
        <v>59</v>
      </c>
      <c r="AS784" s="6" t="str">
        <f>HYPERLINK("https://creighton-primo.hosted.exlibrisgroup.com/primo-explore/search?tab=default_tab&amp;search_scope=EVERYTHING&amp;vid=01CRU&amp;lang=en_US&amp;offset=0&amp;query=any,contains,991004296279702656","Catalog Record")</f>
        <v>Catalog Record</v>
      </c>
      <c r="AT784" s="6" t="str">
        <f>HYPERLINK("http://www.worldcat.org/oclc/2964854","WorldCat Record")</f>
        <v>WorldCat Record</v>
      </c>
      <c r="AU784" s="3" t="s">
        <v>9909</v>
      </c>
      <c r="AV784" s="3" t="s">
        <v>9910</v>
      </c>
      <c r="AW784" s="3" t="s">
        <v>9911</v>
      </c>
      <c r="AX784" s="3" t="s">
        <v>9911</v>
      </c>
      <c r="AY784" s="3" t="s">
        <v>9912</v>
      </c>
      <c r="AZ784" s="3" t="s">
        <v>75</v>
      </c>
      <c r="BB784" s="3" t="s">
        <v>9913</v>
      </c>
      <c r="BC784" s="3" t="s">
        <v>9914</v>
      </c>
      <c r="BD784" s="3" t="s">
        <v>9915</v>
      </c>
    </row>
    <row r="785" spans="1:56" ht="48" customHeight="1" x14ac:dyDescent="0.25">
      <c r="A785" s="7" t="s">
        <v>59</v>
      </c>
      <c r="B785" s="2" t="s">
        <v>9916</v>
      </c>
      <c r="C785" s="2" t="s">
        <v>9917</v>
      </c>
      <c r="D785" s="2" t="s">
        <v>9918</v>
      </c>
      <c r="F785" s="3" t="s">
        <v>59</v>
      </c>
      <c r="G785" s="3" t="s">
        <v>60</v>
      </c>
      <c r="H785" s="3" t="s">
        <v>59</v>
      </c>
      <c r="I785" s="3" t="s">
        <v>59</v>
      </c>
      <c r="J785" s="3" t="s">
        <v>61</v>
      </c>
      <c r="L785" s="2" t="s">
        <v>4701</v>
      </c>
      <c r="M785" s="3" t="s">
        <v>319</v>
      </c>
      <c r="O785" s="3" t="s">
        <v>64</v>
      </c>
      <c r="P785" s="3" t="s">
        <v>130</v>
      </c>
      <c r="Q785" s="2" t="s">
        <v>9919</v>
      </c>
      <c r="R785" s="3" t="s">
        <v>67</v>
      </c>
      <c r="S785" s="4">
        <v>3</v>
      </c>
      <c r="T785" s="4">
        <v>3</v>
      </c>
      <c r="U785" s="5" t="s">
        <v>9920</v>
      </c>
      <c r="V785" s="5" t="s">
        <v>9920</v>
      </c>
      <c r="W785" s="5" t="s">
        <v>6862</v>
      </c>
      <c r="X785" s="5" t="s">
        <v>6862</v>
      </c>
      <c r="Y785" s="4">
        <v>287</v>
      </c>
      <c r="Z785" s="4">
        <v>224</v>
      </c>
      <c r="AA785" s="4">
        <v>246</v>
      </c>
      <c r="AB785" s="4">
        <v>2</v>
      </c>
      <c r="AC785" s="4">
        <v>2</v>
      </c>
      <c r="AD785" s="4">
        <v>8</v>
      </c>
      <c r="AE785" s="4">
        <v>9</v>
      </c>
      <c r="AF785" s="4">
        <v>1</v>
      </c>
      <c r="AG785" s="4">
        <v>2</v>
      </c>
      <c r="AH785" s="4">
        <v>5</v>
      </c>
      <c r="AI785" s="4">
        <v>5</v>
      </c>
      <c r="AJ785" s="4">
        <v>4</v>
      </c>
      <c r="AK785" s="4">
        <v>5</v>
      </c>
      <c r="AL785" s="4">
        <v>1</v>
      </c>
      <c r="AM785" s="4">
        <v>1</v>
      </c>
      <c r="AN785" s="4">
        <v>0</v>
      </c>
      <c r="AO785" s="4">
        <v>0</v>
      </c>
      <c r="AP785" s="3" t="s">
        <v>59</v>
      </c>
      <c r="AQ785" s="3" t="s">
        <v>70</v>
      </c>
      <c r="AR785" s="6" t="str">
        <f>HYPERLINK("http://catalog.hathitrust.org/Record/000329338","HathiTrust Record")</f>
        <v>HathiTrust Record</v>
      </c>
      <c r="AS785" s="6" t="str">
        <f>HYPERLINK("https://creighton-primo.hosted.exlibrisgroup.com/primo-explore/search?tab=default_tab&amp;search_scope=EVERYTHING&amp;vid=01CRU&amp;lang=en_US&amp;offset=0&amp;query=any,contains,991000465469702656","Catalog Record")</f>
        <v>Catalog Record</v>
      </c>
      <c r="AT785" s="6" t="str">
        <f>HYPERLINK("http://www.worldcat.org/oclc/10951314","WorldCat Record")</f>
        <v>WorldCat Record</v>
      </c>
      <c r="AU785" s="3" t="s">
        <v>9921</v>
      </c>
      <c r="AV785" s="3" t="s">
        <v>9922</v>
      </c>
      <c r="AW785" s="3" t="s">
        <v>9923</v>
      </c>
      <c r="AX785" s="3" t="s">
        <v>9923</v>
      </c>
      <c r="AY785" s="3" t="s">
        <v>9924</v>
      </c>
      <c r="AZ785" s="3" t="s">
        <v>75</v>
      </c>
      <c r="BB785" s="3" t="s">
        <v>9925</v>
      </c>
      <c r="BC785" s="3" t="s">
        <v>9926</v>
      </c>
      <c r="BD785" s="3" t="s">
        <v>9927</v>
      </c>
    </row>
    <row r="786" spans="1:56" ht="48" customHeight="1" x14ac:dyDescent="0.25">
      <c r="A786" s="7" t="s">
        <v>59</v>
      </c>
      <c r="B786" s="2" t="s">
        <v>9928</v>
      </c>
      <c r="C786" s="2" t="s">
        <v>9929</v>
      </c>
      <c r="D786" s="2" t="s">
        <v>9930</v>
      </c>
      <c r="F786" s="3" t="s">
        <v>59</v>
      </c>
      <c r="G786" s="3" t="s">
        <v>60</v>
      </c>
      <c r="H786" s="3" t="s">
        <v>59</v>
      </c>
      <c r="I786" s="3" t="s">
        <v>59</v>
      </c>
      <c r="J786" s="3" t="s">
        <v>61</v>
      </c>
      <c r="K786" s="2" t="s">
        <v>9931</v>
      </c>
      <c r="L786" s="2" t="s">
        <v>9932</v>
      </c>
      <c r="M786" s="3" t="s">
        <v>590</v>
      </c>
      <c r="O786" s="3" t="s">
        <v>64</v>
      </c>
      <c r="P786" s="3" t="s">
        <v>130</v>
      </c>
      <c r="R786" s="3" t="s">
        <v>67</v>
      </c>
      <c r="S786" s="4">
        <v>13</v>
      </c>
      <c r="T786" s="4">
        <v>13</v>
      </c>
      <c r="U786" s="5" t="s">
        <v>9564</v>
      </c>
      <c r="V786" s="5" t="s">
        <v>9564</v>
      </c>
      <c r="W786" s="5" t="s">
        <v>1188</v>
      </c>
      <c r="X786" s="5" t="s">
        <v>1188</v>
      </c>
      <c r="Y786" s="4">
        <v>120</v>
      </c>
      <c r="Z786" s="4">
        <v>101</v>
      </c>
      <c r="AA786" s="4">
        <v>104</v>
      </c>
      <c r="AB786" s="4">
        <v>1</v>
      </c>
      <c r="AC786" s="4">
        <v>1</v>
      </c>
      <c r="AD786" s="4">
        <v>0</v>
      </c>
      <c r="AE786" s="4">
        <v>0</v>
      </c>
      <c r="AF786" s="4">
        <v>0</v>
      </c>
      <c r="AG786" s="4">
        <v>0</v>
      </c>
      <c r="AH786" s="4">
        <v>0</v>
      </c>
      <c r="AI786" s="4">
        <v>0</v>
      </c>
      <c r="AJ786" s="4">
        <v>0</v>
      </c>
      <c r="AK786" s="4">
        <v>0</v>
      </c>
      <c r="AL786" s="4">
        <v>0</v>
      </c>
      <c r="AM786" s="4">
        <v>0</v>
      </c>
      <c r="AN786" s="4">
        <v>0</v>
      </c>
      <c r="AO786" s="4">
        <v>0</v>
      </c>
      <c r="AP786" s="3" t="s">
        <v>59</v>
      </c>
      <c r="AQ786" s="3" t="s">
        <v>70</v>
      </c>
      <c r="AR786" s="6" t="str">
        <f>HYPERLINK("http://catalog.hathitrust.org/Record/001946365","HathiTrust Record")</f>
        <v>HathiTrust Record</v>
      </c>
      <c r="AS786" s="6" t="str">
        <f>HYPERLINK("https://creighton-primo.hosted.exlibrisgroup.com/primo-explore/search?tab=default_tab&amp;search_scope=EVERYTHING&amp;vid=01CRU&amp;lang=en_US&amp;offset=0&amp;query=any,contains,991001338929702656","Catalog Record")</f>
        <v>Catalog Record</v>
      </c>
      <c r="AT786" s="6" t="str">
        <f>HYPERLINK("http://www.worldcat.org/oclc/18379353","WorldCat Record")</f>
        <v>WorldCat Record</v>
      </c>
      <c r="AU786" s="3" t="s">
        <v>9933</v>
      </c>
      <c r="AV786" s="3" t="s">
        <v>9934</v>
      </c>
      <c r="AW786" s="3" t="s">
        <v>9935</v>
      </c>
      <c r="AX786" s="3" t="s">
        <v>9935</v>
      </c>
      <c r="AY786" s="3" t="s">
        <v>9936</v>
      </c>
      <c r="AZ786" s="3" t="s">
        <v>75</v>
      </c>
      <c r="BB786" s="3" t="s">
        <v>9937</v>
      </c>
      <c r="BC786" s="3" t="s">
        <v>9938</v>
      </c>
      <c r="BD786" s="3" t="s">
        <v>9939</v>
      </c>
    </row>
    <row r="787" spans="1:56" ht="48" customHeight="1" x14ac:dyDescent="0.25">
      <c r="A787" s="7" t="s">
        <v>59</v>
      </c>
      <c r="B787" s="2" t="s">
        <v>9940</v>
      </c>
      <c r="C787" s="2" t="s">
        <v>9941</v>
      </c>
      <c r="D787" s="2" t="s">
        <v>9942</v>
      </c>
      <c r="F787" s="3" t="s">
        <v>59</v>
      </c>
      <c r="G787" s="3" t="s">
        <v>60</v>
      </c>
      <c r="H787" s="3" t="s">
        <v>59</v>
      </c>
      <c r="I787" s="3" t="s">
        <v>59</v>
      </c>
      <c r="J787" s="3" t="s">
        <v>61</v>
      </c>
      <c r="K787" s="2" t="s">
        <v>9943</v>
      </c>
      <c r="L787" s="2" t="s">
        <v>4410</v>
      </c>
      <c r="M787" s="3" t="s">
        <v>519</v>
      </c>
      <c r="O787" s="3" t="s">
        <v>64</v>
      </c>
      <c r="P787" s="3" t="s">
        <v>176</v>
      </c>
      <c r="R787" s="3" t="s">
        <v>67</v>
      </c>
      <c r="S787" s="4">
        <v>3</v>
      </c>
      <c r="T787" s="4">
        <v>3</v>
      </c>
      <c r="U787" s="5" t="s">
        <v>9944</v>
      </c>
      <c r="V787" s="5" t="s">
        <v>9944</v>
      </c>
      <c r="W787" s="5" t="s">
        <v>8572</v>
      </c>
      <c r="X787" s="5" t="s">
        <v>8572</v>
      </c>
      <c r="Y787" s="4">
        <v>630</v>
      </c>
      <c r="Z787" s="4">
        <v>491</v>
      </c>
      <c r="AA787" s="4">
        <v>530</v>
      </c>
      <c r="AB787" s="4">
        <v>4</v>
      </c>
      <c r="AC787" s="4">
        <v>6</v>
      </c>
      <c r="AD787" s="4">
        <v>20</v>
      </c>
      <c r="AE787" s="4">
        <v>24</v>
      </c>
      <c r="AF787" s="4">
        <v>8</v>
      </c>
      <c r="AG787" s="4">
        <v>10</v>
      </c>
      <c r="AH787" s="4">
        <v>3</v>
      </c>
      <c r="AI787" s="4">
        <v>4</v>
      </c>
      <c r="AJ787" s="4">
        <v>9</v>
      </c>
      <c r="AK787" s="4">
        <v>9</v>
      </c>
      <c r="AL787" s="4">
        <v>3</v>
      </c>
      <c r="AM787" s="4">
        <v>5</v>
      </c>
      <c r="AN787" s="4">
        <v>0</v>
      </c>
      <c r="AO787" s="4">
        <v>0</v>
      </c>
      <c r="AP787" s="3" t="s">
        <v>59</v>
      </c>
      <c r="AQ787" s="3" t="s">
        <v>59</v>
      </c>
      <c r="AS787" s="6" t="str">
        <f>HYPERLINK("https://creighton-primo.hosted.exlibrisgroup.com/primo-explore/search?tab=default_tab&amp;search_scope=EVERYTHING&amp;vid=01CRU&amp;lang=en_US&amp;offset=0&amp;query=any,contains,991003209279702656","Catalog Record")</f>
        <v>Catalog Record</v>
      </c>
      <c r="AT787" s="6" t="str">
        <f>HYPERLINK("http://www.worldcat.org/oclc/30109829","WorldCat Record")</f>
        <v>WorldCat Record</v>
      </c>
      <c r="AU787" s="3" t="s">
        <v>9945</v>
      </c>
      <c r="AV787" s="3" t="s">
        <v>9946</v>
      </c>
      <c r="AW787" s="3" t="s">
        <v>9947</v>
      </c>
      <c r="AX787" s="3" t="s">
        <v>9947</v>
      </c>
      <c r="AY787" s="3" t="s">
        <v>9948</v>
      </c>
      <c r="AZ787" s="3" t="s">
        <v>75</v>
      </c>
      <c r="BB787" s="3" t="s">
        <v>9949</v>
      </c>
      <c r="BC787" s="3" t="s">
        <v>9950</v>
      </c>
      <c r="BD787" s="3" t="s">
        <v>9951</v>
      </c>
    </row>
    <row r="788" spans="1:56" ht="48" customHeight="1" x14ac:dyDescent="0.25">
      <c r="A788" s="7" t="s">
        <v>59</v>
      </c>
      <c r="B788" s="2" t="s">
        <v>9952</v>
      </c>
      <c r="C788" s="2" t="s">
        <v>9953</v>
      </c>
      <c r="D788" s="2" t="s">
        <v>9954</v>
      </c>
      <c r="F788" s="3" t="s">
        <v>59</v>
      </c>
      <c r="G788" s="3" t="s">
        <v>60</v>
      </c>
      <c r="H788" s="3" t="s">
        <v>59</v>
      </c>
      <c r="I788" s="3" t="s">
        <v>59</v>
      </c>
      <c r="J788" s="3" t="s">
        <v>61</v>
      </c>
      <c r="K788" s="2" t="s">
        <v>9955</v>
      </c>
      <c r="L788" s="2" t="s">
        <v>9956</v>
      </c>
      <c r="M788" s="3" t="s">
        <v>1611</v>
      </c>
      <c r="O788" s="3" t="s">
        <v>64</v>
      </c>
      <c r="P788" s="3" t="s">
        <v>130</v>
      </c>
      <c r="R788" s="3" t="s">
        <v>67</v>
      </c>
      <c r="S788" s="4">
        <v>3</v>
      </c>
      <c r="T788" s="4">
        <v>3</v>
      </c>
      <c r="U788" s="5" t="s">
        <v>9957</v>
      </c>
      <c r="V788" s="5" t="s">
        <v>9957</v>
      </c>
      <c r="W788" s="5" t="s">
        <v>3567</v>
      </c>
      <c r="X788" s="5" t="s">
        <v>3567</v>
      </c>
      <c r="Y788" s="4">
        <v>216</v>
      </c>
      <c r="Z788" s="4">
        <v>168</v>
      </c>
      <c r="AA788" s="4">
        <v>187</v>
      </c>
      <c r="AB788" s="4">
        <v>2</v>
      </c>
      <c r="AC788" s="4">
        <v>2</v>
      </c>
      <c r="AD788" s="4">
        <v>7</v>
      </c>
      <c r="AE788" s="4">
        <v>8</v>
      </c>
      <c r="AF788" s="4">
        <v>0</v>
      </c>
      <c r="AG788" s="4">
        <v>1</v>
      </c>
      <c r="AH788" s="4">
        <v>3</v>
      </c>
      <c r="AI788" s="4">
        <v>3</v>
      </c>
      <c r="AJ788" s="4">
        <v>4</v>
      </c>
      <c r="AK788" s="4">
        <v>5</v>
      </c>
      <c r="AL788" s="4">
        <v>1</v>
      </c>
      <c r="AM788" s="4">
        <v>1</v>
      </c>
      <c r="AN788" s="4">
        <v>0</v>
      </c>
      <c r="AO788" s="4">
        <v>0</v>
      </c>
      <c r="AP788" s="3" t="s">
        <v>59</v>
      </c>
      <c r="AQ788" s="3" t="s">
        <v>59</v>
      </c>
      <c r="AS788" s="6" t="str">
        <f>HYPERLINK("https://creighton-primo.hosted.exlibrisgroup.com/primo-explore/search?tab=default_tab&amp;search_scope=EVERYTHING&amp;vid=01CRU&amp;lang=en_US&amp;offset=0&amp;query=any,contains,991002478689702656","Catalog Record")</f>
        <v>Catalog Record</v>
      </c>
      <c r="AT788" s="6" t="str">
        <f>HYPERLINK("http://www.worldcat.org/oclc/32273525","WorldCat Record")</f>
        <v>WorldCat Record</v>
      </c>
      <c r="AU788" s="3" t="s">
        <v>9958</v>
      </c>
      <c r="AV788" s="3" t="s">
        <v>9959</v>
      </c>
      <c r="AW788" s="3" t="s">
        <v>9960</v>
      </c>
      <c r="AX788" s="3" t="s">
        <v>9960</v>
      </c>
      <c r="AY788" s="3" t="s">
        <v>9961</v>
      </c>
      <c r="AZ788" s="3" t="s">
        <v>75</v>
      </c>
      <c r="BB788" s="3" t="s">
        <v>9962</v>
      </c>
      <c r="BC788" s="3" t="s">
        <v>9963</v>
      </c>
      <c r="BD788" s="3" t="s">
        <v>9964</v>
      </c>
    </row>
    <row r="789" spans="1:56" ht="48" customHeight="1" x14ac:dyDescent="0.25">
      <c r="A789" s="7" t="s">
        <v>59</v>
      </c>
      <c r="B789" s="2" t="s">
        <v>9965</v>
      </c>
      <c r="C789" s="2" t="s">
        <v>9966</v>
      </c>
      <c r="D789" s="2" t="s">
        <v>9967</v>
      </c>
      <c r="F789" s="3" t="s">
        <v>59</v>
      </c>
      <c r="G789" s="3" t="s">
        <v>60</v>
      </c>
      <c r="H789" s="3" t="s">
        <v>59</v>
      </c>
      <c r="I789" s="3" t="s">
        <v>59</v>
      </c>
      <c r="J789" s="3" t="s">
        <v>61</v>
      </c>
      <c r="K789" s="2" t="s">
        <v>9968</v>
      </c>
      <c r="L789" s="2" t="s">
        <v>9969</v>
      </c>
      <c r="M789" s="3" t="s">
        <v>319</v>
      </c>
      <c r="O789" s="3" t="s">
        <v>64</v>
      </c>
      <c r="P789" s="3" t="s">
        <v>8152</v>
      </c>
      <c r="Q789" s="2" t="s">
        <v>9970</v>
      </c>
      <c r="R789" s="3" t="s">
        <v>67</v>
      </c>
      <c r="S789" s="4">
        <v>2</v>
      </c>
      <c r="T789" s="4">
        <v>2</v>
      </c>
      <c r="U789" s="5" t="s">
        <v>9475</v>
      </c>
      <c r="V789" s="5" t="s">
        <v>9475</v>
      </c>
      <c r="W789" s="5" t="s">
        <v>1422</v>
      </c>
      <c r="X789" s="5" t="s">
        <v>1422</v>
      </c>
      <c r="Y789" s="4">
        <v>299</v>
      </c>
      <c r="Z789" s="4">
        <v>187</v>
      </c>
      <c r="AA789" s="4">
        <v>206</v>
      </c>
      <c r="AB789" s="4">
        <v>2</v>
      </c>
      <c r="AC789" s="4">
        <v>2</v>
      </c>
      <c r="AD789" s="4">
        <v>9</v>
      </c>
      <c r="AE789" s="4">
        <v>9</v>
      </c>
      <c r="AF789" s="4">
        <v>1</v>
      </c>
      <c r="AG789" s="4">
        <v>1</v>
      </c>
      <c r="AH789" s="4">
        <v>3</v>
      </c>
      <c r="AI789" s="4">
        <v>3</v>
      </c>
      <c r="AJ789" s="4">
        <v>7</v>
      </c>
      <c r="AK789" s="4">
        <v>7</v>
      </c>
      <c r="AL789" s="4">
        <v>1</v>
      </c>
      <c r="AM789" s="4">
        <v>1</v>
      </c>
      <c r="AN789" s="4">
        <v>0</v>
      </c>
      <c r="AO789" s="4">
        <v>0</v>
      </c>
      <c r="AP789" s="3" t="s">
        <v>59</v>
      </c>
      <c r="AQ789" s="3" t="s">
        <v>70</v>
      </c>
      <c r="AR789" s="6" t="str">
        <f>HYPERLINK("http://catalog.hathitrust.org/Record/000244604","HathiTrust Record")</f>
        <v>HathiTrust Record</v>
      </c>
      <c r="AS789" s="6" t="str">
        <f>HYPERLINK("https://creighton-primo.hosted.exlibrisgroup.com/primo-explore/search?tab=default_tab&amp;search_scope=EVERYTHING&amp;vid=01CRU&amp;lang=en_US&amp;offset=0&amp;query=any,contains,991000319859702656","Catalog Record")</f>
        <v>Catalog Record</v>
      </c>
      <c r="AT789" s="6" t="str">
        <f>HYPERLINK("http://www.worldcat.org/oclc/10146024","WorldCat Record")</f>
        <v>WorldCat Record</v>
      </c>
      <c r="AU789" s="3" t="s">
        <v>9971</v>
      </c>
      <c r="AV789" s="3" t="s">
        <v>9972</v>
      </c>
      <c r="AW789" s="3" t="s">
        <v>9973</v>
      </c>
      <c r="AX789" s="3" t="s">
        <v>9973</v>
      </c>
      <c r="AY789" s="3" t="s">
        <v>9974</v>
      </c>
      <c r="AZ789" s="3" t="s">
        <v>75</v>
      </c>
      <c r="BB789" s="3" t="s">
        <v>9975</v>
      </c>
      <c r="BC789" s="3" t="s">
        <v>9976</v>
      </c>
      <c r="BD789" s="3" t="s">
        <v>9977</v>
      </c>
    </row>
    <row r="790" spans="1:56" ht="48" customHeight="1" x14ac:dyDescent="0.25">
      <c r="A790" s="7" t="s">
        <v>59</v>
      </c>
      <c r="B790" s="2" t="s">
        <v>9978</v>
      </c>
      <c r="C790" s="2" t="s">
        <v>9979</v>
      </c>
      <c r="D790" s="2" t="s">
        <v>9980</v>
      </c>
      <c r="F790" s="3" t="s">
        <v>59</v>
      </c>
      <c r="G790" s="3" t="s">
        <v>60</v>
      </c>
      <c r="H790" s="3" t="s">
        <v>59</v>
      </c>
      <c r="I790" s="3" t="s">
        <v>59</v>
      </c>
      <c r="J790" s="3" t="s">
        <v>61</v>
      </c>
      <c r="K790" s="2" t="s">
        <v>9981</v>
      </c>
      <c r="L790" s="2" t="s">
        <v>9982</v>
      </c>
      <c r="M790" s="3" t="s">
        <v>129</v>
      </c>
      <c r="O790" s="3" t="s">
        <v>64</v>
      </c>
      <c r="P790" s="3" t="s">
        <v>191</v>
      </c>
      <c r="R790" s="3" t="s">
        <v>67</v>
      </c>
      <c r="S790" s="4">
        <v>6</v>
      </c>
      <c r="T790" s="4">
        <v>6</v>
      </c>
      <c r="U790" s="5" t="s">
        <v>9983</v>
      </c>
      <c r="V790" s="5" t="s">
        <v>9983</v>
      </c>
      <c r="W790" s="5" t="s">
        <v>9984</v>
      </c>
      <c r="X790" s="5" t="s">
        <v>9984</v>
      </c>
      <c r="Y790" s="4">
        <v>103</v>
      </c>
      <c r="Z790" s="4">
        <v>80</v>
      </c>
      <c r="AA790" s="4">
        <v>80</v>
      </c>
      <c r="AB790" s="4">
        <v>1</v>
      </c>
      <c r="AC790" s="4">
        <v>1</v>
      </c>
      <c r="AD790" s="4">
        <v>3</v>
      </c>
      <c r="AE790" s="4">
        <v>3</v>
      </c>
      <c r="AF790" s="4">
        <v>0</v>
      </c>
      <c r="AG790" s="4">
        <v>0</v>
      </c>
      <c r="AH790" s="4">
        <v>2</v>
      </c>
      <c r="AI790" s="4">
        <v>2</v>
      </c>
      <c r="AJ790" s="4">
        <v>2</v>
      </c>
      <c r="AK790" s="4">
        <v>2</v>
      </c>
      <c r="AL790" s="4">
        <v>0</v>
      </c>
      <c r="AM790" s="4">
        <v>0</v>
      </c>
      <c r="AN790" s="4">
        <v>0</v>
      </c>
      <c r="AO790" s="4">
        <v>0</v>
      </c>
      <c r="AP790" s="3" t="s">
        <v>59</v>
      </c>
      <c r="AQ790" s="3" t="s">
        <v>59</v>
      </c>
      <c r="AS790" s="6" t="str">
        <f>HYPERLINK("https://creighton-primo.hosted.exlibrisgroup.com/primo-explore/search?tab=default_tab&amp;search_scope=EVERYTHING&amp;vid=01CRU&amp;lang=en_US&amp;offset=0&amp;query=any,contains,991002005149702656","Catalog Record")</f>
        <v>Catalog Record</v>
      </c>
      <c r="AT790" s="6" t="str">
        <f>HYPERLINK("http://www.worldcat.org/oclc/25508164","WorldCat Record")</f>
        <v>WorldCat Record</v>
      </c>
      <c r="AU790" s="3" t="s">
        <v>9985</v>
      </c>
      <c r="AV790" s="3" t="s">
        <v>9986</v>
      </c>
      <c r="AW790" s="3" t="s">
        <v>9987</v>
      </c>
      <c r="AX790" s="3" t="s">
        <v>9987</v>
      </c>
      <c r="AY790" s="3" t="s">
        <v>9988</v>
      </c>
      <c r="AZ790" s="3" t="s">
        <v>75</v>
      </c>
      <c r="BB790" s="3" t="s">
        <v>9989</v>
      </c>
      <c r="BC790" s="3" t="s">
        <v>9990</v>
      </c>
      <c r="BD790" s="3" t="s">
        <v>9991</v>
      </c>
    </row>
    <row r="791" spans="1:56" ht="48" customHeight="1" x14ac:dyDescent="0.25">
      <c r="A791" s="7" t="s">
        <v>59</v>
      </c>
      <c r="B791" s="2" t="s">
        <v>9992</v>
      </c>
      <c r="C791" s="2" t="s">
        <v>9993</v>
      </c>
      <c r="D791" s="2" t="s">
        <v>9994</v>
      </c>
      <c r="F791" s="3" t="s">
        <v>59</v>
      </c>
      <c r="G791" s="3" t="s">
        <v>60</v>
      </c>
      <c r="H791" s="3" t="s">
        <v>59</v>
      </c>
      <c r="I791" s="3" t="s">
        <v>59</v>
      </c>
      <c r="J791" s="3" t="s">
        <v>61</v>
      </c>
      <c r="L791" s="2" t="s">
        <v>9995</v>
      </c>
      <c r="M791" s="3" t="s">
        <v>234</v>
      </c>
      <c r="O791" s="3" t="s">
        <v>64</v>
      </c>
      <c r="P791" s="3" t="s">
        <v>176</v>
      </c>
      <c r="Q791" s="2" t="s">
        <v>9996</v>
      </c>
      <c r="R791" s="3" t="s">
        <v>67</v>
      </c>
      <c r="S791" s="4">
        <v>1</v>
      </c>
      <c r="T791" s="4">
        <v>1</v>
      </c>
      <c r="U791" s="5" t="s">
        <v>9511</v>
      </c>
      <c r="V791" s="5" t="s">
        <v>9511</v>
      </c>
      <c r="W791" s="5" t="s">
        <v>9997</v>
      </c>
      <c r="X791" s="5" t="s">
        <v>9997</v>
      </c>
      <c r="Y791" s="4">
        <v>283</v>
      </c>
      <c r="Z791" s="4">
        <v>203</v>
      </c>
      <c r="AA791" s="4">
        <v>229</v>
      </c>
      <c r="AB791" s="4">
        <v>1</v>
      </c>
      <c r="AC791" s="4">
        <v>1</v>
      </c>
      <c r="AD791" s="4">
        <v>6</v>
      </c>
      <c r="AE791" s="4">
        <v>8</v>
      </c>
      <c r="AF791" s="4">
        <v>1</v>
      </c>
      <c r="AG791" s="4">
        <v>2</v>
      </c>
      <c r="AH791" s="4">
        <v>2</v>
      </c>
      <c r="AI791" s="4">
        <v>3</v>
      </c>
      <c r="AJ791" s="4">
        <v>6</v>
      </c>
      <c r="AK791" s="4">
        <v>6</v>
      </c>
      <c r="AL791" s="4">
        <v>0</v>
      </c>
      <c r="AM791" s="4">
        <v>0</v>
      </c>
      <c r="AN791" s="4">
        <v>0</v>
      </c>
      <c r="AO791" s="4">
        <v>0</v>
      </c>
      <c r="AP791" s="3" t="s">
        <v>59</v>
      </c>
      <c r="AQ791" s="3" t="s">
        <v>70</v>
      </c>
      <c r="AR791" s="6" t="str">
        <f>HYPERLINK("http://catalog.hathitrust.org/Record/006258763","HathiTrust Record")</f>
        <v>HathiTrust Record</v>
      </c>
      <c r="AS791" s="6" t="str">
        <f>HYPERLINK("https://creighton-primo.hosted.exlibrisgroup.com/primo-explore/search?tab=default_tab&amp;search_scope=EVERYTHING&amp;vid=01CRU&amp;lang=en_US&amp;offset=0&amp;query=any,contains,991001603579702656","Catalog Record")</f>
        <v>Catalog Record</v>
      </c>
      <c r="AT791" s="6" t="str">
        <f>HYPERLINK("http://www.worldcat.org/oclc/20681637","WorldCat Record")</f>
        <v>WorldCat Record</v>
      </c>
      <c r="AU791" s="3" t="s">
        <v>9998</v>
      </c>
      <c r="AV791" s="3" t="s">
        <v>9999</v>
      </c>
      <c r="AW791" s="3" t="s">
        <v>10000</v>
      </c>
      <c r="AX791" s="3" t="s">
        <v>10000</v>
      </c>
      <c r="AY791" s="3" t="s">
        <v>10001</v>
      </c>
      <c r="AZ791" s="3" t="s">
        <v>75</v>
      </c>
      <c r="BB791" s="3" t="s">
        <v>10002</v>
      </c>
      <c r="BC791" s="3" t="s">
        <v>10003</v>
      </c>
      <c r="BD791" s="3" t="s">
        <v>10004</v>
      </c>
    </row>
    <row r="792" spans="1:56" ht="48" customHeight="1" x14ac:dyDescent="0.25">
      <c r="A792" s="7" t="s">
        <v>59</v>
      </c>
      <c r="B792" s="2" t="s">
        <v>10005</v>
      </c>
      <c r="C792" s="2" t="s">
        <v>10006</v>
      </c>
      <c r="D792" s="2" t="s">
        <v>10007</v>
      </c>
      <c r="E792" s="3" t="s">
        <v>713</v>
      </c>
      <c r="F792" s="3" t="s">
        <v>70</v>
      </c>
      <c r="G792" s="3" t="s">
        <v>60</v>
      </c>
      <c r="H792" s="3" t="s">
        <v>59</v>
      </c>
      <c r="I792" s="3" t="s">
        <v>59</v>
      </c>
      <c r="J792" s="3" t="s">
        <v>61</v>
      </c>
      <c r="L792" s="2" t="s">
        <v>9641</v>
      </c>
      <c r="M792" s="3" t="s">
        <v>604</v>
      </c>
      <c r="N792" s="2" t="s">
        <v>731</v>
      </c>
      <c r="O792" s="3" t="s">
        <v>64</v>
      </c>
      <c r="P792" s="3" t="s">
        <v>84</v>
      </c>
      <c r="Q792" s="2" t="s">
        <v>10008</v>
      </c>
      <c r="R792" s="3" t="s">
        <v>67</v>
      </c>
      <c r="S792" s="4">
        <v>1</v>
      </c>
      <c r="T792" s="4">
        <v>2</v>
      </c>
      <c r="U792" s="5" t="s">
        <v>10009</v>
      </c>
      <c r="V792" s="5" t="s">
        <v>10009</v>
      </c>
      <c r="W792" s="5" t="s">
        <v>10010</v>
      </c>
      <c r="X792" s="5" t="s">
        <v>10010</v>
      </c>
      <c r="Y792" s="4">
        <v>185</v>
      </c>
      <c r="Z792" s="4">
        <v>119</v>
      </c>
      <c r="AA792" s="4">
        <v>128</v>
      </c>
      <c r="AB792" s="4">
        <v>1</v>
      </c>
      <c r="AC792" s="4">
        <v>1</v>
      </c>
      <c r="AD792" s="4">
        <v>1</v>
      </c>
      <c r="AE792" s="4">
        <v>1</v>
      </c>
      <c r="AF792" s="4">
        <v>0</v>
      </c>
      <c r="AG792" s="4">
        <v>0</v>
      </c>
      <c r="AH792" s="4">
        <v>1</v>
      </c>
      <c r="AI792" s="4">
        <v>1</v>
      </c>
      <c r="AJ792" s="4">
        <v>1</v>
      </c>
      <c r="AK792" s="4">
        <v>1</v>
      </c>
      <c r="AL792" s="4">
        <v>0</v>
      </c>
      <c r="AM792" s="4">
        <v>0</v>
      </c>
      <c r="AN792" s="4">
        <v>0</v>
      </c>
      <c r="AO792" s="4">
        <v>0</v>
      </c>
      <c r="AP792" s="3" t="s">
        <v>59</v>
      </c>
      <c r="AQ792" s="3" t="s">
        <v>70</v>
      </c>
      <c r="AR792" s="6" t="str">
        <f>HYPERLINK("http://catalog.hathitrust.org/Record/003041561","HathiTrust Record")</f>
        <v>HathiTrust Record</v>
      </c>
      <c r="AS792" s="6" t="str">
        <f>HYPERLINK("https://creighton-primo.hosted.exlibrisgroup.com/primo-explore/search?tab=default_tab&amp;search_scope=EVERYTHING&amp;vid=01CRU&amp;lang=en_US&amp;offset=0&amp;query=any,contains,991002494569702656","Catalog Record")</f>
        <v>Catalog Record</v>
      </c>
      <c r="AT792" s="6" t="str">
        <f>HYPERLINK("http://www.worldcat.org/oclc/32465284","WorldCat Record")</f>
        <v>WorldCat Record</v>
      </c>
      <c r="AU792" s="3" t="s">
        <v>10011</v>
      </c>
      <c r="AV792" s="3" t="s">
        <v>10012</v>
      </c>
      <c r="AW792" s="3" t="s">
        <v>10013</v>
      </c>
      <c r="AX792" s="3" t="s">
        <v>10013</v>
      </c>
      <c r="AY792" s="3" t="s">
        <v>10014</v>
      </c>
      <c r="AZ792" s="3" t="s">
        <v>75</v>
      </c>
      <c r="BB792" s="3" t="s">
        <v>10015</v>
      </c>
      <c r="BC792" s="3" t="s">
        <v>10016</v>
      </c>
      <c r="BD792" s="3" t="s">
        <v>10017</v>
      </c>
    </row>
    <row r="793" spans="1:56" ht="48" customHeight="1" x14ac:dyDescent="0.25">
      <c r="A793" s="7" t="s">
        <v>59</v>
      </c>
      <c r="B793" s="2" t="s">
        <v>10005</v>
      </c>
      <c r="C793" s="2" t="s">
        <v>10006</v>
      </c>
      <c r="D793" s="2" t="s">
        <v>10007</v>
      </c>
      <c r="E793" s="3" t="s">
        <v>723</v>
      </c>
      <c r="F793" s="3" t="s">
        <v>70</v>
      </c>
      <c r="G793" s="3" t="s">
        <v>60</v>
      </c>
      <c r="H793" s="3" t="s">
        <v>59</v>
      </c>
      <c r="I793" s="3" t="s">
        <v>59</v>
      </c>
      <c r="J793" s="3" t="s">
        <v>61</v>
      </c>
      <c r="L793" s="2" t="s">
        <v>9641</v>
      </c>
      <c r="M793" s="3" t="s">
        <v>604</v>
      </c>
      <c r="N793" s="2" t="s">
        <v>731</v>
      </c>
      <c r="O793" s="3" t="s">
        <v>64</v>
      </c>
      <c r="P793" s="3" t="s">
        <v>84</v>
      </c>
      <c r="Q793" s="2" t="s">
        <v>10008</v>
      </c>
      <c r="R793" s="3" t="s">
        <v>67</v>
      </c>
      <c r="S793" s="4">
        <v>1</v>
      </c>
      <c r="T793" s="4">
        <v>2</v>
      </c>
      <c r="V793" s="5" t="s">
        <v>10009</v>
      </c>
      <c r="W793" s="5" t="s">
        <v>10010</v>
      </c>
      <c r="X793" s="5" t="s">
        <v>10010</v>
      </c>
      <c r="Y793" s="4">
        <v>185</v>
      </c>
      <c r="Z793" s="4">
        <v>119</v>
      </c>
      <c r="AA793" s="4">
        <v>128</v>
      </c>
      <c r="AB793" s="4">
        <v>1</v>
      </c>
      <c r="AC793" s="4">
        <v>1</v>
      </c>
      <c r="AD793" s="4">
        <v>1</v>
      </c>
      <c r="AE793" s="4">
        <v>1</v>
      </c>
      <c r="AF793" s="4">
        <v>0</v>
      </c>
      <c r="AG793" s="4">
        <v>0</v>
      </c>
      <c r="AH793" s="4">
        <v>1</v>
      </c>
      <c r="AI793" s="4">
        <v>1</v>
      </c>
      <c r="AJ793" s="4">
        <v>1</v>
      </c>
      <c r="AK793" s="4">
        <v>1</v>
      </c>
      <c r="AL793" s="4">
        <v>0</v>
      </c>
      <c r="AM793" s="4">
        <v>0</v>
      </c>
      <c r="AN793" s="4">
        <v>0</v>
      </c>
      <c r="AO793" s="4">
        <v>0</v>
      </c>
      <c r="AP793" s="3" t="s">
        <v>59</v>
      </c>
      <c r="AQ793" s="3" t="s">
        <v>70</v>
      </c>
      <c r="AR793" s="6" t="str">
        <f>HYPERLINK("http://catalog.hathitrust.org/Record/003041561","HathiTrust Record")</f>
        <v>HathiTrust Record</v>
      </c>
      <c r="AS793" s="6" t="str">
        <f>HYPERLINK("https://creighton-primo.hosted.exlibrisgroup.com/primo-explore/search?tab=default_tab&amp;search_scope=EVERYTHING&amp;vid=01CRU&amp;lang=en_US&amp;offset=0&amp;query=any,contains,991002494569702656","Catalog Record")</f>
        <v>Catalog Record</v>
      </c>
      <c r="AT793" s="6" t="str">
        <f>HYPERLINK("http://www.worldcat.org/oclc/32465284","WorldCat Record")</f>
        <v>WorldCat Record</v>
      </c>
      <c r="AU793" s="3" t="s">
        <v>10011</v>
      </c>
      <c r="AV793" s="3" t="s">
        <v>10012</v>
      </c>
      <c r="AW793" s="3" t="s">
        <v>10013</v>
      </c>
      <c r="AX793" s="3" t="s">
        <v>10013</v>
      </c>
      <c r="AY793" s="3" t="s">
        <v>10014</v>
      </c>
      <c r="AZ793" s="3" t="s">
        <v>75</v>
      </c>
      <c r="BB793" s="3" t="s">
        <v>10015</v>
      </c>
      <c r="BC793" s="3" t="s">
        <v>10018</v>
      </c>
      <c r="BD793" s="3" t="s">
        <v>10019</v>
      </c>
    </row>
    <row r="794" spans="1:56" ht="48" customHeight="1" x14ac:dyDescent="0.25">
      <c r="A794" s="7" t="s">
        <v>59</v>
      </c>
      <c r="B794" s="2" t="s">
        <v>10020</v>
      </c>
      <c r="C794" s="2" t="s">
        <v>10021</v>
      </c>
      <c r="D794" s="2" t="s">
        <v>10022</v>
      </c>
      <c r="F794" s="3" t="s">
        <v>59</v>
      </c>
      <c r="G794" s="3" t="s">
        <v>60</v>
      </c>
      <c r="H794" s="3" t="s">
        <v>59</v>
      </c>
      <c r="I794" s="3" t="s">
        <v>59</v>
      </c>
      <c r="J794" s="3" t="s">
        <v>61</v>
      </c>
      <c r="L794" s="2" t="s">
        <v>10023</v>
      </c>
      <c r="M794" s="3" t="s">
        <v>129</v>
      </c>
      <c r="O794" s="3" t="s">
        <v>64</v>
      </c>
      <c r="P794" s="3" t="s">
        <v>176</v>
      </c>
      <c r="R794" s="3" t="s">
        <v>67</v>
      </c>
      <c r="S794" s="4">
        <v>5</v>
      </c>
      <c r="T794" s="4">
        <v>5</v>
      </c>
      <c r="U794" s="5" t="s">
        <v>9511</v>
      </c>
      <c r="V794" s="5" t="s">
        <v>9511</v>
      </c>
      <c r="W794" s="5" t="s">
        <v>10024</v>
      </c>
      <c r="X794" s="5" t="s">
        <v>10024</v>
      </c>
      <c r="Y794" s="4">
        <v>431</v>
      </c>
      <c r="Z794" s="4">
        <v>291</v>
      </c>
      <c r="AA794" s="4">
        <v>338</v>
      </c>
      <c r="AB794" s="4">
        <v>3</v>
      </c>
      <c r="AC794" s="4">
        <v>4</v>
      </c>
      <c r="AD794" s="4">
        <v>12</v>
      </c>
      <c r="AE794" s="4">
        <v>16</v>
      </c>
      <c r="AF794" s="4">
        <v>2</v>
      </c>
      <c r="AG794" s="4">
        <v>4</v>
      </c>
      <c r="AH794" s="4">
        <v>3</v>
      </c>
      <c r="AI794" s="4">
        <v>5</v>
      </c>
      <c r="AJ794" s="4">
        <v>8</v>
      </c>
      <c r="AK794" s="4">
        <v>8</v>
      </c>
      <c r="AL794" s="4">
        <v>2</v>
      </c>
      <c r="AM794" s="4">
        <v>3</v>
      </c>
      <c r="AN794" s="4">
        <v>0</v>
      </c>
      <c r="AO794" s="4">
        <v>0</v>
      </c>
      <c r="AP794" s="3" t="s">
        <v>59</v>
      </c>
      <c r="AQ794" s="3" t="s">
        <v>70</v>
      </c>
      <c r="AR794" s="6" t="str">
        <f>HYPERLINK("http://catalog.hathitrust.org/Record/002543653","HathiTrust Record")</f>
        <v>HathiTrust Record</v>
      </c>
      <c r="AS794" s="6" t="str">
        <f>HYPERLINK("https://creighton-primo.hosted.exlibrisgroup.com/primo-explore/search?tab=default_tab&amp;search_scope=EVERYTHING&amp;vid=01CRU&amp;lang=en_US&amp;offset=0&amp;query=any,contains,991001962339702656","Catalog Record")</f>
        <v>Catalog Record</v>
      </c>
      <c r="AT794" s="6" t="str">
        <f>HYPERLINK("http://www.worldcat.org/oclc/24870685","WorldCat Record")</f>
        <v>WorldCat Record</v>
      </c>
      <c r="AU794" s="3" t="s">
        <v>10025</v>
      </c>
      <c r="AV794" s="3" t="s">
        <v>10026</v>
      </c>
      <c r="AW794" s="3" t="s">
        <v>10027</v>
      </c>
      <c r="AX794" s="3" t="s">
        <v>10027</v>
      </c>
      <c r="AY794" s="3" t="s">
        <v>10028</v>
      </c>
      <c r="AZ794" s="3" t="s">
        <v>75</v>
      </c>
      <c r="BB794" s="3" t="s">
        <v>10029</v>
      </c>
      <c r="BC794" s="3" t="s">
        <v>10030</v>
      </c>
      <c r="BD794" s="3" t="s">
        <v>10031</v>
      </c>
    </row>
    <row r="795" spans="1:56" ht="48" customHeight="1" x14ac:dyDescent="0.25">
      <c r="A795" s="7" t="s">
        <v>59</v>
      </c>
      <c r="B795" s="2" t="s">
        <v>10032</v>
      </c>
      <c r="C795" s="2" t="s">
        <v>10033</v>
      </c>
      <c r="D795" s="2" t="s">
        <v>10034</v>
      </c>
      <c r="F795" s="3" t="s">
        <v>59</v>
      </c>
      <c r="G795" s="3" t="s">
        <v>60</v>
      </c>
      <c r="H795" s="3" t="s">
        <v>70</v>
      </c>
      <c r="I795" s="3" t="s">
        <v>59</v>
      </c>
      <c r="J795" s="3" t="s">
        <v>61</v>
      </c>
      <c r="L795" s="2" t="s">
        <v>9641</v>
      </c>
      <c r="M795" s="3" t="s">
        <v>604</v>
      </c>
      <c r="O795" s="3" t="s">
        <v>64</v>
      </c>
      <c r="P795" s="3" t="s">
        <v>84</v>
      </c>
      <c r="Q795" s="2" t="s">
        <v>10035</v>
      </c>
      <c r="R795" s="3" t="s">
        <v>67</v>
      </c>
      <c r="S795" s="4">
        <v>4</v>
      </c>
      <c r="T795" s="4">
        <v>10</v>
      </c>
      <c r="U795" s="5" t="s">
        <v>10036</v>
      </c>
      <c r="V795" s="5" t="s">
        <v>10036</v>
      </c>
      <c r="W795" s="5" t="s">
        <v>10010</v>
      </c>
      <c r="X795" s="5" t="s">
        <v>10037</v>
      </c>
      <c r="Y795" s="4">
        <v>287</v>
      </c>
      <c r="Z795" s="4">
        <v>179</v>
      </c>
      <c r="AA795" s="4">
        <v>181</v>
      </c>
      <c r="AB795" s="4">
        <v>2</v>
      </c>
      <c r="AC795" s="4">
        <v>2</v>
      </c>
      <c r="AD795" s="4">
        <v>8</v>
      </c>
      <c r="AE795" s="4">
        <v>8</v>
      </c>
      <c r="AF795" s="4">
        <v>2</v>
      </c>
      <c r="AG795" s="4">
        <v>2</v>
      </c>
      <c r="AH795" s="4">
        <v>3</v>
      </c>
      <c r="AI795" s="4">
        <v>3</v>
      </c>
      <c r="AJ795" s="4">
        <v>5</v>
      </c>
      <c r="AK795" s="4">
        <v>5</v>
      </c>
      <c r="AL795" s="4">
        <v>0</v>
      </c>
      <c r="AM795" s="4">
        <v>0</v>
      </c>
      <c r="AN795" s="4">
        <v>0</v>
      </c>
      <c r="AO795" s="4">
        <v>0</v>
      </c>
      <c r="AP795" s="3" t="s">
        <v>59</v>
      </c>
      <c r="AQ795" s="3" t="s">
        <v>70</v>
      </c>
      <c r="AR795" s="6" t="str">
        <f>HYPERLINK("http://catalog.hathitrust.org/Record/003007549","HathiTrust Record")</f>
        <v>HathiTrust Record</v>
      </c>
      <c r="AS795" s="6" t="str">
        <f>HYPERLINK("https://creighton-primo.hosted.exlibrisgroup.com/primo-explore/search?tab=default_tab&amp;search_scope=EVERYTHING&amp;vid=01CRU&amp;lang=en_US&amp;offset=0&amp;query=any,contains,991001781619702656","Catalog Record")</f>
        <v>Catalog Record</v>
      </c>
      <c r="AT795" s="6" t="str">
        <f>HYPERLINK("http://www.worldcat.org/oclc/31516161","WorldCat Record")</f>
        <v>WorldCat Record</v>
      </c>
      <c r="AU795" s="3" t="s">
        <v>10038</v>
      </c>
      <c r="AV795" s="3" t="s">
        <v>10039</v>
      </c>
      <c r="AW795" s="3" t="s">
        <v>10040</v>
      </c>
      <c r="AX795" s="3" t="s">
        <v>10040</v>
      </c>
      <c r="AY795" s="3" t="s">
        <v>10041</v>
      </c>
      <c r="AZ795" s="3" t="s">
        <v>75</v>
      </c>
      <c r="BB795" s="3" t="s">
        <v>10042</v>
      </c>
      <c r="BC795" s="3" t="s">
        <v>10043</v>
      </c>
      <c r="BD795" s="3" t="s">
        <v>10044</v>
      </c>
    </row>
    <row r="796" spans="1:56" ht="48" customHeight="1" x14ac:dyDescent="0.25">
      <c r="A796" s="7" t="s">
        <v>59</v>
      </c>
      <c r="B796" s="2" t="s">
        <v>10045</v>
      </c>
      <c r="C796" s="2" t="s">
        <v>10046</v>
      </c>
      <c r="D796" s="2" t="s">
        <v>10047</v>
      </c>
      <c r="F796" s="3" t="s">
        <v>59</v>
      </c>
      <c r="G796" s="3" t="s">
        <v>60</v>
      </c>
      <c r="H796" s="3" t="s">
        <v>59</v>
      </c>
      <c r="I796" s="3" t="s">
        <v>59</v>
      </c>
      <c r="J796" s="3" t="s">
        <v>61</v>
      </c>
      <c r="K796" s="2" t="s">
        <v>10048</v>
      </c>
      <c r="L796" s="2" t="s">
        <v>10049</v>
      </c>
      <c r="M796" s="3" t="s">
        <v>348</v>
      </c>
      <c r="O796" s="3" t="s">
        <v>64</v>
      </c>
      <c r="P796" s="3" t="s">
        <v>130</v>
      </c>
      <c r="R796" s="3" t="s">
        <v>67</v>
      </c>
      <c r="S796" s="4">
        <v>5</v>
      </c>
      <c r="T796" s="4">
        <v>5</v>
      </c>
      <c r="U796" s="5" t="s">
        <v>5517</v>
      </c>
      <c r="V796" s="5" t="s">
        <v>5517</v>
      </c>
      <c r="W796" s="5" t="s">
        <v>10050</v>
      </c>
      <c r="X796" s="5" t="s">
        <v>10050</v>
      </c>
      <c r="Y796" s="4">
        <v>192</v>
      </c>
      <c r="Z796" s="4">
        <v>130</v>
      </c>
      <c r="AA796" s="4">
        <v>130</v>
      </c>
      <c r="AB796" s="4">
        <v>1</v>
      </c>
      <c r="AC796" s="4">
        <v>1</v>
      </c>
      <c r="AD796" s="4">
        <v>6</v>
      </c>
      <c r="AE796" s="4">
        <v>6</v>
      </c>
      <c r="AF796" s="4">
        <v>2</v>
      </c>
      <c r="AG796" s="4">
        <v>2</v>
      </c>
      <c r="AH796" s="4">
        <v>3</v>
      </c>
      <c r="AI796" s="4">
        <v>3</v>
      </c>
      <c r="AJ796" s="4">
        <v>5</v>
      </c>
      <c r="AK796" s="4">
        <v>5</v>
      </c>
      <c r="AL796" s="4">
        <v>0</v>
      </c>
      <c r="AM796" s="4">
        <v>0</v>
      </c>
      <c r="AN796" s="4">
        <v>0</v>
      </c>
      <c r="AO796" s="4">
        <v>0</v>
      </c>
      <c r="AP796" s="3" t="s">
        <v>59</v>
      </c>
      <c r="AQ796" s="3" t="s">
        <v>59</v>
      </c>
      <c r="AS796" s="6" t="str">
        <f>HYPERLINK("https://creighton-primo.hosted.exlibrisgroup.com/primo-explore/search?tab=default_tab&amp;search_scope=EVERYTHING&amp;vid=01CRU&amp;lang=en_US&amp;offset=0&amp;query=any,contains,991002122719702656","Catalog Record")</f>
        <v>Catalog Record</v>
      </c>
      <c r="AT796" s="6" t="str">
        <f>HYPERLINK("http://www.worldcat.org/oclc/27186968","WorldCat Record")</f>
        <v>WorldCat Record</v>
      </c>
      <c r="AU796" s="3" t="s">
        <v>10051</v>
      </c>
      <c r="AV796" s="3" t="s">
        <v>10052</v>
      </c>
      <c r="AW796" s="3" t="s">
        <v>10053</v>
      </c>
      <c r="AX796" s="3" t="s">
        <v>10053</v>
      </c>
      <c r="AY796" s="3" t="s">
        <v>10054</v>
      </c>
      <c r="AZ796" s="3" t="s">
        <v>75</v>
      </c>
      <c r="BB796" s="3" t="s">
        <v>10055</v>
      </c>
      <c r="BC796" s="3" t="s">
        <v>10056</v>
      </c>
      <c r="BD796" s="3" t="s">
        <v>10057</v>
      </c>
    </row>
    <row r="797" spans="1:56" ht="48" customHeight="1" x14ac:dyDescent="0.25">
      <c r="A797" s="7" t="s">
        <v>59</v>
      </c>
      <c r="B797" s="2" t="s">
        <v>10058</v>
      </c>
      <c r="C797" s="2" t="s">
        <v>10059</v>
      </c>
      <c r="D797" s="2" t="s">
        <v>10060</v>
      </c>
      <c r="E797" s="3" t="s">
        <v>723</v>
      </c>
      <c r="F797" s="3" t="s">
        <v>59</v>
      </c>
      <c r="G797" s="3" t="s">
        <v>60</v>
      </c>
      <c r="H797" s="3" t="s">
        <v>59</v>
      </c>
      <c r="I797" s="3" t="s">
        <v>59</v>
      </c>
      <c r="J797" s="3" t="s">
        <v>61</v>
      </c>
      <c r="L797" s="2" t="s">
        <v>10061</v>
      </c>
      <c r="M797" s="3" t="s">
        <v>417</v>
      </c>
      <c r="O797" s="3" t="s">
        <v>64</v>
      </c>
      <c r="P797" s="3" t="s">
        <v>191</v>
      </c>
      <c r="Q797" s="2" t="s">
        <v>10062</v>
      </c>
      <c r="R797" s="3" t="s">
        <v>67</v>
      </c>
      <c r="S797" s="4">
        <v>1</v>
      </c>
      <c r="T797" s="4">
        <v>1</v>
      </c>
      <c r="U797" s="5" t="s">
        <v>10063</v>
      </c>
      <c r="V797" s="5" t="s">
        <v>10063</v>
      </c>
      <c r="W797" s="5" t="s">
        <v>6862</v>
      </c>
      <c r="X797" s="5" t="s">
        <v>6862</v>
      </c>
      <c r="Y797" s="4">
        <v>209</v>
      </c>
      <c r="Z797" s="4">
        <v>155</v>
      </c>
      <c r="AA797" s="4">
        <v>156</v>
      </c>
      <c r="AB797" s="4">
        <v>2</v>
      </c>
      <c r="AC797" s="4">
        <v>2</v>
      </c>
      <c r="AD797" s="4">
        <v>6</v>
      </c>
      <c r="AE797" s="4">
        <v>6</v>
      </c>
      <c r="AF797" s="4">
        <v>1</v>
      </c>
      <c r="AG797" s="4">
        <v>1</v>
      </c>
      <c r="AH797" s="4">
        <v>1</v>
      </c>
      <c r="AI797" s="4">
        <v>1</v>
      </c>
      <c r="AJ797" s="4">
        <v>5</v>
      </c>
      <c r="AK797" s="4">
        <v>5</v>
      </c>
      <c r="AL797" s="4">
        <v>1</v>
      </c>
      <c r="AM797" s="4">
        <v>1</v>
      </c>
      <c r="AN797" s="4">
        <v>0</v>
      </c>
      <c r="AO797" s="4">
        <v>0</v>
      </c>
      <c r="AP797" s="3" t="s">
        <v>59</v>
      </c>
      <c r="AQ797" s="3" t="s">
        <v>70</v>
      </c>
      <c r="AR797" s="6" t="str">
        <f>HYPERLINK("http://catalog.hathitrust.org/Record/000567063","HathiTrust Record")</f>
        <v>HathiTrust Record</v>
      </c>
      <c r="AS797" s="6" t="str">
        <f>HYPERLINK("https://creighton-primo.hosted.exlibrisgroup.com/primo-explore/search?tab=default_tab&amp;search_scope=EVERYTHING&amp;vid=01CRU&amp;lang=en_US&amp;offset=0&amp;query=any,contains,991000071619702656","Catalog Record")</f>
        <v>Catalog Record</v>
      </c>
      <c r="AT797" s="6" t="str">
        <f>HYPERLINK("http://www.worldcat.org/oclc/8785271","WorldCat Record")</f>
        <v>WorldCat Record</v>
      </c>
      <c r="AU797" s="3" t="s">
        <v>10064</v>
      </c>
      <c r="AV797" s="3" t="s">
        <v>10065</v>
      </c>
      <c r="AW797" s="3" t="s">
        <v>10066</v>
      </c>
      <c r="AX797" s="3" t="s">
        <v>10066</v>
      </c>
      <c r="AY797" s="3" t="s">
        <v>10067</v>
      </c>
      <c r="AZ797" s="3" t="s">
        <v>75</v>
      </c>
      <c r="BB797" s="3" t="s">
        <v>10068</v>
      </c>
      <c r="BC797" s="3" t="s">
        <v>10069</v>
      </c>
      <c r="BD797" s="3" t="s">
        <v>10070</v>
      </c>
    </row>
    <row r="798" spans="1:56" ht="48" customHeight="1" x14ac:dyDescent="0.25">
      <c r="A798" s="7" t="s">
        <v>59</v>
      </c>
      <c r="B798" s="2" t="s">
        <v>10071</v>
      </c>
      <c r="C798" s="2" t="s">
        <v>10072</v>
      </c>
      <c r="D798" s="2" t="s">
        <v>10073</v>
      </c>
      <c r="F798" s="3" t="s">
        <v>59</v>
      </c>
      <c r="G798" s="3" t="s">
        <v>60</v>
      </c>
      <c r="H798" s="3" t="s">
        <v>59</v>
      </c>
      <c r="I798" s="3" t="s">
        <v>59</v>
      </c>
      <c r="J798" s="3" t="s">
        <v>61</v>
      </c>
      <c r="K798" s="2" t="s">
        <v>10074</v>
      </c>
      <c r="L798" s="2" t="s">
        <v>10075</v>
      </c>
      <c r="M798" s="3" t="s">
        <v>83</v>
      </c>
      <c r="O798" s="3" t="s">
        <v>64</v>
      </c>
      <c r="P798" s="3" t="s">
        <v>84</v>
      </c>
      <c r="Q798" s="2" t="s">
        <v>9488</v>
      </c>
      <c r="R798" s="3" t="s">
        <v>67</v>
      </c>
      <c r="S798" s="4">
        <v>6</v>
      </c>
      <c r="T798" s="4">
        <v>6</v>
      </c>
      <c r="U798" s="5" t="s">
        <v>10076</v>
      </c>
      <c r="V798" s="5" t="s">
        <v>10076</v>
      </c>
      <c r="W798" s="5" t="s">
        <v>6237</v>
      </c>
      <c r="X798" s="5" t="s">
        <v>6237</v>
      </c>
      <c r="Y798" s="4">
        <v>267</v>
      </c>
      <c r="Z798" s="4">
        <v>201</v>
      </c>
      <c r="AA798" s="4">
        <v>214</v>
      </c>
      <c r="AB798" s="4">
        <v>1</v>
      </c>
      <c r="AC798" s="4">
        <v>2</v>
      </c>
      <c r="AD798" s="4">
        <v>7</v>
      </c>
      <c r="AE798" s="4">
        <v>8</v>
      </c>
      <c r="AF798" s="4">
        <v>3</v>
      </c>
      <c r="AG798" s="4">
        <v>3</v>
      </c>
      <c r="AH798" s="4">
        <v>1</v>
      </c>
      <c r="AI798" s="4">
        <v>1</v>
      </c>
      <c r="AJ798" s="4">
        <v>5</v>
      </c>
      <c r="AK798" s="4">
        <v>5</v>
      </c>
      <c r="AL798" s="4">
        <v>0</v>
      </c>
      <c r="AM798" s="4">
        <v>1</v>
      </c>
      <c r="AN798" s="4">
        <v>0</v>
      </c>
      <c r="AO798" s="4">
        <v>0</v>
      </c>
      <c r="AP798" s="3" t="s">
        <v>59</v>
      </c>
      <c r="AQ798" s="3" t="s">
        <v>70</v>
      </c>
      <c r="AR798" s="6" t="str">
        <f>HYPERLINK("http://catalog.hathitrust.org/Record/003945075","HathiTrust Record")</f>
        <v>HathiTrust Record</v>
      </c>
      <c r="AS798" s="6" t="str">
        <f>HYPERLINK("https://creighton-primo.hosted.exlibrisgroup.com/primo-explore/search?tab=default_tab&amp;search_scope=EVERYTHING&amp;vid=01CRU&amp;lang=en_US&amp;offset=0&amp;query=any,contains,991002813899702656","Catalog Record")</f>
        <v>Catalog Record</v>
      </c>
      <c r="AT798" s="6" t="str">
        <f>HYPERLINK("http://www.worldcat.org/oclc/36961082","WorldCat Record")</f>
        <v>WorldCat Record</v>
      </c>
      <c r="AU798" s="3" t="s">
        <v>10077</v>
      </c>
      <c r="AV798" s="3" t="s">
        <v>10078</v>
      </c>
      <c r="AW798" s="3" t="s">
        <v>10079</v>
      </c>
      <c r="AX798" s="3" t="s">
        <v>10079</v>
      </c>
      <c r="AY798" s="3" t="s">
        <v>10080</v>
      </c>
      <c r="AZ798" s="3" t="s">
        <v>75</v>
      </c>
      <c r="BB798" s="3" t="s">
        <v>10081</v>
      </c>
      <c r="BC798" s="3" t="s">
        <v>10082</v>
      </c>
      <c r="BD798" s="3" t="s">
        <v>10083</v>
      </c>
    </row>
    <row r="799" spans="1:56" ht="48" customHeight="1" x14ac:dyDescent="0.25">
      <c r="A799" s="7" t="s">
        <v>59</v>
      </c>
      <c r="B799" s="2" t="s">
        <v>10084</v>
      </c>
      <c r="C799" s="2" t="s">
        <v>10085</v>
      </c>
      <c r="D799" s="2" t="s">
        <v>10086</v>
      </c>
      <c r="F799" s="3" t="s">
        <v>59</v>
      </c>
      <c r="G799" s="3" t="s">
        <v>60</v>
      </c>
      <c r="H799" s="3" t="s">
        <v>59</v>
      </c>
      <c r="I799" s="3" t="s">
        <v>59</v>
      </c>
      <c r="J799" s="3" t="s">
        <v>61</v>
      </c>
      <c r="L799" s="2" t="s">
        <v>10087</v>
      </c>
      <c r="M799" s="3" t="s">
        <v>234</v>
      </c>
      <c r="O799" s="3" t="s">
        <v>64</v>
      </c>
      <c r="P799" s="3" t="s">
        <v>84</v>
      </c>
      <c r="Q799" s="2" t="s">
        <v>3871</v>
      </c>
      <c r="R799" s="3" t="s">
        <v>67</v>
      </c>
      <c r="S799" s="4">
        <v>4</v>
      </c>
      <c r="T799" s="4">
        <v>4</v>
      </c>
      <c r="U799" s="5" t="s">
        <v>9590</v>
      </c>
      <c r="V799" s="5" t="s">
        <v>9590</v>
      </c>
      <c r="W799" s="5" t="s">
        <v>9018</v>
      </c>
      <c r="X799" s="5" t="s">
        <v>9018</v>
      </c>
      <c r="Y799" s="4">
        <v>316</v>
      </c>
      <c r="Z799" s="4">
        <v>190</v>
      </c>
      <c r="AA799" s="4">
        <v>197</v>
      </c>
      <c r="AB799" s="4">
        <v>4</v>
      </c>
      <c r="AC799" s="4">
        <v>4</v>
      </c>
      <c r="AD799" s="4">
        <v>10</v>
      </c>
      <c r="AE799" s="4">
        <v>10</v>
      </c>
      <c r="AF799" s="4">
        <v>2</v>
      </c>
      <c r="AG799" s="4">
        <v>2</v>
      </c>
      <c r="AH799" s="4">
        <v>2</v>
      </c>
      <c r="AI799" s="4">
        <v>2</v>
      </c>
      <c r="AJ799" s="4">
        <v>5</v>
      </c>
      <c r="AK799" s="4">
        <v>5</v>
      </c>
      <c r="AL799" s="4">
        <v>3</v>
      </c>
      <c r="AM799" s="4">
        <v>3</v>
      </c>
      <c r="AN799" s="4">
        <v>0</v>
      </c>
      <c r="AO799" s="4">
        <v>0</v>
      </c>
      <c r="AP799" s="3" t="s">
        <v>59</v>
      </c>
      <c r="AQ799" s="3" t="s">
        <v>70</v>
      </c>
      <c r="AR799" s="6" t="str">
        <f>HYPERLINK("http://catalog.hathitrust.org/Record/001948856","HathiTrust Record")</f>
        <v>HathiTrust Record</v>
      </c>
      <c r="AS799" s="6" t="str">
        <f>HYPERLINK("https://creighton-primo.hosted.exlibrisgroup.com/primo-explore/search?tab=default_tab&amp;search_scope=EVERYTHING&amp;vid=01CRU&amp;lang=en_US&amp;offset=0&amp;query=any,contains,991001502979702656","Catalog Record")</f>
        <v>Catalog Record</v>
      </c>
      <c r="AT799" s="6" t="str">
        <f>HYPERLINK("http://www.worldcat.org/oclc/19814516","WorldCat Record")</f>
        <v>WorldCat Record</v>
      </c>
      <c r="AU799" s="3" t="s">
        <v>10088</v>
      </c>
      <c r="AV799" s="3" t="s">
        <v>10089</v>
      </c>
      <c r="AW799" s="3" t="s">
        <v>10090</v>
      </c>
      <c r="AX799" s="3" t="s">
        <v>10090</v>
      </c>
      <c r="AY799" s="3" t="s">
        <v>10091</v>
      </c>
      <c r="AZ799" s="3" t="s">
        <v>75</v>
      </c>
      <c r="BB799" s="3" t="s">
        <v>10092</v>
      </c>
      <c r="BC799" s="3" t="s">
        <v>10093</v>
      </c>
      <c r="BD799" s="3" t="s">
        <v>10094</v>
      </c>
    </row>
    <row r="800" spans="1:56" ht="48" customHeight="1" x14ac:dyDescent="0.25">
      <c r="A800" s="7" t="s">
        <v>59</v>
      </c>
      <c r="B800" s="2" t="s">
        <v>10095</v>
      </c>
      <c r="C800" s="2" t="s">
        <v>10096</v>
      </c>
      <c r="D800" s="2" t="s">
        <v>10097</v>
      </c>
      <c r="F800" s="3" t="s">
        <v>59</v>
      </c>
      <c r="G800" s="3" t="s">
        <v>60</v>
      </c>
      <c r="H800" s="3" t="s">
        <v>59</v>
      </c>
      <c r="I800" s="3" t="s">
        <v>59</v>
      </c>
      <c r="J800" s="3" t="s">
        <v>61</v>
      </c>
      <c r="K800" s="2" t="s">
        <v>10098</v>
      </c>
      <c r="L800" s="2" t="s">
        <v>10099</v>
      </c>
      <c r="M800" s="3" t="s">
        <v>1462</v>
      </c>
      <c r="N800" s="2" t="s">
        <v>6080</v>
      </c>
      <c r="O800" s="3" t="s">
        <v>64</v>
      </c>
      <c r="P800" s="3" t="s">
        <v>278</v>
      </c>
      <c r="R800" s="3" t="s">
        <v>67</v>
      </c>
      <c r="S800" s="4">
        <v>3</v>
      </c>
      <c r="T800" s="4">
        <v>3</v>
      </c>
      <c r="U800" s="5" t="s">
        <v>10100</v>
      </c>
      <c r="V800" s="5" t="s">
        <v>10100</v>
      </c>
      <c r="W800" s="5" t="s">
        <v>7023</v>
      </c>
      <c r="X800" s="5" t="s">
        <v>7023</v>
      </c>
      <c r="Y800" s="4">
        <v>169</v>
      </c>
      <c r="Z800" s="4">
        <v>148</v>
      </c>
      <c r="AA800" s="4">
        <v>249</v>
      </c>
      <c r="AB800" s="4">
        <v>2</v>
      </c>
      <c r="AC800" s="4">
        <v>2</v>
      </c>
      <c r="AD800" s="4">
        <v>2</v>
      </c>
      <c r="AE800" s="4">
        <v>7</v>
      </c>
      <c r="AF800" s="4">
        <v>0</v>
      </c>
      <c r="AG800" s="4">
        <v>2</v>
      </c>
      <c r="AH800" s="4">
        <v>1</v>
      </c>
      <c r="AI800" s="4">
        <v>3</v>
      </c>
      <c r="AJ800" s="4">
        <v>0</v>
      </c>
      <c r="AK800" s="4">
        <v>4</v>
      </c>
      <c r="AL800" s="4">
        <v>1</v>
      </c>
      <c r="AM800" s="4">
        <v>1</v>
      </c>
      <c r="AN800" s="4">
        <v>0</v>
      </c>
      <c r="AO800" s="4">
        <v>0</v>
      </c>
      <c r="AP800" s="3" t="s">
        <v>59</v>
      </c>
      <c r="AQ800" s="3" t="s">
        <v>70</v>
      </c>
      <c r="AR800" s="6" t="str">
        <f>HYPERLINK("http://catalog.hathitrust.org/Record/001555667","HathiTrust Record")</f>
        <v>HathiTrust Record</v>
      </c>
      <c r="AS800" s="6" t="str">
        <f>HYPERLINK("https://creighton-primo.hosted.exlibrisgroup.com/primo-explore/search?tab=default_tab&amp;search_scope=EVERYTHING&amp;vid=01CRU&amp;lang=en_US&amp;offset=0&amp;query=any,contains,991000950669702656","Catalog Record")</f>
        <v>Catalog Record</v>
      </c>
      <c r="AT800" s="6" t="str">
        <f>HYPERLINK("http://www.worldcat.org/oclc/14654504","WorldCat Record")</f>
        <v>WorldCat Record</v>
      </c>
      <c r="AU800" s="3" t="s">
        <v>10101</v>
      </c>
      <c r="AV800" s="3" t="s">
        <v>10102</v>
      </c>
      <c r="AW800" s="3" t="s">
        <v>10103</v>
      </c>
      <c r="AX800" s="3" t="s">
        <v>10103</v>
      </c>
      <c r="AY800" s="3" t="s">
        <v>10104</v>
      </c>
      <c r="AZ800" s="3" t="s">
        <v>75</v>
      </c>
      <c r="BC800" s="3" t="s">
        <v>10105</v>
      </c>
      <c r="BD800" s="3" t="s">
        <v>10106</v>
      </c>
    </row>
    <row r="801" spans="1:56" ht="48" customHeight="1" x14ac:dyDescent="0.25">
      <c r="A801" s="7" t="s">
        <v>59</v>
      </c>
      <c r="B801" s="2" t="s">
        <v>10107</v>
      </c>
      <c r="C801" s="2" t="s">
        <v>10108</v>
      </c>
      <c r="D801" s="2" t="s">
        <v>10109</v>
      </c>
      <c r="F801" s="3" t="s">
        <v>59</v>
      </c>
      <c r="G801" s="3" t="s">
        <v>60</v>
      </c>
      <c r="H801" s="3" t="s">
        <v>59</v>
      </c>
      <c r="I801" s="3" t="s">
        <v>59</v>
      </c>
      <c r="J801" s="3" t="s">
        <v>61</v>
      </c>
      <c r="K801" s="2" t="s">
        <v>10110</v>
      </c>
      <c r="L801" s="2" t="s">
        <v>5275</v>
      </c>
      <c r="M801" s="3" t="s">
        <v>333</v>
      </c>
      <c r="O801" s="3" t="s">
        <v>64</v>
      </c>
      <c r="P801" s="3" t="s">
        <v>130</v>
      </c>
      <c r="R801" s="3" t="s">
        <v>67</v>
      </c>
      <c r="S801" s="4">
        <v>7</v>
      </c>
      <c r="T801" s="4">
        <v>7</v>
      </c>
      <c r="U801" s="5" t="s">
        <v>10111</v>
      </c>
      <c r="V801" s="5" t="s">
        <v>10111</v>
      </c>
      <c r="W801" s="5" t="s">
        <v>6862</v>
      </c>
      <c r="X801" s="5" t="s">
        <v>6862</v>
      </c>
      <c r="Y801" s="4">
        <v>307</v>
      </c>
      <c r="Z801" s="4">
        <v>236</v>
      </c>
      <c r="AA801" s="4">
        <v>237</v>
      </c>
      <c r="AB801" s="4">
        <v>3</v>
      </c>
      <c r="AC801" s="4">
        <v>3</v>
      </c>
      <c r="AD801" s="4">
        <v>10</v>
      </c>
      <c r="AE801" s="4">
        <v>10</v>
      </c>
      <c r="AF801" s="4">
        <v>2</v>
      </c>
      <c r="AG801" s="4">
        <v>2</v>
      </c>
      <c r="AH801" s="4">
        <v>4</v>
      </c>
      <c r="AI801" s="4">
        <v>4</v>
      </c>
      <c r="AJ801" s="4">
        <v>5</v>
      </c>
      <c r="AK801" s="4">
        <v>5</v>
      </c>
      <c r="AL801" s="4">
        <v>2</v>
      </c>
      <c r="AM801" s="4">
        <v>2</v>
      </c>
      <c r="AN801" s="4">
        <v>0</v>
      </c>
      <c r="AO801" s="4">
        <v>0</v>
      </c>
      <c r="AP801" s="3" t="s">
        <v>59</v>
      </c>
      <c r="AQ801" s="3" t="s">
        <v>70</v>
      </c>
      <c r="AR801" s="6" t="str">
        <f>HYPERLINK("http://catalog.hathitrust.org/Record/000453975","HathiTrust Record")</f>
        <v>HathiTrust Record</v>
      </c>
      <c r="AS801" s="6" t="str">
        <f>HYPERLINK("https://creighton-primo.hosted.exlibrisgroup.com/primo-explore/search?tab=default_tab&amp;search_scope=EVERYTHING&amp;vid=01CRU&amp;lang=en_US&amp;offset=0&amp;query=any,contains,991000485329702656","Catalog Record")</f>
        <v>Catalog Record</v>
      </c>
      <c r="AT801" s="6" t="str">
        <f>HYPERLINK("http://www.worldcat.org/oclc/11068978","WorldCat Record")</f>
        <v>WorldCat Record</v>
      </c>
      <c r="AU801" s="3" t="s">
        <v>10112</v>
      </c>
      <c r="AV801" s="3" t="s">
        <v>10113</v>
      </c>
      <c r="AW801" s="3" t="s">
        <v>10114</v>
      </c>
      <c r="AX801" s="3" t="s">
        <v>10114</v>
      </c>
      <c r="AY801" s="3" t="s">
        <v>10115</v>
      </c>
      <c r="AZ801" s="3" t="s">
        <v>75</v>
      </c>
      <c r="BB801" s="3" t="s">
        <v>10116</v>
      </c>
      <c r="BC801" s="3" t="s">
        <v>10117</v>
      </c>
      <c r="BD801" s="3" t="s">
        <v>10118</v>
      </c>
    </row>
    <row r="802" spans="1:56" ht="48" customHeight="1" x14ac:dyDescent="0.25">
      <c r="A802" s="7" t="s">
        <v>59</v>
      </c>
      <c r="B802" s="2" t="s">
        <v>10119</v>
      </c>
      <c r="C802" s="2" t="s">
        <v>10120</v>
      </c>
      <c r="D802" s="2" t="s">
        <v>10121</v>
      </c>
      <c r="F802" s="3" t="s">
        <v>59</v>
      </c>
      <c r="G802" s="3" t="s">
        <v>60</v>
      </c>
      <c r="H802" s="3" t="s">
        <v>70</v>
      </c>
      <c r="I802" s="3" t="s">
        <v>59</v>
      </c>
      <c r="J802" s="3" t="s">
        <v>61</v>
      </c>
      <c r="K802" s="2" t="s">
        <v>10122</v>
      </c>
      <c r="L802" s="2" t="s">
        <v>9982</v>
      </c>
      <c r="M802" s="3" t="s">
        <v>129</v>
      </c>
      <c r="N802" s="2" t="s">
        <v>114</v>
      </c>
      <c r="O802" s="3" t="s">
        <v>64</v>
      </c>
      <c r="P802" s="3" t="s">
        <v>191</v>
      </c>
      <c r="R802" s="3" t="s">
        <v>67</v>
      </c>
      <c r="S802" s="4">
        <v>9</v>
      </c>
      <c r="T802" s="4">
        <v>15</v>
      </c>
      <c r="U802" s="5" t="s">
        <v>10123</v>
      </c>
      <c r="V802" s="5" t="s">
        <v>8126</v>
      </c>
      <c r="W802" s="5" t="s">
        <v>9984</v>
      </c>
      <c r="X802" s="5" t="s">
        <v>9984</v>
      </c>
      <c r="Y802" s="4">
        <v>173</v>
      </c>
      <c r="Z802" s="4">
        <v>130</v>
      </c>
      <c r="AA802" s="4">
        <v>240</v>
      </c>
      <c r="AB802" s="4">
        <v>2</v>
      </c>
      <c r="AC802" s="4">
        <v>3</v>
      </c>
      <c r="AD802" s="4">
        <v>4</v>
      </c>
      <c r="AE802" s="4">
        <v>6</v>
      </c>
      <c r="AF802" s="4">
        <v>0</v>
      </c>
      <c r="AG802" s="4">
        <v>1</v>
      </c>
      <c r="AH802" s="4">
        <v>3</v>
      </c>
      <c r="AI802" s="4">
        <v>3</v>
      </c>
      <c r="AJ802" s="4">
        <v>3</v>
      </c>
      <c r="AK802" s="4">
        <v>4</v>
      </c>
      <c r="AL802" s="4">
        <v>0</v>
      </c>
      <c r="AM802" s="4">
        <v>1</v>
      </c>
      <c r="AN802" s="4">
        <v>0</v>
      </c>
      <c r="AO802" s="4">
        <v>0</v>
      </c>
      <c r="AP802" s="3" t="s">
        <v>59</v>
      </c>
      <c r="AQ802" s="3" t="s">
        <v>59</v>
      </c>
      <c r="AS802" s="6" t="str">
        <f>HYPERLINK("https://creighton-primo.hosted.exlibrisgroup.com/primo-explore/search?tab=default_tab&amp;search_scope=EVERYTHING&amp;vid=01CRU&amp;lang=en_US&amp;offset=0&amp;query=any,contains,991001793729702656","Catalog Record")</f>
        <v>Catalog Record</v>
      </c>
      <c r="AT802" s="6" t="str">
        <f>HYPERLINK("http://www.worldcat.org/oclc/25048147","WorldCat Record")</f>
        <v>WorldCat Record</v>
      </c>
      <c r="AU802" s="3" t="s">
        <v>10124</v>
      </c>
      <c r="AV802" s="3" t="s">
        <v>10125</v>
      </c>
      <c r="AW802" s="3" t="s">
        <v>10126</v>
      </c>
      <c r="AX802" s="3" t="s">
        <v>10126</v>
      </c>
      <c r="AY802" s="3" t="s">
        <v>10127</v>
      </c>
      <c r="AZ802" s="3" t="s">
        <v>75</v>
      </c>
      <c r="BB802" s="3" t="s">
        <v>10128</v>
      </c>
      <c r="BC802" s="3" t="s">
        <v>10129</v>
      </c>
      <c r="BD802" s="3" t="s">
        <v>10130</v>
      </c>
    </row>
    <row r="803" spans="1:56" ht="48" customHeight="1" x14ac:dyDescent="0.25">
      <c r="A803" s="7" t="s">
        <v>59</v>
      </c>
      <c r="B803" s="2" t="s">
        <v>10131</v>
      </c>
      <c r="C803" s="2" t="s">
        <v>10132</v>
      </c>
      <c r="D803" s="2" t="s">
        <v>10133</v>
      </c>
      <c r="F803" s="3" t="s">
        <v>59</v>
      </c>
      <c r="G803" s="3" t="s">
        <v>60</v>
      </c>
      <c r="H803" s="3" t="s">
        <v>59</v>
      </c>
      <c r="I803" s="3" t="s">
        <v>59</v>
      </c>
      <c r="J803" s="3" t="s">
        <v>61</v>
      </c>
      <c r="L803" s="2" t="s">
        <v>10134</v>
      </c>
      <c r="M803" s="3" t="s">
        <v>319</v>
      </c>
      <c r="O803" s="3" t="s">
        <v>64</v>
      </c>
      <c r="P803" s="3" t="s">
        <v>1257</v>
      </c>
      <c r="R803" s="3" t="s">
        <v>67</v>
      </c>
      <c r="S803" s="4">
        <v>3</v>
      </c>
      <c r="T803" s="4">
        <v>3</v>
      </c>
      <c r="U803" s="5" t="s">
        <v>10135</v>
      </c>
      <c r="V803" s="5" t="s">
        <v>10135</v>
      </c>
      <c r="W803" s="5" t="s">
        <v>6862</v>
      </c>
      <c r="X803" s="5" t="s">
        <v>6862</v>
      </c>
      <c r="Y803" s="4">
        <v>107</v>
      </c>
      <c r="Z803" s="4">
        <v>68</v>
      </c>
      <c r="AA803" s="4">
        <v>89</v>
      </c>
      <c r="AB803" s="4">
        <v>1</v>
      </c>
      <c r="AC803" s="4">
        <v>2</v>
      </c>
      <c r="AD803" s="4">
        <v>2</v>
      </c>
      <c r="AE803" s="4">
        <v>3</v>
      </c>
      <c r="AF803" s="4">
        <v>0</v>
      </c>
      <c r="AG803" s="4">
        <v>0</v>
      </c>
      <c r="AH803" s="4">
        <v>1</v>
      </c>
      <c r="AI803" s="4">
        <v>1</v>
      </c>
      <c r="AJ803" s="4">
        <v>2</v>
      </c>
      <c r="AK803" s="4">
        <v>2</v>
      </c>
      <c r="AL803" s="4">
        <v>0</v>
      </c>
      <c r="AM803" s="4">
        <v>1</v>
      </c>
      <c r="AN803" s="4">
        <v>0</v>
      </c>
      <c r="AO803" s="4">
        <v>0</v>
      </c>
      <c r="AP803" s="3" t="s">
        <v>59</v>
      </c>
      <c r="AQ803" s="3" t="s">
        <v>70</v>
      </c>
      <c r="AR803" s="6" t="str">
        <f>HYPERLINK("http://catalog.hathitrust.org/Record/000342772","HathiTrust Record")</f>
        <v>HathiTrust Record</v>
      </c>
      <c r="AS803" s="6" t="str">
        <f>HYPERLINK("https://creighton-primo.hosted.exlibrisgroup.com/primo-explore/search?tab=default_tab&amp;search_scope=EVERYTHING&amp;vid=01CRU&amp;lang=en_US&amp;offset=0&amp;query=any,contains,991000442469702656","Catalog Record")</f>
        <v>Catalog Record</v>
      </c>
      <c r="AT803" s="6" t="str">
        <f>HYPERLINK("http://www.worldcat.org/oclc/10825565","WorldCat Record")</f>
        <v>WorldCat Record</v>
      </c>
      <c r="AU803" s="3" t="s">
        <v>10136</v>
      </c>
      <c r="AV803" s="3" t="s">
        <v>10137</v>
      </c>
      <c r="AW803" s="3" t="s">
        <v>10138</v>
      </c>
      <c r="AX803" s="3" t="s">
        <v>10138</v>
      </c>
      <c r="AY803" s="3" t="s">
        <v>10139</v>
      </c>
      <c r="AZ803" s="3" t="s">
        <v>75</v>
      </c>
      <c r="BB803" s="3" t="s">
        <v>10140</v>
      </c>
      <c r="BC803" s="3" t="s">
        <v>10141</v>
      </c>
      <c r="BD803" s="3" t="s">
        <v>10142</v>
      </c>
    </row>
    <row r="804" spans="1:56" ht="48" customHeight="1" x14ac:dyDescent="0.25">
      <c r="A804" s="7" t="s">
        <v>59</v>
      </c>
      <c r="B804" s="2" t="s">
        <v>10143</v>
      </c>
      <c r="C804" s="2" t="s">
        <v>10144</v>
      </c>
      <c r="D804" s="2" t="s">
        <v>10145</v>
      </c>
      <c r="F804" s="3" t="s">
        <v>59</v>
      </c>
      <c r="G804" s="3" t="s">
        <v>60</v>
      </c>
      <c r="H804" s="3" t="s">
        <v>59</v>
      </c>
      <c r="I804" s="3" t="s">
        <v>59</v>
      </c>
      <c r="J804" s="3" t="s">
        <v>61</v>
      </c>
      <c r="K804" s="2" t="s">
        <v>10146</v>
      </c>
      <c r="L804" s="2" t="s">
        <v>10147</v>
      </c>
      <c r="M804" s="3" t="s">
        <v>897</v>
      </c>
      <c r="N804" s="2" t="s">
        <v>10148</v>
      </c>
      <c r="O804" s="3" t="s">
        <v>64</v>
      </c>
      <c r="P804" s="3" t="s">
        <v>130</v>
      </c>
      <c r="R804" s="3" t="s">
        <v>67</v>
      </c>
      <c r="S804" s="4">
        <v>5</v>
      </c>
      <c r="T804" s="4">
        <v>5</v>
      </c>
      <c r="U804" s="5" t="s">
        <v>10149</v>
      </c>
      <c r="V804" s="5" t="s">
        <v>10149</v>
      </c>
      <c r="W804" s="5" t="s">
        <v>10150</v>
      </c>
      <c r="X804" s="5" t="s">
        <v>10150</v>
      </c>
      <c r="Y804" s="4">
        <v>155</v>
      </c>
      <c r="Z804" s="4">
        <v>142</v>
      </c>
      <c r="AA804" s="4">
        <v>466</v>
      </c>
      <c r="AB804" s="4">
        <v>2</v>
      </c>
      <c r="AC804" s="4">
        <v>3</v>
      </c>
      <c r="AD804" s="4">
        <v>1</v>
      </c>
      <c r="AE804" s="4">
        <v>2</v>
      </c>
      <c r="AF804" s="4">
        <v>1</v>
      </c>
      <c r="AG804" s="4">
        <v>1</v>
      </c>
      <c r="AH804" s="4">
        <v>0</v>
      </c>
      <c r="AI804" s="4">
        <v>0</v>
      </c>
      <c r="AJ804" s="4">
        <v>0</v>
      </c>
      <c r="AK804" s="4">
        <v>0</v>
      </c>
      <c r="AL804" s="4">
        <v>0</v>
      </c>
      <c r="AM804" s="4">
        <v>1</v>
      </c>
      <c r="AN804" s="4">
        <v>0</v>
      </c>
      <c r="AO804" s="4">
        <v>0</v>
      </c>
      <c r="AP804" s="3" t="s">
        <v>59</v>
      </c>
      <c r="AQ804" s="3" t="s">
        <v>59</v>
      </c>
      <c r="AS804" s="6" t="str">
        <f>HYPERLINK("https://creighton-primo.hosted.exlibrisgroup.com/primo-explore/search?tab=default_tab&amp;search_scope=EVERYTHING&amp;vid=01CRU&amp;lang=en_US&amp;offset=0&amp;query=any,contains,991001952419702656","Catalog Record")</f>
        <v>Catalog Record</v>
      </c>
      <c r="AT804" s="6" t="str">
        <f>HYPERLINK("http://www.worldcat.org/oclc/24681299","WorldCat Record")</f>
        <v>WorldCat Record</v>
      </c>
      <c r="AU804" s="3" t="s">
        <v>10151</v>
      </c>
      <c r="AV804" s="3" t="s">
        <v>10152</v>
      </c>
      <c r="AW804" s="3" t="s">
        <v>10153</v>
      </c>
      <c r="AX804" s="3" t="s">
        <v>10153</v>
      </c>
      <c r="AY804" s="3" t="s">
        <v>10154</v>
      </c>
      <c r="AZ804" s="3" t="s">
        <v>75</v>
      </c>
      <c r="BB804" s="3" t="s">
        <v>10155</v>
      </c>
      <c r="BC804" s="3" t="s">
        <v>10156</v>
      </c>
      <c r="BD804" s="3" t="s">
        <v>10157</v>
      </c>
    </row>
    <row r="805" spans="1:56" ht="48" customHeight="1" x14ac:dyDescent="0.25">
      <c r="A805" s="7" t="s">
        <v>59</v>
      </c>
      <c r="B805" s="2" t="s">
        <v>10158</v>
      </c>
      <c r="C805" s="2" t="s">
        <v>10159</v>
      </c>
      <c r="D805" s="2" t="s">
        <v>10160</v>
      </c>
      <c r="F805" s="3" t="s">
        <v>59</v>
      </c>
      <c r="G805" s="3" t="s">
        <v>60</v>
      </c>
      <c r="H805" s="3" t="s">
        <v>70</v>
      </c>
      <c r="I805" s="3" t="s">
        <v>59</v>
      </c>
      <c r="J805" s="3" t="s">
        <v>61</v>
      </c>
      <c r="K805" s="2" t="s">
        <v>10161</v>
      </c>
      <c r="L805" s="2" t="s">
        <v>10162</v>
      </c>
      <c r="M805" s="3" t="s">
        <v>98</v>
      </c>
      <c r="O805" s="3" t="s">
        <v>64</v>
      </c>
      <c r="P805" s="3" t="s">
        <v>130</v>
      </c>
      <c r="R805" s="3" t="s">
        <v>67</v>
      </c>
      <c r="S805" s="4">
        <v>1</v>
      </c>
      <c r="T805" s="4">
        <v>8</v>
      </c>
      <c r="U805" s="5" t="s">
        <v>10163</v>
      </c>
      <c r="V805" s="5" t="s">
        <v>10163</v>
      </c>
      <c r="W805" s="5" t="s">
        <v>9158</v>
      </c>
      <c r="X805" s="5" t="s">
        <v>9158</v>
      </c>
      <c r="Y805" s="4">
        <v>556</v>
      </c>
      <c r="Z805" s="4">
        <v>417</v>
      </c>
      <c r="AA805" s="4">
        <v>453</v>
      </c>
      <c r="AB805" s="4">
        <v>5</v>
      </c>
      <c r="AC805" s="4">
        <v>5</v>
      </c>
      <c r="AD805" s="4">
        <v>22</v>
      </c>
      <c r="AE805" s="4">
        <v>25</v>
      </c>
      <c r="AF805" s="4">
        <v>6</v>
      </c>
      <c r="AG805" s="4">
        <v>8</v>
      </c>
      <c r="AH805" s="4">
        <v>6</v>
      </c>
      <c r="AI805" s="4">
        <v>8</v>
      </c>
      <c r="AJ805" s="4">
        <v>14</v>
      </c>
      <c r="AK805" s="4">
        <v>14</v>
      </c>
      <c r="AL805" s="4">
        <v>3</v>
      </c>
      <c r="AM805" s="4">
        <v>3</v>
      </c>
      <c r="AN805" s="4">
        <v>0</v>
      </c>
      <c r="AO805" s="4">
        <v>0</v>
      </c>
      <c r="AP805" s="3" t="s">
        <v>59</v>
      </c>
      <c r="AQ805" s="3" t="s">
        <v>70</v>
      </c>
      <c r="AR805" s="6" t="str">
        <f>HYPERLINK("http://catalog.hathitrust.org/Record/001555703","HathiTrust Record")</f>
        <v>HathiTrust Record</v>
      </c>
      <c r="AS805" s="6" t="str">
        <f>HYPERLINK("https://creighton-primo.hosted.exlibrisgroup.com/primo-explore/search?tab=default_tab&amp;search_scope=EVERYTHING&amp;vid=01CRU&amp;lang=en_US&amp;offset=0&amp;query=any,contains,991001774329702656","Catalog Record")</f>
        <v>Catalog Record</v>
      </c>
      <c r="AT805" s="6" t="str">
        <f>HYPERLINK("http://www.worldcat.org/oclc/204434","WorldCat Record")</f>
        <v>WorldCat Record</v>
      </c>
      <c r="AU805" s="3" t="s">
        <v>10164</v>
      </c>
      <c r="AV805" s="3" t="s">
        <v>10165</v>
      </c>
      <c r="AW805" s="3" t="s">
        <v>10166</v>
      </c>
      <c r="AX805" s="3" t="s">
        <v>10166</v>
      </c>
      <c r="AY805" s="3" t="s">
        <v>10167</v>
      </c>
      <c r="AZ805" s="3" t="s">
        <v>75</v>
      </c>
      <c r="BB805" s="3" t="s">
        <v>10168</v>
      </c>
      <c r="BC805" s="3" t="s">
        <v>10169</v>
      </c>
      <c r="BD805" s="3" t="s">
        <v>10170</v>
      </c>
    </row>
    <row r="806" spans="1:56" ht="48" customHeight="1" x14ac:dyDescent="0.25">
      <c r="A806" s="7" t="s">
        <v>59</v>
      </c>
      <c r="B806" s="2" t="s">
        <v>10171</v>
      </c>
      <c r="C806" s="2" t="s">
        <v>10172</v>
      </c>
      <c r="D806" s="2" t="s">
        <v>10173</v>
      </c>
      <c r="F806" s="3" t="s">
        <v>59</v>
      </c>
      <c r="G806" s="3" t="s">
        <v>60</v>
      </c>
      <c r="H806" s="3" t="s">
        <v>59</v>
      </c>
      <c r="I806" s="3" t="s">
        <v>59</v>
      </c>
      <c r="J806" s="3" t="s">
        <v>61</v>
      </c>
      <c r="L806" s="2" t="s">
        <v>8532</v>
      </c>
      <c r="M806" s="3" t="s">
        <v>63</v>
      </c>
      <c r="O806" s="3" t="s">
        <v>64</v>
      </c>
      <c r="P806" s="3" t="s">
        <v>130</v>
      </c>
      <c r="R806" s="3" t="s">
        <v>67</v>
      </c>
      <c r="S806" s="4">
        <v>15</v>
      </c>
      <c r="T806" s="4">
        <v>15</v>
      </c>
      <c r="U806" s="5" t="s">
        <v>10163</v>
      </c>
      <c r="V806" s="5" t="s">
        <v>10163</v>
      </c>
      <c r="W806" s="5" t="s">
        <v>10174</v>
      </c>
      <c r="X806" s="5" t="s">
        <v>10174</v>
      </c>
      <c r="Y806" s="4">
        <v>298</v>
      </c>
      <c r="Z806" s="4">
        <v>228</v>
      </c>
      <c r="AA806" s="4">
        <v>280</v>
      </c>
      <c r="AB806" s="4">
        <v>2</v>
      </c>
      <c r="AC806" s="4">
        <v>2</v>
      </c>
      <c r="AD806" s="4">
        <v>11</v>
      </c>
      <c r="AE806" s="4">
        <v>14</v>
      </c>
      <c r="AF806" s="4">
        <v>2</v>
      </c>
      <c r="AG806" s="4">
        <v>4</v>
      </c>
      <c r="AH806" s="4">
        <v>3</v>
      </c>
      <c r="AI806" s="4">
        <v>5</v>
      </c>
      <c r="AJ806" s="4">
        <v>7</v>
      </c>
      <c r="AK806" s="4">
        <v>7</v>
      </c>
      <c r="AL806" s="4">
        <v>1</v>
      </c>
      <c r="AM806" s="4">
        <v>1</v>
      </c>
      <c r="AN806" s="4">
        <v>0</v>
      </c>
      <c r="AO806" s="4">
        <v>0</v>
      </c>
      <c r="AP806" s="3" t="s">
        <v>59</v>
      </c>
      <c r="AQ806" s="3" t="s">
        <v>70</v>
      </c>
      <c r="AR806" s="6" t="str">
        <f>HYPERLINK("http://catalog.hathitrust.org/Record/000173185","HathiTrust Record")</f>
        <v>HathiTrust Record</v>
      </c>
      <c r="AS806" s="6" t="str">
        <f>HYPERLINK("https://creighton-primo.hosted.exlibrisgroup.com/primo-explore/search?tab=default_tab&amp;search_scope=EVERYTHING&amp;vid=01CRU&amp;lang=en_US&amp;offset=0&amp;query=any,contains,991004244119702656","Catalog Record")</f>
        <v>Catalog Record</v>
      </c>
      <c r="AT806" s="6" t="str">
        <f>HYPERLINK("http://www.worldcat.org/oclc/2797787","WorldCat Record")</f>
        <v>WorldCat Record</v>
      </c>
      <c r="AU806" s="3" t="s">
        <v>10175</v>
      </c>
      <c r="AV806" s="3" t="s">
        <v>10176</v>
      </c>
      <c r="AW806" s="3" t="s">
        <v>10177</v>
      </c>
      <c r="AX806" s="3" t="s">
        <v>10177</v>
      </c>
      <c r="AY806" s="3" t="s">
        <v>10178</v>
      </c>
      <c r="AZ806" s="3" t="s">
        <v>75</v>
      </c>
      <c r="BB806" s="3" t="s">
        <v>10179</v>
      </c>
      <c r="BC806" s="3" t="s">
        <v>10180</v>
      </c>
      <c r="BD806" s="3" t="s">
        <v>10181</v>
      </c>
    </row>
    <row r="807" spans="1:56" ht="48" customHeight="1" x14ac:dyDescent="0.25">
      <c r="A807" s="7" t="s">
        <v>59</v>
      </c>
      <c r="B807" s="2" t="s">
        <v>10182</v>
      </c>
      <c r="C807" s="2" t="s">
        <v>10183</v>
      </c>
      <c r="D807" s="2" t="s">
        <v>10184</v>
      </c>
      <c r="F807" s="3" t="s">
        <v>59</v>
      </c>
      <c r="G807" s="3" t="s">
        <v>60</v>
      </c>
      <c r="H807" s="3" t="s">
        <v>59</v>
      </c>
      <c r="I807" s="3" t="s">
        <v>59</v>
      </c>
      <c r="J807" s="3" t="s">
        <v>61</v>
      </c>
      <c r="L807" s="2" t="s">
        <v>10185</v>
      </c>
      <c r="M807" s="3" t="s">
        <v>129</v>
      </c>
      <c r="O807" s="3" t="s">
        <v>64</v>
      </c>
      <c r="P807" s="3" t="s">
        <v>130</v>
      </c>
      <c r="R807" s="3" t="s">
        <v>67</v>
      </c>
      <c r="S807" s="4">
        <v>6</v>
      </c>
      <c r="T807" s="4">
        <v>6</v>
      </c>
      <c r="U807" s="5" t="s">
        <v>2564</v>
      </c>
      <c r="V807" s="5" t="s">
        <v>2564</v>
      </c>
      <c r="W807" s="5" t="s">
        <v>10186</v>
      </c>
      <c r="X807" s="5" t="s">
        <v>10186</v>
      </c>
      <c r="Y807" s="4">
        <v>187</v>
      </c>
      <c r="Z807" s="4">
        <v>143</v>
      </c>
      <c r="AA807" s="4">
        <v>148</v>
      </c>
      <c r="AB807" s="4">
        <v>2</v>
      </c>
      <c r="AC807" s="4">
        <v>2</v>
      </c>
      <c r="AD807" s="4">
        <v>8</v>
      </c>
      <c r="AE807" s="4">
        <v>8</v>
      </c>
      <c r="AF807" s="4">
        <v>0</v>
      </c>
      <c r="AG807" s="4">
        <v>0</v>
      </c>
      <c r="AH807" s="4">
        <v>4</v>
      </c>
      <c r="AI807" s="4">
        <v>4</v>
      </c>
      <c r="AJ807" s="4">
        <v>5</v>
      </c>
      <c r="AK807" s="4">
        <v>5</v>
      </c>
      <c r="AL807" s="4">
        <v>1</v>
      </c>
      <c r="AM807" s="4">
        <v>1</v>
      </c>
      <c r="AN807" s="4">
        <v>0</v>
      </c>
      <c r="AO807" s="4">
        <v>0</v>
      </c>
      <c r="AP807" s="3" t="s">
        <v>59</v>
      </c>
      <c r="AQ807" s="3" t="s">
        <v>70</v>
      </c>
      <c r="AR807" s="6" t="str">
        <f>HYPERLINK("http://catalog.hathitrust.org/Record/002508780","HathiTrust Record")</f>
        <v>HathiTrust Record</v>
      </c>
      <c r="AS807" s="6" t="str">
        <f>HYPERLINK("https://creighton-primo.hosted.exlibrisgroup.com/primo-explore/search?tab=default_tab&amp;search_scope=EVERYTHING&amp;vid=01CRU&amp;lang=en_US&amp;offset=0&amp;query=any,contains,991003706939702656","Catalog Record")</f>
        <v>Catalog Record</v>
      </c>
      <c r="AT807" s="6" t="str">
        <f>HYPERLINK("http://www.worldcat.org/oclc/23975845","WorldCat Record")</f>
        <v>WorldCat Record</v>
      </c>
      <c r="AU807" s="3" t="s">
        <v>10187</v>
      </c>
      <c r="AV807" s="3" t="s">
        <v>10188</v>
      </c>
      <c r="AW807" s="3" t="s">
        <v>10189</v>
      </c>
      <c r="AX807" s="3" t="s">
        <v>10189</v>
      </c>
      <c r="AY807" s="3" t="s">
        <v>10190</v>
      </c>
      <c r="AZ807" s="3" t="s">
        <v>75</v>
      </c>
      <c r="BB807" s="3" t="s">
        <v>10191</v>
      </c>
      <c r="BC807" s="3" t="s">
        <v>10192</v>
      </c>
      <c r="BD807" s="3" t="s">
        <v>10193</v>
      </c>
    </row>
    <row r="808" spans="1:56" ht="48" customHeight="1" x14ac:dyDescent="0.25">
      <c r="A808" s="7" t="s">
        <v>59</v>
      </c>
      <c r="B808" s="2" t="s">
        <v>10194</v>
      </c>
      <c r="C808" s="2" t="s">
        <v>10195</v>
      </c>
      <c r="D808" s="2" t="s">
        <v>10196</v>
      </c>
      <c r="F808" s="3" t="s">
        <v>59</v>
      </c>
      <c r="G808" s="3" t="s">
        <v>60</v>
      </c>
      <c r="H808" s="3" t="s">
        <v>59</v>
      </c>
      <c r="I808" s="3" t="s">
        <v>59</v>
      </c>
      <c r="J808" s="3" t="s">
        <v>61</v>
      </c>
      <c r="K808" s="2" t="s">
        <v>10197</v>
      </c>
      <c r="L808" s="2" t="s">
        <v>10198</v>
      </c>
      <c r="M808" s="3" t="s">
        <v>319</v>
      </c>
      <c r="O808" s="3" t="s">
        <v>64</v>
      </c>
      <c r="P808" s="3" t="s">
        <v>84</v>
      </c>
      <c r="R808" s="3" t="s">
        <v>67</v>
      </c>
      <c r="S808" s="4">
        <v>3</v>
      </c>
      <c r="T808" s="4">
        <v>3</v>
      </c>
      <c r="U808" s="5" t="s">
        <v>10199</v>
      </c>
      <c r="V808" s="5" t="s">
        <v>10199</v>
      </c>
      <c r="W808" s="5" t="s">
        <v>6862</v>
      </c>
      <c r="X808" s="5" t="s">
        <v>6862</v>
      </c>
      <c r="Y808" s="4">
        <v>349</v>
      </c>
      <c r="Z808" s="4">
        <v>244</v>
      </c>
      <c r="AA808" s="4">
        <v>249</v>
      </c>
      <c r="AB808" s="4">
        <v>1</v>
      </c>
      <c r="AC808" s="4">
        <v>1</v>
      </c>
      <c r="AD808" s="4">
        <v>6</v>
      </c>
      <c r="AE808" s="4">
        <v>6</v>
      </c>
      <c r="AF808" s="4">
        <v>0</v>
      </c>
      <c r="AG808" s="4">
        <v>0</v>
      </c>
      <c r="AH808" s="4">
        <v>3</v>
      </c>
      <c r="AI808" s="4">
        <v>3</v>
      </c>
      <c r="AJ808" s="4">
        <v>5</v>
      </c>
      <c r="AK808" s="4">
        <v>5</v>
      </c>
      <c r="AL808" s="4">
        <v>0</v>
      </c>
      <c r="AM808" s="4">
        <v>0</v>
      </c>
      <c r="AN808" s="4">
        <v>0</v>
      </c>
      <c r="AO808" s="4">
        <v>0</v>
      </c>
      <c r="AP808" s="3" t="s">
        <v>59</v>
      </c>
      <c r="AQ808" s="3" t="s">
        <v>59</v>
      </c>
      <c r="AS808" s="6" t="str">
        <f>HYPERLINK("https://creighton-primo.hosted.exlibrisgroup.com/primo-explore/search?tab=default_tab&amp;search_scope=EVERYTHING&amp;vid=01CRU&amp;lang=en_US&amp;offset=0&amp;query=any,contains,991000231009702656","Catalog Record")</f>
        <v>Catalog Record</v>
      </c>
      <c r="AT808" s="6" t="str">
        <f>HYPERLINK("http://www.worldcat.org/oclc/9643213","WorldCat Record")</f>
        <v>WorldCat Record</v>
      </c>
      <c r="AU808" s="3" t="s">
        <v>10200</v>
      </c>
      <c r="AV808" s="3" t="s">
        <v>10201</v>
      </c>
      <c r="AW808" s="3" t="s">
        <v>10202</v>
      </c>
      <c r="AX808" s="3" t="s">
        <v>10202</v>
      </c>
      <c r="AY808" s="3" t="s">
        <v>10203</v>
      </c>
      <c r="AZ808" s="3" t="s">
        <v>75</v>
      </c>
      <c r="BB808" s="3" t="s">
        <v>10204</v>
      </c>
      <c r="BC808" s="3" t="s">
        <v>10205</v>
      </c>
      <c r="BD808" s="3" t="s">
        <v>10206</v>
      </c>
    </row>
    <row r="809" spans="1:56" ht="48" customHeight="1" x14ac:dyDescent="0.25">
      <c r="A809" s="7" t="s">
        <v>59</v>
      </c>
      <c r="B809" s="2" t="s">
        <v>10207</v>
      </c>
      <c r="C809" s="2" t="s">
        <v>10208</v>
      </c>
      <c r="D809" s="2" t="s">
        <v>10209</v>
      </c>
      <c r="F809" s="3" t="s">
        <v>59</v>
      </c>
      <c r="G809" s="3" t="s">
        <v>60</v>
      </c>
      <c r="H809" s="3" t="s">
        <v>70</v>
      </c>
      <c r="I809" s="3" t="s">
        <v>59</v>
      </c>
      <c r="J809" s="3" t="s">
        <v>61</v>
      </c>
      <c r="K809" s="2" t="s">
        <v>10210</v>
      </c>
      <c r="L809" s="2" t="s">
        <v>10211</v>
      </c>
      <c r="M809" s="3" t="s">
        <v>3724</v>
      </c>
      <c r="O809" s="3" t="s">
        <v>64</v>
      </c>
      <c r="P809" s="3" t="s">
        <v>130</v>
      </c>
      <c r="R809" s="3" t="s">
        <v>67</v>
      </c>
      <c r="S809" s="4">
        <v>9</v>
      </c>
      <c r="T809" s="4">
        <v>14</v>
      </c>
      <c r="U809" s="5" t="s">
        <v>10212</v>
      </c>
      <c r="V809" s="5" t="s">
        <v>5517</v>
      </c>
      <c r="W809" s="5" t="s">
        <v>10213</v>
      </c>
      <c r="X809" s="5" t="s">
        <v>10213</v>
      </c>
      <c r="Y809" s="4">
        <v>266</v>
      </c>
      <c r="Z809" s="4">
        <v>209</v>
      </c>
      <c r="AA809" s="4">
        <v>216</v>
      </c>
      <c r="AB809" s="4">
        <v>3</v>
      </c>
      <c r="AC809" s="4">
        <v>3</v>
      </c>
      <c r="AD809" s="4">
        <v>6</v>
      </c>
      <c r="AE809" s="4">
        <v>6</v>
      </c>
      <c r="AF809" s="4">
        <v>2</v>
      </c>
      <c r="AG809" s="4">
        <v>2</v>
      </c>
      <c r="AH809" s="4">
        <v>3</v>
      </c>
      <c r="AI809" s="4">
        <v>3</v>
      </c>
      <c r="AJ809" s="4">
        <v>2</v>
      </c>
      <c r="AK809" s="4">
        <v>2</v>
      </c>
      <c r="AL809" s="4">
        <v>1</v>
      </c>
      <c r="AM809" s="4">
        <v>1</v>
      </c>
      <c r="AN809" s="4">
        <v>0</v>
      </c>
      <c r="AO809" s="4">
        <v>0</v>
      </c>
      <c r="AP809" s="3" t="s">
        <v>70</v>
      </c>
      <c r="AQ809" s="3" t="s">
        <v>59</v>
      </c>
      <c r="AR809" s="6" t="str">
        <f>HYPERLINK("http://catalog.hathitrust.org/Record/001555743","HathiTrust Record")</f>
        <v>HathiTrust Record</v>
      </c>
      <c r="AS809" s="6" t="str">
        <f>HYPERLINK("https://creighton-primo.hosted.exlibrisgroup.com/primo-explore/search?tab=default_tab&amp;search_scope=EVERYTHING&amp;vid=01CRU&amp;lang=en_US&amp;offset=0&amp;query=any,contains,991001774679702656","Catalog Record")</f>
        <v>Catalog Record</v>
      </c>
      <c r="AT809" s="6" t="str">
        <f>HYPERLINK("http://www.worldcat.org/oclc/2157361","WorldCat Record")</f>
        <v>WorldCat Record</v>
      </c>
      <c r="AU809" s="3" t="s">
        <v>10214</v>
      </c>
      <c r="AV809" s="3" t="s">
        <v>10215</v>
      </c>
      <c r="AW809" s="3" t="s">
        <v>10216</v>
      </c>
      <c r="AX809" s="3" t="s">
        <v>10216</v>
      </c>
      <c r="AY809" s="3" t="s">
        <v>10217</v>
      </c>
      <c r="AZ809" s="3" t="s">
        <v>75</v>
      </c>
      <c r="BC809" s="3" t="s">
        <v>10218</v>
      </c>
      <c r="BD809" s="3" t="s">
        <v>10219</v>
      </c>
    </row>
    <row r="810" spans="1:56" ht="48" customHeight="1" x14ac:dyDescent="0.25">
      <c r="A810" s="7" t="s">
        <v>59</v>
      </c>
      <c r="B810" s="2" t="s">
        <v>10220</v>
      </c>
      <c r="C810" s="2" t="s">
        <v>10221</v>
      </c>
      <c r="D810" s="2" t="s">
        <v>10222</v>
      </c>
      <c r="F810" s="3" t="s">
        <v>59</v>
      </c>
      <c r="G810" s="3" t="s">
        <v>60</v>
      </c>
      <c r="H810" s="3" t="s">
        <v>59</v>
      </c>
      <c r="I810" s="3" t="s">
        <v>59</v>
      </c>
      <c r="J810" s="3" t="s">
        <v>61</v>
      </c>
      <c r="K810" s="2" t="s">
        <v>10223</v>
      </c>
      <c r="L810" s="2" t="s">
        <v>10224</v>
      </c>
      <c r="M810" s="3" t="s">
        <v>348</v>
      </c>
      <c r="O810" s="3" t="s">
        <v>64</v>
      </c>
      <c r="P810" s="3" t="s">
        <v>130</v>
      </c>
      <c r="R810" s="3" t="s">
        <v>67</v>
      </c>
      <c r="S810" s="4">
        <v>3</v>
      </c>
      <c r="T810" s="4">
        <v>3</v>
      </c>
      <c r="U810" s="5" t="s">
        <v>10225</v>
      </c>
      <c r="V810" s="5" t="s">
        <v>10225</v>
      </c>
      <c r="W810" s="5" t="s">
        <v>10226</v>
      </c>
      <c r="X810" s="5" t="s">
        <v>10226</v>
      </c>
      <c r="Y810" s="4">
        <v>47</v>
      </c>
      <c r="Z810" s="4">
        <v>41</v>
      </c>
      <c r="AA810" s="4">
        <v>946</v>
      </c>
      <c r="AB810" s="4">
        <v>1</v>
      </c>
      <c r="AC810" s="4">
        <v>2</v>
      </c>
      <c r="AD810" s="4">
        <v>1</v>
      </c>
      <c r="AE810" s="4">
        <v>16</v>
      </c>
      <c r="AF810" s="4">
        <v>1</v>
      </c>
      <c r="AG810" s="4">
        <v>11</v>
      </c>
      <c r="AH810" s="4">
        <v>0</v>
      </c>
      <c r="AI810" s="4">
        <v>3</v>
      </c>
      <c r="AJ810" s="4">
        <v>0</v>
      </c>
      <c r="AK810" s="4">
        <v>4</v>
      </c>
      <c r="AL810" s="4">
        <v>0</v>
      </c>
      <c r="AM810" s="4">
        <v>0</v>
      </c>
      <c r="AN810" s="4">
        <v>0</v>
      </c>
      <c r="AO810" s="4">
        <v>1</v>
      </c>
      <c r="AP810" s="3" t="s">
        <v>59</v>
      </c>
      <c r="AQ810" s="3" t="s">
        <v>59</v>
      </c>
      <c r="AS810" s="6" t="str">
        <f>HYPERLINK("https://creighton-primo.hosted.exlibrisgroup.com/primo-explore/search?tab=default_tab&amp;search_scope=EVERYTHING&amp;vid=01CRU&amp;lang=en_US&amp;offset=0&amp;query=any,contains,991003933199702656","Catalog Record")</f>
        <v>Catalog Record</v>
      </c>
      <c r="AT810" s="6" t="str">
        <f>HYPERLINK("http://www.worldcat.org/oclc/29504704","WorldCat Record")</f>
        <v>WorldCat Record</v>
      </c>
      <c r="AU810" s="3" t="s">
        <v>10227</v>
      </c>
      <c r="AV810" s="3" t="s">
        <v>10228</v>
      </c>
      <c r="AW810" s="3" t="s">
        <v>10229</v>
      </c>
      <c r="AX810" s="3" t="s">
        <v>10229</v>
      </c>
      <c r="AY810" s="3" t="s">
        <v>10230</v>
      </c>
      <c r="AZ810" s="3" t="s">
        <v>75</v>
      </c>
      <c r="BB810" s="3" t="s">
        <v>10231</v>
      </c>
      <c r="BC810" s="3" t="s">
        <v>10232</v>
      </c>
      <c r="BD810" s="3" t="s">
        <v>10233</v>
      </c>
    </row>
    <row r="811" spans="1:56" ht="48" customHeight="1" x14ac:dyDescent="0.25">
      <c r="A811" s="7" t="s">
        <v>59</v>
      </c>
      <c r="B811" s="2" t="s">
        <v>10234</v>
      </c>
      <c r="C811" s="2" t="s">
        <v>10235</v>
      </c>
      <c r="D811" s="2" t="s">
        <v>10236</v>
      </c>
      <c r="F811" s="3" t="s">
        <v>59</v>
      </c>
      <c r="G811" s="3" t="s">
        <v>60</v>
      </c>
      <c r="H811" s="3" t="s">
        <v>59</v>
      </c>
      <c r="I811" s="3" t="s">
        <v>59</v>
      </c>
      <c r="J811" s="3" t="s">
        <v>61</v>
      </c>
      <c r="L811" s="2" t="s">
        <v>4005</v>
      </c>
      <c r="M811" s="3" t="s">
        <v>604</v>
      </c>
      <c r="O811" s="3" t="s">
        <v>64</v>
      </c>
      <c r="P811" s="3" t="s">
        <v>191</v>
      </c>
      <c r="R811" s="3" t="s">
        <v>67</v>
      </c>
      <c r="S811" s="4">
        <v>9</v>
      </c>
      <c r="T811" s="4">
        <v>9</v>
      </c>
      <c r="U811" s="5" t="s">
        <v>747</v>
      </c>
      <c r="V811" s="5" t="s">
        <v>747</v>
      </c>
      <c r="W811" s="5" t="s">
        <v>3971</v>
      </c>
      <c r="X811" s="5" t="s">
        <v>3971</v>
      </c>
      <c r="Y811" s="4">
        <v>159</v>
      </c>
      <c r="Z811" s="4">
        <v>115</v>
      </c>
      <c r="AA811" s="4">
        <v>120</v>
      </c>
      <c r="AB811" s="4">
        <v>3</v>
      </c>
      <c r="AC811" s="4">
        <v>3</v>
      </c>
      <c r="AD811" s="4">
        <v>8</v>
      </c>
      <c r="AE811" s="4">
        <v>8</v>
      </c>
      <c r="AF811" s="4">
        <v>2</v>
      </c>
      <c r="AG811" s="4">
        <v>2</v>
      </c>
      <c r="AH811" s="4">
        <v>2</v>
      </c>
      <c r="AI811" s="4">
        <v>2</v>
      </c>
      <c r="AJ811" s="4">
        <v>4</v>
      </c>
      <c r="AK811" s="4">
        <v>4</v>
      </c>
      <c r="AL811" s="4">
        <v>2</v>
      </c>
      <c r="AM811" s="4">
        <v>2</v>
      </c>
      <c r="AN811" s="4">
        <v>0</v>
      </c>
      <c r="AO811" s="4">
        <v>0</v>
      </c>
      <c r="AP811" s="3" t="s">
        <v>59</v>
      </c>
      <c r="AQ811" s="3" t="s">
        <v>59</v>
      </c>
      <c r="AS811" s="6" t="str">
        <f>HYPERLINK("https://creighton-primo.hosted.exlibrisgroup.com/primo-explore/search?tab=default_tab&amp;search_scope=EVERYTHING&amp;vid=01CRU&amp;lang=en_US&amp;offset=0&amp;query=any,contains,991002460879702656","Catalog Record")</f>
        <v>Catalog Record</v>
      </c>
      <c r="AT811" s="6" t="str">
        <f>HYPERLINK("http://www.worldcat.org/oclc/32052912","WorldCat Record")</f>
        <v>WorldCat Record</v>
      </c>
      <c r="AU811" s="3" t="s">
        <v>10237</v>
      </c>
      <c r="AV811" s="3" t="s">
        <v>10238</v>
      </c>
      <c r="AW811" s="3" t="s">
        <v>10239</v>
      </c>
      <c r="AX811" s="3" t="s">
        <v>10239</v>
      </c>
      <c r="AY811" s="3" t="s">
        <v>10240</v>
      </c>
      <c r="AZ811" s="3" t="s">
        <v>75</v>
      </c>
      <c r="BB811" s="3" t="s">
        <v>10241</v>
      </c>
      <c r="BC811" s="3" t="s">
        <v>10242</v>
      </c>
      <c r="BD811" s="3" t="s">
        <v>10243</v>
      </c>
    </row>
    <row r="812" spans="1:56" ht="48" customHeight="1" x14ac:dyDescent="0.25">
      <c r="A812" s="7" t="s">
        <v>59</v>
      </c>
      <c r="B812" s="2" t="s">
        <v>10244</v>
      </c>
      <c r="C812" s="2" t="s">
        <v>10245</v>
      </c>
      <c r="D812" s="2" t="s">
        <v>10246</v>
      </c>
      <c r="F812" s="3" t="s">
        <v>59</v>
      </c>
      <c r="G812" s="3" t="s">
        <v>60</v>
      </c>
      <c r="H812" s="3" t="s">
        <v>59</v>
      </c>
      <c r="I812" s="3" t="s">
        <v>59</v>
      </c>
      <c r="J812" s="3" t="s">
        <v>61</v>
      </c>
      <c r="K812" s="2" t="s">
        <v>659</v>
      </c>
      <c r="L812" s="2" t="s">
        <v>10247</v>
      </c>
      <c r="M812" s="3" t="s">
        <v>175</v>
      </c>
      <c r="O812" s="3" t="s">
        <v>64</v>
      </c>
      <c r="P812" s="3" t="s">
        <v>674</v>
      </c>
      <c r="R812" s="3" t="s">
        <v>67</v>
      </c>
      <c r="S812" s="4">
        <v>22</v>
      </c>
      <c r="T812" s="4">
        <v>22</v>
      </c>
      <c r="U812" s="5" t="s">
        <v>10248</v>
      </c>
      <c r="V812" s="5" t="s">
        <v>10248</v>
      </c>
      <c r="W812" s="5" t="s">
        <v>10249</v>
      </c>
      <c r="X812" s="5" t="s">
        <v>10249</v>
      </c>
      <c r="Y812" s="4">
        <v>472</v>
      </c>
      <c r="Z812" s="4">
        <v>362</v>
      </c>
      <c r="AA812" s="4">
        <v>1012</v>
      </c>
      <c r="AB812" s="4">
        <v>2</v>
      </c>
      <c r="AC812" s="4">
        <v>3</v>
      </c>
      <c r="AD812" s="4">
        <v>10</v>
      </c>
      <c r="AE812" s="4">
        <v>19</v>
      </c>
      <c r="AF812" s="4">
        <v>5</v>
      </c>
      <c r="AG812" s="4">
        <v>10</v>
      </c>
      <c r="AH812" s="4">
        <v>2</v>
      </c>
      <c r="AI812" s="4">
        <v>6</v>
      </c>
      <c r="AJ812" s="4">
        <v>5</v>
      </c>
      <c r="AK812" s="4">
        <v>8</v>
      </c>
      <c r="AL812" s="4">
        <v>1</v>
      </c>
      <c r="AM812" s="4">
        <v>1</v>
      </c>
      <c r="AN812" s="4">
        <v>0</v>
      </c>
      <c r="AO812" s="4">
        <v>0</v>
      </c>
      <c r="AP812" s="3" t="s">
        <v>59</v>
      </c>
      <c r="AQ812" s="3" t="s">
        <v>59</v>
      </c>
      <c r="AS812" s="6" t="str">
        <f>HYPERLINK("https://creighton-primo.hosted.exlibrisgroup.com/primo-explore/search?tab=default_tab&amp;search_scope=EVERYTHING&amp;vid=01CRU&amp;lang=en_US&amp;offset=0&amp;query=any,contains,991003013329702656","Catalog Record")</f>
        <v>Catalog Record</v>
      </c>
      <c r="AT812" s="6" t="str">
        <f>HYPERLINK("http://www.worldcat.org/oclc/40940054","WorldCat Record")</f>
        <v>WorldCat Record</v>
      </c>
      <c r="AU812" s="3" t="s">
        <v>10250</v>
      </c>
      <c r="AV812" s="3" t="s">
        <v>10251</v>
      </c>
      <c r="AW812" s="3" t="s">
        <v>10252</v>
      </c>
      <c r="AX812" s="3" t="s">
        <v>10252</v>
      </c>
      <c r="AY812" s="3" t="s">
        <v>10253</v>
      </c>
      <c r="AZ812" s="3" t="s">
        <v>75</v>
      </c>
      <c r="BB812" s="3" t="s">
        <v>10254</v>
      </c>
      <c r="BC812" s="3" t="s">
        <v>10255</v>
      </c>
      <c r="BD812" s="3" t="s">
        <v>10256</v>
      </c>
    </row>
    <row r="813" spans="1:56" ht="48" customHeight="1" x14ac:dyDescent="0.25">
      <c r="A813" s="7" t="s">
        <v>59</v>
      </c>
      <c r="B813" s="2" t="s">
        <v>10257</v>
      </c>
      <c r="C813" s="2" t="s">
        <v>10258</v>
      </c>
      <c r="D813" s="2" t="s">
        <v>10259</v>
      </c>
      <c r="E813" s="3" t="s">
        <v>159</v>
      </c>
      <c r="F813" s="3" t="s">
        <v>70</v>
      </c>
      <c r="G813" s="3" t="s">
        <v>60</v>
      </c>
      <c r="H813" s="3" t="s">
        <v>70</v>
      </c>
      <c r="I813" s="3" t="s">
        <v>59</v>
      </c>
      <c r="J813" s="3" t="s">
        <v>61</v>
      </c>
      <c r="L813" s="2" t="s">
        <v>10260</v>
      </c>
      <c r="M813" s="3" t="s">
        <v>500</v>
      </c>
      <c r="O813" s="3" t="s">
        <v>64</v>
      </c>
      <c r="P813" s="3" t="s">
        <v>130</v>
      </c>
      <c r="R813" s="3" t="s">
        <v>67</v>
      </c>
      <c r="S813" s="4">
        <v>2</v>
      </c>
      <c r="T813" s="4">
        <v>3</v>
      </c>
      <c r="U813" s="5" t="s">
        <v>3922</v>
      </c>
      <c r="V813" s="5" t="s">
        <v>3922</v>
      </c>
      <c r="W813" s="5" t="s">
        <v>6862</v>
      </c>
      <c r="X813" s="5" t="s">
        <v>10261</v>
      </c>
      <c r="Y813" s="4">
        <v>521</v>
      </c>
      <c r="Z813" s="4">
        <v>448</v>
      </c>
      <c r="AA813" s="4">
        <v>451</v>
      </c>
      <c r="AB813" s="4">
        <v>6</v>
      </c>
      <c r="AC813" s="4">
        <v>6</v>
      </c>
      <c r="AD813" s="4">
        <v>18</v>
      </c>
      <c r="AE813" s="4">
        <v>18</v>
      </c>
      <c r="AF813" s="4">
        <v>6</v>
      </c>
      <c r="AG813" s="4">
        <v>6</v>
      </c>
      <c r="AH813" s="4">
        <v>5</v>
      </c>
      <c r="AI813" s="4">
        <v>5</v>
      </c>
      <c r="AJ813" s="4">
        <v>10</v>
      </c>
      <c r="AK813" s="4">
        <v>10</v>
      </c>
      <c r="AL813" s="4">
        <v>4</v>
      </c>
      <c r="AM813" s="4">
        <v>4</v>
      </c>
      <c r="AN813" s="4">
        <v>0</v>
      </c>
      <c r="AO813" s="4">
        <v>0</v>
      </c>
      <c r="AP813" s="3" t="s">
        <v>59</v>
      </c>
      <c r="AQ813" s="3" t="s">
        <v>70</v>
      </c>
      <c r="AR813" s="6" t="str">
        <f>HYPERLINK("http://catalog.hathitrust.org/Record/010389573","HathiTrust Record")</f>
        <v>HathiTrust Record</v>
      </c>
      <c r="AS813" s="6" t="str">
        <f>HYPERLINK("https://creighton-primo.hosted.exlibrisgroup.com/primo-explore/search?tab=default_tab&amp;search_scope=EVERYTHING&amp;vid=01CRU&amp;lang=en_US&amp;offset=0&amp;query=any,contains,991001791689702656","Catalog Record")</f>
        <v>Catalog Record</v>
      </c>
      <c r="AT813" s="6" t="str">
        <f>HYPERLINK("http://www.worldcat.org/oclc/2258348","WorldCat Record")</f>
        <v>WorldCat Record</v>
      </c>
      <c r="AU813" s="3" t="s">
        <v>10262</v>
      </c>
      <c r="AV813" s="3" t="s">
        <v>10263</v>
      </c>
      <c r="AW813" s="3" t="s">
        <v>10264</v>
      </c>
      <c r="AX813" s="3" t="s">
        <v>10264</v>
      </c>
      <c r="AY813" s="3" t="s">
        <v>10265</v>
      </c>
      <c r="AZ813" s="3" t="s">
        <v>75</v>
      </c>
      <c r="BB813" s="3" t="s">
        <v>10266</v>
      </c>
      <c r="BC813" s="3" t="s">
        <v>10267</v>
      </c>
      <c r="BD813" s="3" t="s">
        <v>10268</v>
      </c>
    </row>
    <row r="814" spans="1:56" ht="48" customHeight="1" x14ac:dyDescent="0.25">
      <c r="A814" s="7" t="s">
        <v>59</v>
      </c>
      <c r="B814" s="2" t="s">
        <v>10257</v>
      </c>
      <c r="C814" s="2" t="s">
        <v>10258</v>
      </c>
      <c r="D814" s="2" t="s">
        <v>10259</v>
      </c>
      <c r="E814" s="3" t="s">
        <v>10269</v>
      </c>
      <c r="F814" s="3" t="s">
        <v>70</v>
      </c>
      <c r="G814" s="3" t="s">
        <v>60</v>
      </c>
      <c r="H814" s="3" t="s">
        <v>59</v>
      </c>
      <c r="I814" s="3" t="s">
        <v>59</v>
      </c>
      <c r="J814" s="3" t="s">
        <v>61</v>
      </c>
      <c r="L814" s="2" t="s">
        <v>10260</v>
      </c>
      <c r="M814" s="3" t="s">
        <v>500</v>
      </c>
      <c r="O814" s="3" t="s">
        <v>64</v>
      </c>
      <c r="P814" s="3" t="s">
        <v>130</v>
      </c>
      <c r="R814" s="3" t="s">
        <v>67</v>
      </c>
      <c r="S814" s="4">
        <v>0</v>
      </c>
      <c r="T814" s="4">
        <v>3</v>
      </c>
      <c r="V814" s="5" t="s">
        <v>3922</v>
      </c>
      <c r="W814" s="5" t="s">
        <v>6862</v>
      </c>
      <c r="X814" s="5" t="s">
        <v>10261</v>
      </c>
      <c r="Y814" s="4">
        <v>521</v>
      </c>
      <c r="Z814" s="4">
        <v>448</v>
      </c>
      <c r="AA814" s="4">
        <v>451</v>
      </c>
      <c r="AB814" s="4">
        <v>6</v>
      </c>
      <c r="AC814" s="4">
        <v>6</v>
      </c>
      <c r="AD814" s="4">
        <v>18</v>
      </c>
      <c r="AE814" s="4">
        <v>18</v>
      </c>
      <c r="AF814" s="4">
        <v>6</v>
      </c>
      <c r="AG814" s="4">
        <v>6</v>
      </c>
      <c r="AH814" s="4">
        <v>5</v>
      </c>
      <c r="AI814" s="4">
        <v>5</v>
      </c>
      <c r="AJ814" s="4">
        <v>10</v>
      </c>
      <c r="AK814" s="4">
        <v>10</v>
      </c>
      <c r="AL814" s="4">
        <v>4</v>
      </c>
      <c r="AM814" s="4">
        <v>4</v>
      </c>
      <c r="AN814" s="4">
        <v>0</v>
      </c>
      <c r="AO814" s="4">
        <v>0</v>
      </c>
      <c r="AP814" s="3" t="s">
        <v>59</v>
      </c>
      <c r="AQ814" s="3" t="s">
        <v>70</v>
      </c>
      <c r="AR814" s="6" t="str">
        <f>HYPERLINK("http://catalog.hathitrust.org/Record/010389573","HathiTrust Record")</f>
        <v>HathiTrust Record</v>
      </c>
      <c r="AS814" s="6" t="str">
        <f>HYPERLINK("https://creighton-primo.hosted.exlibrisgroup.com/primo-explore/search?tab=default_tab&amp;search_scope=EVERYTHING&amp;vid=01CRU&amp;lang=en_US&amp;offset=0&amp;query=any,contains,991001791689702656","Catalog Record")</f>
        <v>Catalog Record</v>
      </c>
      <c r="AT814" s="6" t="str">
        <f>HYPERLINK("http://www.worldcat.org/oclc/2258348","WorldCat Record")</f>
        <v>WorldCat Record</v>
      </c>
      <c r="AU814" s="3" t="s">
        <v>10262</v>
      </c>
      <c r="AV814" s="3" t="s">
        <v>10263</v>
      </c>
      <c r="AW814" s="3" t="s">
        <v>10264</v>
      </c>
      <c r="AX814" s="3" t="s">
        <v>10264</v>
      </c>
      <c r="AY814" s="3" t="s">
        <v>10265</v>
      </c>
      <c r="AZ814" s="3" t="s">
        <v>75</v>
      </c>
      <c r="BB814" s="3" t="s">
        <v>10266</v>
      </c>
      <c r="BC814" s="3" t="s">
        <v>10270</v>
      </c>
      <c r="BD814" s="3" t="s">
        <v>10271</v>
      </c>
    </row>
    <row r="815" spans="1:56" ht="48" customHeight="1" x14ac:dyDescent="0.25">
      <c r="A815" s="7" t="s">
        <v>59</v>
      </c>
      <c r="B815" s="2" t="s">
        <v>10257</v>
      </c>
      <c r="C815" s="2" t="s">
        <v>10258</v>
      </c>
      <c r="D815" s="2" t="s">
        <v>10259</v>
      </c>
      <c r="E815" s="3" t="s">
        <v>58</v>
      </c>
      <c r="F815" s="3" t="s">
        <v>70</v>
      </c>
      <c r="G815" s="3" t="s">
        <v>60</v>
      </c>
      <c r="H815" s="3" t="s">
        <v>59</v>
      </c>
      <c r="I815" s="3" t="s">
        <v>59</v>
      </c>
      <c r="J815" s="3" t="s">
        <v>61</v>
      </c>
      <c r="L815" s="2" t="s">
        <v>10260</v>
      </c>
      <c r="M815" s="3" t="s">
        <v>500</v>
      </c>
      <c r="O815" s="3" t="s">
        <v>64</v>
      </c>
      <c r="P815" s="3" t="s">
        <v>130</v>
      </c>
      <c r="R815" s="3" t="s">
        <v>67</v>
      </c>
      <c r="S815" s="4">
        <v>0</v>
      </c>
      <c r="T815" s="4">
        <v>3</v>
      </c>
      <c r="V815" s="5" t="s">
        <v>3922</v>
      </c>
      <c r="W815" s="5" t="s">
        <v>6862</v>
      </c>
      <c r="X815" s="5" t="s">
        <v>10261</v>
      </c>
      <c r="Y815" s="4">
        <v>521</v>
      </c>
      <c r="Z815" s="4">
        <v>448</v>
      </c>
      <c r="AA815" s="4">
        <v>451</v>
      </c>
      <c r="AB815" s="4">
        <v>6</v>
      </c>
      <c r="AC815" s="4">
        <v>6</v>
      </c>
      <c r="AD815" s="4">
        <v>18</v>
      </c>
      <c r="AE815" s="4">
        <v>18</v>
      </c>
      <c r="AF815" s="4">
        <v>6</v>
      </c>
      <c r="AG815" s="4">
        <v>6</v>
      </c>
      <c r="AH815" s="4">
        <v>5</v>
      </c>
      <c r="AI815" s="4">
        <v>5</v>
      </c>
      <c r="AJ815" s="4">
        <v>10</v>
      </c>
      <c r="AK815" s="4">
        <v>10</v>
      </c>
      <c r="AL815" s="4">
        <v>4</v>
      </c>
      <c r="AM815" s="4">
        <v>4</v>
      </c>
      <c r="AN815" s="4">
        <v>0</v>
      </c>
      <c r="AO815" s="4">
        <v>0</v>
      </c>
      <c r="AP815" s="3" t="s">
        <v>59</v>
      </c>
      <c r="AQ815" s="3" t="s">
        <v>70</v>
      </c>
      <c r="AR815" s="6" t="str">
        <f>HYPERLINK("http://catalog.hathitrust.org/Record/010389573","HathiTrust Record")</f>
        <v>HathiTrust Record</v>
      </c>
      <c r="AS815" s="6" t="str">
        <f>HYPERLINK("https://creighton-primo.hosted.exlibrisgroup.com/primo-explore/search?tab=default_tab&amp;search_scope=EVERYTHING&amp;vid=01CRU&amp;lang=en_US&amp;offset=0&amp;query=any,contains,991001791689702656","Catalog Record")</f>
        <v>Catalog Record</v>
      </c>
      <c r="AT815" s="6" t="str">
        <f>HYPERLINK("http://www.worldcat.org/oclc/2258348","WorldCat Record")</f>
        <v>WorldCat Record</v>
      </c>
      <c r="AU815" s="3" t="s">
        <v>10262</v>
      </c>
      <c r="AV815" s="3" t="s">
        <v>10263</v>
      </c>
      <c r="AW815" s="3" t="s">
        <v>10264</v>
      </c>
      <c r="AX815" s="3" t="s">
        <v>10264</v>
      </c>
      <c r="AY815" s="3" t="s">
        <v>10265</v>
      </c>
      <c r="AZ815" s="3" t="s">
        <v>75</v>
      </c>
      <c r="BB815" s="3" t="s">
        <v>10266</v>
      </c>
      <c r="BC815" s="3" t="s">
        <v>10272</v>
      </c>
      <c r="BD815" s="3" t="s">
        <v>10273</v>
      </c>
    </row>
    <row r="816" spans="1:56" ht="48" customHeight="1" x14ac:dyDescent="0.25">
      <c r="A816" s="7" t="s">
        <v>59</v>
      </c>
      <c r="B816" s="2" t="s">
        <v>10257</v>
      </c>
      <c r="C816" s="2" t="s">
        <v>10258</v>
      </c>
      <c r="D816" s="2" t="s">
        <v>10259</v>
      </c>
      <c r="E816" s="3" t="s">
        <v>10274</v>
      </c>
      <c r="F816" s="3" t="s">
        <v>70</v>
      </c>
      <c r="G816" s="3" t="s">
        <v>60</v>
      </c>
      <c r="H816" s="3" t="s">
        <v>59</v>
      </c>
      <c r="I816" s="3" t="s">
        <v>59</v>
      </c>
      <c r="J816" s="3" t="s">
        <v>61</v>
      </c>
      <c r="L816" s="2" t="s">
        <v>10260</v>
      </c>
      <c r="M816" s="3" t="s">
        <v>500</v>
      </c>
      <c r="O816" s="3" t="s">
        <v>64</v>
      </c>
      <c r="P816" s="3" t="s">
        <v>130</v>
      </c>
      <c r="R816" s="3" t="s">
        <v>67</v>
      </c>
      <c r="S816" s="4">
        <v>0</v>
      </c>
      <c r="T816" s="4">
        <v>3</v>
      </c>
      <c r="V816" s="5" t="s">
        <v>3922</v>
      </c>
      <c r="W816" s="5" t="s">
        <v>6862</v>
      </c>
      <c r="X816" s="5" t="s">
        <v>10261</v>
      </c>
      <c r="Y816" s="4">
        <v>521</v>
      </c>
      <c r="Z816" s="4">
        <v>448</v>
      </c>
      <c r="AA816" s="4">
        <v>451</v>
      </c>
      <c r="AB816" s="4">
        <v>6</v>
      </c>
      <c r="AC816" s="4">
        <v>6</v>
      </c>
      <c r="AD816" s="4">
        <v>18</v>
      </c>
      <c r="AE816" s="4">
        <v>18</v>
      </c>
      <c r="AF816" s="4">
        <v>6</v>
      </c>
      <c r="AG816" s="4">
        <v>6</v>
      </c>
      <c r="AH816" s="4">
        <v>5</v>
      </c>
      <c r="AI816" s="4">
        <v>5</v>
      </c>
      <c r="AJ816" s="4">
        <v>10</v>
      </c>
      <c r="AK816" s="4">
        <v>10</v>
      </c>
      <c r="AL816" s="4">
        <v>4</v>
      </c>
      <c r="AM816" s="4">
        <v>4</v>
      </c>
      <c r="AN816" s="4">
        <v>0</v>
      </c>
      <c r="AO816" s="4">
        <v>0</v>
      </c>
      <c r="AP816" s="3" t="s">
        <v>59</v>
      </c>
      <c r="AQ816" s="3" t="s">
        <v>70</v>
      </c>
      <c r="AR816" s="6" t="str">
        <f>HYPERLINK("http://catalog.hathitrust.org/Record/010389573","HathiTrust Record")</f>
        <v>HathiTrust Record</v>
      </c>
      <c r="AS816" s="6" t="str">
        <f>HYPERLINK("https://creighton-primo.hosted.exlibrisgroup.com/primo-explore/search?tab=default_tab&amp;search_scope=EVERYTHING&amp;vid=01CRU&amp;lang=en_US&amp;offset=0&amp;query=any,contains,991001791689702656","Catalog Record")</f>
        <v>Catalog Record</v>
      </c>
      <c r="AT816" s="6" t="str">
        <f>HYPERLINK("http://www.worldcat.org/oclc/2258348","WorldCat Record")</f>
        <v>WorldCat Record</v>
      </c>
      <c r="AU816" s="3" t="s">
        <v>10262</v>
      </c>
      <c r="AV816" s="3" t="s">
        <v>10263</v>
      </c>
      <c r="AW816" s="3" t="s">
        <v>10264</v>
      </c>
      <c r="AX816" s="3" t="s">
        <v>10264</v>
      </c>
      <c r="AY816" s="3" t="s">
        <v>10265</v>
      </c>
      <c r="AZ816" s="3" t="s">
        <v>75</v>
      </c>
      <c r="BB816" s="3" t="s">
        <v>10266</v>
      </c>
      <c r="BC816" s="3" t="s">
        <v>10275</v>
      </c>
      <c r="BD816" s="3" t="s">
        <v>10276</v>
      </c>
    </row>
    <row r="817" spans="1:56" ht="48" customHeight="1" x14ac:dyDescent="0.25">
      <c r="A817" s="7" t="s">
        <v>59</v>
      </c>
      <c r="B817" s="2" t="s">
        <v>10277</v>
      </c>
      <c r="C817" s="2" t="s">
        <v>10278</v>
      </c>
      <c r="D817" s="2" t="s">
        <v>10279</v>
      </c>
      <c r="F817" s="3" t="s">
        <v>59</v>
      </c>
      <c r="G817" s="3" t="s">
        <v>60</v>
      </c>
      <c r="H817" s="3" t="s">
        <v>59</v>
      </c>
      <c r="I817" s="3" t="s">
        <v>59</v>
      </c>
      <c r="J817" s="3" t="s">
        <v>61</v>
      </c>
      <c r="K817" s="2" t="s">
        <v>10280</v>
      </c>
      <c r="L817" s="2" t="s">
        <v>10281</v>
      </c>
      <c r="M817" s="3" t="s">
        <v>376</v>
      </c>
      <c r="O817" s="3" t="s">
        <v>64</v>
      </c>
      <c r="P817" s="3" t="s">
        <v>130</v>
      </c>
      <c r="R817" s="3" t="s">
        <v>67</v>
      </c>
      <c r="S817" s="4">
        <v>3</v>
      </c>
      <c r="T817" s="4">
        <v>3</v>
      </c>
      <c r="U817" s="5" t="s">
        <v>10282</v>
      </c>
      <c r="V817" s="5" t="s">
        <v>10282</v>
      </c>
      <c r="W817" s="5" t="s">
        <v>9316</v>
      </c>
      <c r="X817" s="5" t="s">
        <v>9316</v>
      </c>
      <c r="Y817" s="4">
        <v>569</v>
      </c>
      <c r="Z817" s="4">
        <v>436</v>
      </c>
      <c r="AA817" s="4">
        <v>442</v>
      </c>
      <c r="AB817" s="4">
        <v>6</v>
      </c>
      <c r="AC817" s="4">
        <v>6</v>
      </c>
      <c r="AD817" s="4">
        <v>21</v>
      </c>
      <c r="AE817" s="4">
        <v>21</v>
      </c>
      <c r="AF817" s="4">
        <v>6</v>
      </c>
      <c r="AG817" s="4">
        <v>6</v>
      </c>
      <c r="AH817" s="4">
        <v>4</v>
      </c>
      <c r="AI817" s="4">
        <v>4</v>
      </c>
      <c r="AJ817" s="4">
        <v>9</v>
      </c>
      <c r="AK817" s="4">
        <v>9</v>
      </c>
      <c r="AL817" s="4">
        <v>5</v>
      </c>
      <c r="AM817" s="4">
        <v>5</v>
      </c>
      <c r="AN817" s="4">
        <v>0</v>
      </c>
      <c r="AO817" s="4">
        <v>0</v>
      </c>
      <c r="AP817" s="3" t="s">
        <v>59</v>
      </c>
      <c r="AQ817" s="3" t="s">
        <v>59</v>
      </c>
      <c r="AS817" s="6" t="str">
        <f>HYPERLINK("https://creighton-primo.hosted.exlibrisgroup.com/primo-explore/search?tab=default_tab&amp;search_scope=EVERYTHING&amp;vid=01CRU&amp;lang=en_US&amp;offset=0&amp;query=any,contains,991003012879702656","Catalog Record")</f>
        <v>Catalog Record</v>
      </c>
      <c r="AT817" s="6" t="str">
        <f>HYPERLINK("http://www.worldcat.org/oclc/579120","WorldCat Record")</f>
        <v>WorldCat Record</v>
      </c>
      <c r="AU817" s="3" t="s">
        <v>10283</v>
      </c>
      <c r="AV817" s="3" t="s">
        <v>10284</v>
      </c>
      <c r="AW817" s="3" t="s">
        <v>10285</v>
      </c>
      <c r="AX817" s="3" t="s">
        <v>10285</v>
      </c>
      <c r="AY817" s="3" t="s">
        <v>10286</v>
      </c>
      <c r="AZ817" s="3" t="s">
        <v>75</v>
      </c>
      <c r="BB817" s="3" t="s">
        <v>10287</v>
      </c>
      <c r="BC817" s="3" t="s">
        <v>10288</v>
      </c>
      <c r="BD817" s="3" t="s">
        <v>10289</v>
      </c>
    </row>
    <row r="818" spans="1:56" ht="48" customHeight="1" x14ac:dyDescent="0.25">
      <c r="A818" s="7" t="s">
        <v>59</v>
      </c>
      <c r="B818" s="2" t="s">
        <v>10290</v>
      </c>
      <c r="C818" s="2" t="s">
        <v>10291</v>
      </c>
      <c r="D818" s="2" t="s">
        <v>10292</v>
      </c>
      <c r="E818" s="3" t="s">
        <v>723</v>
      </c>
      <c r="F818" s="3" t="s">
        <v>70</v>
      </c>
      <c r="G818" s="3" t="s">
        <v>60</v>
      </c>
      <c r="H818" s="3" t="s">
        <v>59</v>
      </c>
      <c r="I818" s="3" t="s">
        <v>59</v>
      </c>
      <c r="J818" s="3" t="s">
        <v>61</v>
      </c>
      <c r="K818" s="2" t="s">
        <v>10293</v>
      </c>
      <c r="L818" s="2" t="s">
        <v>10294</v>
      </c>
      <c r="M818" s="3" t="s">
        <v>98</v>
      </c>
      <c r="O818" s="3" t="s">
        <v>64</v>
      </c>
      <c r="P818" s="3" t="s">
        <v>1201</v>
      </c>
      <c r="R818" s="3" t="s">
        <v>67</v>
      </c>
      <c r="S818" s="4">
        <v>2</v>
      </c>
      <c r="T818" s="4">
        <v>4</v>
      </c>
      <c r="U818" s="5" t="s">
        <v>10282</v>
      </c>
      <c r="V818" s="5" t="s">
        <v>10282</v>
      </c>
      <c r="W818" s="5" t="s">
        <v>9158</v>
      </c>
      <c r="X818" s="5" t="s">
        <v>9158</v>
      </c>
      <c r="Y818" s="4">
        <v>239</v>
      </c>
      <c r="Z818" s="4">
        <v>180</v>
      </c>
      <c r="AA818" s="4">
        <v>182</v>
      </c>
      <c r="AB818" s="4">
        <v>3</v>
      </c>
      <c r="AC818" s="4">
        <v>3</v>
      </c>
      <c r="AD818" s="4">
        <v>5</v>
      </c>
      <c r="AE818" s="4">
        <v>5</v>
      </c>
      <c r="AF818" s="4">
        <v>1</v>
      </c>
      <c r="AG818" s="4">
        <v>1</v>
      </c>
      <c r="AH818" s="4">
        <v>1</v>
      </c>
      <c r="AI818" s="4">
        <v>1</v>
      </c>
      <c r="AJ818" s="4">
        <v>2</v>
      </c>
      <c r="AK818" s="4">
        <v>2</v>
      </c>
      <c r="AL818" s="4">
        <v>2</v>
      </c>
      <c r="AM818" s="4">
        <v>2</v>
      </c>
      <c r="AN818" s="4">
        <v>0</v>
      </c>
      <c r="AO818" s="4">
        <v>0</v>
      </c>
      <c r="AP818" s="3" t="s">
        <v>59</v>
      </c>
      <c r="AQ818" s="3" t="s">
        <v>70</v>
      </c>
      <c r="AR818" s="6" t="str">
        <f>HYPERLINK("http://catalog.hathitrust.org/Record/001555791","HathiTrust Record")</f>
        <v>HathiTrust Record</v>
      </c>
      <c r="AS818" s="6" t="str">
        <f>HYPERLINK("https://creighton-primo.hosted.exlibrisgroup.com/primo-explore/search?tab=default_tab&amp;search_scope=EVERYTHING&amp;vid=01CRU&amp;lang=en_US&amp;offset=0&amp;query=any,contains,991002182719702656","Catalog Record")</f>
        <v>Catalog Record</v>
      </c>
      <c r="AT818" s="6" t="str">
        <f>HYPERLINK("http://www.worldcat.org/oclc/279192","WorldCat Record")</f>
        <v>WorldCat Record</v>
      </c>
      <c r="AU818" s="3" t="s">
        <v>10295</v>
      </c>
      <c r="AV818" s="3" t="s">
        <v>10296</v>
      </c>
      <c r="AW818" s="3" t="s">
        <v>10297</v>
      </c>
      <c r="AX818" s="3" t="s">
        <v>10297</v>
      </c>
      <c r="AY818" s="3" t="s">
        <v>10298</v>
      </c>
      <c r="AZ818" s="3" t="s">
        <v>75</v>
      </c>
      <c r="BB818" s="3" t="s">
        <v>10299</v>
      </c>
      <c r="BC818" s="3" t="s">
        <v>10300</v>
      </c>
      <c r="BD818" s="3" t="s">
        <v>10301</v>
      </c>
    </row>
    <row r="819" spans="1:56" ht="48" customHeight="1" x14ac:dyDescent="0.25">
      <c r="A819" s="7" t="s">
        <v>59</v>
      </c>
      <c r="B819" s="2" t="s">
        <v>10290</v>
      </c>
      <c r="C819" s="2" t="s">
        <v>10291</v>
      </c>
      <c r="D819" s="2" t="s">
        <v>10292</v>
      </c>
      <c r="E819" s="3" t="s">
        <v>713</v>
      </c>
      <c r="F819" s="3" t="s">
        <v>70</v>
      </c>
      <c r="G819" s="3" t="s">
        <v>60</v>
      </c>
      <c r="H819" s="3" t="s">
        <v>59</v>
      </c>
      <c r="I819" s="3" t="s">
        <v>59</v>
      </c>
      <c r="J819" s="3" t="s">
        <v>61</v>
      </c>
      <c r="K819" s="2" t="s">
        <v>10293</v>
      </c>
      <c r="L819" s="2" t="s">
        <v>10294</v>
      </c>
      <c r="M819" s="3" t="s">
        <v>98</v>
      </c>
      <c r="O819" s="3" t="s">
        <v>64</v>
      </c>
      <c r="P819" s="3" t="s">
        <v>1201</v>
      </c>
      <c r="R819" s="3" t="s">
        <v>67</v>
      </c>
      <c r="S819" s="4">
        <v>2</v>
      </c>
      <c r="T819" s="4">
        <v>4</v>
      </c>
      <c r="U819" s="5" t="s">
        <v>10282</v>
      </c>
      <c r="V819" s="5" t="s">
        <v>10282</v>
      </c>
      <c r="W819" s="5" t="s">
        <v>9158</v>
      </c>
      <c r="X819" s="5" t="s">
        <v>9158</v>
      </c>
      <c r="Y819" s="4">
        <v>239</v>
      </c>
      <c r="Z819" s="4">
        <v>180</v>
      </c>
      <c r="AA819" s="4">
        <v>182</v>
      </c>
      <c r="AB819" s="4">
        <v>3</v>
      </c>
      <c r="AC819" s="4">
        <v>3</v>
      </c>
      <c r="AD819" s="4">
        <v>5</v>
      </c>
      <c r="AE819" s="4">
        <v>5</v>
      </c>
      <c r="AF819" s="4">
        <v>1</v>
      </c>
      <c r="AG819" s="4">
        <v>1</v>
      </c>
      <c r="AH819" s="4">
        <v>1</v>
      </c>
      <c r="AI819" s="4">
        <v>1</v>
      </c>
      <c r="AJ819" s="4">
        <v>2</v>
      </c>
      <c r="AK819" s="4">
        <v>2</v>
      </c>
      <c r="AL819" s="4">
        <v>2</v>
      </c>
      <c r="AM819" s="4">
        <v>2</v>
      </c>
      <c r="AN819" s="4">
        <v>0</v>
      </c>
      <c r="AO819" s="4">
        <v>0</v>
      </c>
      <c r="AP819" s="3" t="s">
        <v>59</v>
      </c>
      <c r="AQ819" s="3" t="s">
        <v>70</v>
      </c>
      <c r="AR819" s="6" t="str">
        <f>HYPERLINK("http://catalog.hathitrust.org/Record/001555791","HathiTrust Record")</f>
        <v>HathiTrust Record</v>
      </c>
      <c r="AS819" s="6" t="str">
        <f>HYPERLINK("https://creighton-primo.hosted.exlibrisgroup.com/primo-explore/search?tab=default_tab&amp;search_scope=EVERYTHING&amp;vid=01CRU&amp;lang=en_US&amp;offset=0&amp;query=any,contains,991002182719702656","Catalog Record")</f>
        <v>Catalog Record</v>
      </c>
      <c r="AT819" s="6" t="str">
        <f>HYPERLINK("http://www.worldcat.org/oclc/279192","WorldCat Record")</f>
        <v>WorldCat Record</v>
      </c>
      <c r="AU819" s="3" t="s">
        <v>10295</v>
      </c>
      <c r="AV819" s="3" t="s">
        <v>10296</v>
      </c>
      <c r="AW819" s="3" t="s">
        <v>10297</v>
      </c>
      <c r="AX819" s="3" t="s">
        <v>10297</v>
      </c>
      <c r="AY819" s="3" t="s">
        <v>10298</v>
      </c>
      <c r="AZ819" s="3" t="s">
        <v>75</v>
      </c>
      <c r="BB819" s="3" t="s">
        <v>10299</v>
      </c>
      <c r="BC819" s="3" t="s">
        <v>10302</v>
      </c>
      <c r="BD819" s="3" t="s">
        <v>10303</v>
      </c>
    </row>
    <row r="820" spans="1:56" ht="48" customHeight="1" x14ac:dyDescent="0.25">
      <c r="A820" s="7" t="s">
        <v>59</v>
      </c>
      <c r="B820" s="2" t="s">
        <v>10304</v>
      </c>
      <c r="C820" s="2" t="s">
        <v>10305</v>
      </c>
      <c r="D820" s="2" t="s">
        <v>10306</v>
      </c>
      <c r="F820" s="3" t="s">
        <v>59</v>
      </c>
      <c r="G820" s="3" t="s">
        <v>60</v>
      </c>
      <c r="H820" s="3" t="s">
        <v>59</v>
      </c>
      <c r="I820" s="3" t="s">
        <v>59</v>
      </c>
      <c r="J820" s="3" t="s">
        <v>61</v>
      </c>
      <c r="L820" s="2" t="s">
        <v>10307</v>
      </c>
      <c r="M820" s="3" t="s">
        <v>925</v>
      </c>
      <c r="O820" s="3" t="s">
        <v>64</v>
      </c>
      <c r="P820" s="3" t="s">
        <v>912</v>
      </c>
      <c r="Q820" s="2" t="s">
        <v>10308</v>
      </c>
      <c r="R820" s="3" t="s">
        <v>67</v>
      </c>
      <c r="S820" s="4">
        <v>2</v>
      </c>
      <c r="T820" s="4">
        <v>2</v>
      </c>
      <c r="U820" s="5" t="s">
        <v>10309</v>
      </c>
      <c r="V820" s="5" t="s">
        <v>10309</v>
      </c>
      <c r="W820" s="5" t="s">
        <v>10310</v>
      </c>
      <c r="X820" s="5" t="s">
        <v>10310</v>
      </c>
      <c r="Y820" s="4">
        <v>132</v>
      </c>
      <c r="Z820" s="4">
        <v>90</v>
      </c>
      <c r="AA820" s="4">
        <v>159</v>
      </c>
      <c r="AB820" s="4">
        <v>2</v>
      </c>
      <c r="AC820" s="4">
        <v>3</v>
      </c>
      <c r="AD820" s="4">
        <v>2</v>
      </c>
      <c r="AE820" s="4">
        <v>5</v>
      </c>
      <c r="AF820" s="4">
        <v>0</v>
      </c>
      <c r="AG820" s="4">
        <v>1</v>
      </c>
      <c r="AH820" s="4">
        <v>0</v>
      </c>
      <c r="AI820" s="4">
        <v>1</v>
      </c>
      <c r="AJ820" s="4">
        <v>1</v>
      </c>
      <c r="AK820" s="4">
        <v>2</v>
      </c>
      <c r="AL820" s="4">
        <v>1</v>
      </c>
      <c r="AM820" s="4">
        <v>2</v>
      </c>
      <c r="AN820" s="4">
        <v>0</v>
      </c>
      <c r="AO820" s="4">
        <v>0</v>
      </c>
      <c r="AP820" s="3" t="s">
        <v>59</v>
      </c>
      <c r="AQ820" s="3" t="s">
        <v>70</v>
      </c>
      <c r="AR820" s="6" t="str">
        <f>HYPERLINK("http://catalog.hathitrust.org/Record/003959503","HathiTrust Record")</f>
        <v>HathiTrust Record</v>
      </c>
      <c r="AS820" s="6" t="str">
        <f>HYPERLINK("https://creighton-primo.hosted.exlibrisgroup.com/primo-explore/search?tab=default_tab&amp;search_scope=EVERYTHING&amp;vid=01CRU&amp;lang=en_US&amp;offset=0&amp;query=any,contains,991002849999702656","Catalog Record")</f>
        <v>Catalog Record</v>
      </c>
      <c r="AT820" s="6" t="str">
        <f>HYPERLINK("http://www.worldcat.org/oclc/37553743","WorldCat Record")</f>
        <v>WorldCat Record</v>
      </c>
      <c r="AU820" s="3" t="s">
        <v>10311</v>
      </c>
      <c r="AV820" s="3" t="s">
        <v>10312</v>
      </c>
      <c r="AW820" s="3" t="s">
        <v>10313</v>
      </c>
      <c r="AX820" s="3" t="s">
        <v>10313</v>
      </c>
      <c r="AY820" s="3" t="s">
        <v>10314</v>
      </c>
      <c r="AZ820" s="3" t="s">
        <v>75</v>
      </c>
      <c r="BB820" s="3" t="s">
        <v>10315</v>
      </c>
      <c r="BC820" s="3" t="s">
        <v>10316</v>
      </c>
      <c r="BD820" s="3" t="s">
        <v>10317</v>
      </c>
    </row>
    <row r="821" spans="1:56" ht="48" customHeight="1" x14ac:dyDescent="0.25">
      <c r="A821" s="7" t="s">
        <v>59</v>
      </c>
      <c r="B821" s="2" t="s">
        <v>10318</v>
      </c>
      <c r="C821" s="2" t="s">
        <v>10319</v>
      </c>
      <c r="D821" s="2" t="s">
        <v>10320</v>
      </c>
      <c r="F821" s="3" t="s">
        <v>59</v>
      </c>
      <c r="G821" s="3" t="s">
        <v>60</v>
      </c>
      <c r="H821" s="3" t="s">
        <v>59</v>
      </c>
      <c r="I821" s="3" t="s">
        <v>59</v>
      </c>
      <c r="J821" s="3" t="s">
        <v>61</v>
      </c>
      <c r="K821" s="2" t="s">
        <v>10321</v>
      </c>
      <c r="L821" s="2" t="s">
        <v>10322</v>
      </c>
      <c r="M821" s="3" t="s">
        <v>98</v>
      </c>
      <c r="O821" s="3" t="s">
        <v>64</v>
      </c>
      <c r="P821" s="3" t="s">
        <v>1201</v>
      </c>
      <c r="Q821" s="2" t="s">
        <v>10323</v>
      </c>
      <c r="R821" s="3" t="s">
        <v>67</v>
      </c>
      <c r="S821" s="4">
        <v>4</v>
      </c>
      <c r="T821" s="4">
        <v>4</v>
      </c>
      <c r="U821" s="5" t="s">
        <v>10282</v>
      </c>
      <c r="V821" s="5" t="s">
        <v>10282</v>
      </c>
      <c r="W821" s="5" t="s">
        <v>10324</v>
      </c>
      <c r="X821" s="5" t="s">
        <v>10324</v>
      </c>
      <c r="Y821" s="4">
        <v>281</v>
      </c>
      <c r="Z821" s="4">
        <v>216</v>
      </c>
      <c r="AA821" s="4">
        <v>238</v>
      </c>
      <c r="AB821" s="4">
        <v>2</v>
      </c>
      <c r="AC821" s="4">
        <v>2</v>
      </c>
      <c r="AD821" s="4">
        <v>7</v>
      </c>
      <c r="AE821" s="4">
        <v>7</v>
      </c>
      <c r="AF821" s="4">
        <v>1</v>
      </c>
      <c r="AG821" s="4">
        <v>1</v>
      </c>
      <c r="AH821" s="4">
        <v>1</v>
      </c>
      <c r="AI821" s="4">
        <v>1</v>
      </c>
      <c r="AJ821" s="4">
        <v>5</v>
      </c>
      <c r="AK821" s="4">
        <v>5</v>
      </c>
      <c r="AL821" s="4">
        <v>1</v>
      </c>
      <c r="AM821" s="4">
        <v>1</v>
      </c>
      <c r="AN821" s="4">
        <v>0</v>
      </c>
      <c r="AO821" s="4">
        <v>0</v>
      </c>
      <c r="AP821" s="3" t="s">
        <v>59</v>
      </c>
      <c r="AQ821" s="3" t="s">
        <v>70</v>
      </c>
      <c r="AR821" s="6" t="str">
        <f>HYPERLINK("http://catalog.hathitrust.org/Record/002077223","HathiTrust Record")</f>
        <v>HathiTrust Record</v>
      </c>
      <c r="AS821" s="6" t="str">
        <f>HYPERLINK("https://creighton-primo.hosted.exlibrisgroup.com/primo-explore/search?tab=default_tab&amp;search_scope=EVERYTHING&amp;vid=01CRU&amp;lang=en_US&amp;offset=0&amp;query=any,contains,991000879239702656","Catalog Record")</f>
        <v>Catalog Record</v>
      </c>
      <c r="AT821" s="6" t="str">
        <f>HYPERLINK("http://www.worldcat.org/oclc/152181","WorldCat Record")</f>
        <v>WorldCat Record</v>
      </c>
      <c r="AU821" s="3" t="s">
        <v>10325</v>
      </c>
      <c r="AV821" s="3" t="s">
        <v>10326</v>
      </c>
      <c r="AW821" s="3" t="s">
        <v>10327</v>
      </c>
      <c r="AX821" s="3" t="s">
        <v>10327</v>
      </c>
      <c r="AY821" s="3" t="s">
        <v>10328</v>
      </c>
      <c r="AZ821" s="3" t="s">
        <v>75</v>
      </c>
      <c r="BB821" s="3" t="s">
        <v>10329</v>
      </c>
      <c r="BC821" s="3" t="s">
        <v>10330</v>
      </c>
      <c r="BD821" s="3" t="s">
        <v>10331</v>
      </c>
    </row>
    <row r="822" spans="1:56" ht="48" customHeight="1" x14ac:dyDescent="0.25">
      <c r="A822" s="7" t="s">
        <v>59</v>
      </c>
      <c r="B822" s="2" t="s">
        <v>10332</v>
      </c>
      <c r="C822" s="2" t="s">
        <v>10333</v>
      </c>
      <c r="D822" s="2" t="s">
        <v>10334</v>
      </c>
      <c r="F822" s="3" t="s">
        <v>59</v>
      </c>
      <c r="G822" s="3" t="s">
        <v>60</v>
      </c>
      <c r="H822" s="3" t="s">
        <v>59</v>
      </c>
      <c r="I822" s="3" t="s">
        <v>59</v>
      </c>
      <c r="J822" s="3" t="s">
        <v>61</v>
      </c>
      <c r="K822" s="2" t="s">
        <v>10335</v>
      </c>
      <c r="L822" s="2" t="s">
        <v>10336</v>
      </c>
      <c r="M822" s="3" t="s">
        <v>10337</v>
      </c>
      <c r="O822" s="3" t="s">
        <v>64</v>
      </c>
      <c r="P822" s="3" t="s">
        <v>130</v>
      </c>
      <c r="R822" s="3" t="s">
        <v>67</v>
      </c>
      <c r="S822" s="4">
        <v>2</v>
      </c>
      <c r="T822" s="4">
        <v>2</v>
      </c>
      <c r="U822" s="5" t="s">
        <v>10149</v>
      </c>
      <c r="V822" s="5" t="s">
        <v>10149</v>
      </c>
      <c r="W822" s="5" t="s">
        <v>9158</v>
      </c>
      <c r="X822" s="5" t="s">
        <v>9158</v>
      </c>
      <c r="Y822" s="4">
        <v>134</v>
      </c>
      <c r="Z822" s="4">
        <v>125</v>
      </c>
      <c r="AA822" s="4">
        <v>205</v>
      </c>
      <c r="AB822" s="4">
        <v>4</v>
      </c>
      <c r="AC822" s="4">
        <v>4</v>
      </c>
      <c r="AD822" s="4">
        <v>4</v>
      </c>
      <c r="AE822" s="4">
        <v>5</v>
      </c>
      <c r="AF822" s="4">
        <v>2</v>
      </c>
      <c r="AG822" s="4">
        <v>3</v>
      </c>
      <c r="AH822" s="4">
        <v>0</v>
      </c>
      <c r="AI822" s="4">
        <v>0</v>
      </c>
      <c r="AJ822" s="4">
        <v>1</v>
      </c>
      <c r="AK822" s="4">
        <v>1</v>
      </c>
      <c r="AL822" s="4">
        <v>2</v>
      </c>
      <c r="AM822" s="4">
        <v>2</v>
      </c>
      <c r="AN822" s="4">
        <v>0</v>
      </c>
      <c r="AO822" s="4">
        <v>0</v>
      </c>
      <c r="AP822" s="3" t="s">
        <v>59</v>
      </c>
      <c r="AQ822" s="3" t="s">
        <v>59</v>
      </c>
      <c r="AS822" s="6" t="str">
        <f>HYPERLINK("https://creighton-primo.hosted.exlibrisgroup.com/primo-explore/search?tab=default_tab&amp;search_scope=EVERYTHING&amp;vid=01CRU&amp;lang=en_US&amp;offset=0&amp;query=any,contains,991003822619702656","Catalog Record")</f>
        <v>Catalog Record</v>
      </c>
      <c r="AT822" s="6" t="str">
        <f>HYPERLINK("http://www.worldcat.org/oclc/1562558","WorldCat Record")</f>
        <v>WorldCat Record</v>
      </c>
      <c r="AU822" s="3" t="s">
        <v>10338</v>
      </c>
      <c r="AV822" s="3" t="s">
        <v>10339</v>
      </c>
      <c r="AW822" s="3" t="s">
        <v>10340</v>
      </c>
      <c r="AX822" s="3" t="s">
        <v>10340</v>
      </c>
      <c r="AY822" s="3" t="s">
        <v>10341</v>
      </c>
      <c r="AZ822" s="3" t="s">
        <v>75</v>
      </c>
      <c r="BC822" s="3" t="s">
        <v>10342</v>
      </c>
      <c r="BD822" s="3" t="s">
        <v>10343</v>
      </c>
    </row>
    <row r="823" spans="1:56" ht="48" customHeight="1" x14ac:dyDescent="0.25">
      <c r="A823" s="7" t="s">
        <v>59</v>
      </c>
      <c r="B823" s="2" t="s">
        <v>10344</v>
      </c>
      <c r="C823" s="2" t="s">
        <v>10345</v>
      </c>
      <c r="D823" s="2" t="s">
        <v>10346</v>
      </c>
      <c r="F823" s="3" t="s">
        <v>59</v>
      </c>
      <c r="G823" s="3" t="s">
        <v>60</v>
      </c>
      <c r="H823" s="3" t="s">
        <v>59</v>
      </c>
      <c r="I823" s="3" t="s">
        <v>59</v>
      </c>
      <c r="J823" s="3" t="s">
        <v>61</v>
      </c>
      <c r="L823" s="2" t="s">
        <v>10347</v>
      </c>
      <c r="M823" s="3" t="s">
        <v>1817</v>
      </c>
      <c r="N823" s="2" t="s">
        <v>731</v>
      </c>
      <c r="O823" s="3" t="s">
        <v>64</v>
      </c>
      <c r="P823" s="3" t="s">
        <v>10348</v>
      </c>
      <c r="Q823" s="2" t="s">
        <v>10349</v>
      </c>
      <c r="R823" s="3" t="s">
        <v>67</v>
      </c>
      <c r="S823" s="4">
        <v>3</v>
      </c>
      <c r="T823" s="4">
        <v>3</v>
      </c>
      <c r="U823" s="5" t="s">
        <v>10350</v>
      </c>
      <c r="V823" s="5" t="s">
        <v>10350</v>
      </c>
      <c r="W823" s="5" t="s">
        <v>10351</v>
      </c>
      <c r="X823" s="5" t="s">
        <v>10351</v>
      </c>
      <c r="Y823" s="4">
        <v>291</v>
      </c>
      <c r="Z823" s="4">
        <v>191</v>
      </c>
      <c r="AA823" s="4">
        <v>193</v>
      </c>
      <c r="AB823" s="4">
        <v>1</v>
      </c>
      <c r="AC823" s="4">
        <v>1</v>
      </c>
      <c r="AD823" s="4">
        <v>5</v>
      </c>
      <c r="AE823" s="4">
        <v>5</v>
      </c>
      <c r="AF823" s="4">
        <v>0</v>
      </c>
      <c r="AG823" s="4">
        <v>0</v>
      </c>
      <c r="AH823" s="4">
        <v>4</v>
      </c>
      <c r="AI823" s="4">
        <v>4</v>
      </c>
      <c r="AJ823" s="4">
        <v>3</v>
      </c>
      <c r="AK823" s="4">
        <v>3</v>
      </c>
      <c r="AL823" s="4">
        <v>0</v>
      </c>
      <c r="AM823" s="4">
        <v>0</v>
      </c>
      <c r="AN823" s="4">
        <v>0</v>
      </c>
      <c r="AO823" s="4">
        <v>0</v>
      </c>
      <c r="AP823" s="3" t="s">
        <v>59</v>
      </c>
      <c r="AQ823" s="3" t="s">
        <v>70</v>
      </c>
      <c r="AR823" s="6" t="str">
        <f>HYPERLINK("http://catalog.hathitrust.org/Record/004321891","HathiTrust Record")</f>
        <v>HathiTrust Record</v>
      </c>
      <c r="AS823" s="6" t="str">
        <f>HYPERLINK("https://creighton-primo.hosted.exlibrisgroup.com/primo-explore/search?tab=default_tab&amp;search_scope=EVERYTHING&amp;vid=01CRU&amp;lang=en_US&amp;offset=0&amp;query=any,contains,991004366019702656","Catalog Record")</f>
        <v>Catalog Record</v>
      </c>
      <c r="AT823" s="6" t="str">
        <f>HYPERLINK("http://www.worldcat.org/oclc/51613865","WorldCat Record")</f>
        <v>WorldCat Record</v>
      </c>
      <c r="AU823" s="3" t="s">
        <v>10352</v>
      </c>
      <c r="AV823" s="3" t="s">
        <v>10353</v>
      </c>
      <c r="AW823" s="3" t="s">
        <v>10354</v>
      </c>
      <c r="AX823" s="3" t="s">
        <v>10354</v>
      </c>
      <c r="AY823" s="3" t="s">
        <v>10355</v>
      </c>
      <c r="AZ823" s="3" t="s">
        <v>75</v>
      </c>
      <c r="BB823" s="3" t="s">
        <v>10356</v>
      </c>
      <c r="BC823" s="3" t="s">
        <v>10357</v>
      </c>
      <c r="BD823" s="3" t="s">
        <v>10358</v>
      </c>
    </row>
    <row r="824" spans="1:56" ht="48" customHeight="1" x14ac:dyDescent="0.25">
      <c r="A824" s="7" t="s">
        <v>59</v>
      </c>
      <c r="B824" s="2" t="s">
        <v>10359</v>
      </c>
      <c r="C824" s="2" t="s">
        <v>10360</v>
      </c>
      <c r="D824" s="2" t="s">
        <v>10361</v>
      </c>
      <c r="F824" s="3" t="s">
        <v>59</v>
      </c>
      <c r="G824" s="3" t="s">
        <v>60</v>
      </c>
      <c r="H824" s="3" t="s">
        <v>59</v>
      </c>
      <c r="I824" s="3" t="s">
        <v>59</v>
      </c>
      <c r="J824" s="3" t="s">
        <v>61</v>
      </c>
      <c r="L824" s="2" t="s">
        <v>10362</v>
      </c>
      <c r="M824" s="3" t="s">
        <v>219</v>
      </c>
      <c r="O824" s="3" t="s">
        <v>64</v>
      </c>
      <c r="P824" s="3" t="s">
        <v>130</v>
      </c>
      <c r="R824" s="3" t="s">
        <v>67</v>
      </c>
      <c r="S824" s="4">
        <v>17</v>
      </c>
      <c r="T824" s="4">
        <v>17</v>
      </c>
      <c r="U824" s="5" t="s">
        <v>10363</v>
      </c>
      <c r="V824" s="5" t="s">
        <v>10363</v>
      </c>
      <c r="W824" s="5" t="s">
        <v>3155</v>
      </c>
      <c r="X824" s="5" t="s">
        <v>3155</v>
      </c>
      <c r="Y824" s="4">
        <v>740</v>
      </c>
      <c r="Z824" s="4">
        <v>502</v>
      </c>
      <c r="AA824" s="4">
        <v>543</v>
      </c>
      <c r="AB824" s="4">
        <v>4</v>
      </c>
      <c r="AC824" s="4">
        <v>4</v>
      </c>
      <c r="AD824" s="4">
        <v>29</v>
      </c>
      <c r="AE824" s="4">
        <v>31</v>
      </c>
      <c r="AF824" s="4">
        <v>11</v>
      </c>
      <c r="AG824" s="4">
        <v>12</v>
      </c>
      <c r="AH824" s="4">
        <v>8</v>
      </c>
      <c r="AI824" s="4">
        <v>9</v>
      </c>
      <c r="AJ824" s="4">
        <v>15</v>
      </c>
      <c r="AK824" s="4">
        <v>15</v>
      </c>
      <c r="AL824" s="4">
        <v>3</v>
      </c>
      <c r="AM824" s="4">
        <v>3</v>
      </c>
      <c r="AN824" s="4">
        <v>1</v>
      </c>
      <c r="AO824" s="4">
        <v>1</v>
      </c>
      <c r="AP824" s="3" t="s">
        <v>59</v>
      </c>
      <c r="AQ824" s="3" t="s">
        <v>70</v>
      </c>
      <c r="AR824" s="6" t="str">
        <f>HYPERLINK("http://catalog.hathitrust.org/Record/001833148","HathiTrust Record")</f>
        <v>HathiTrust Record</v>
      </c>
      <c r="AS824" s="6" t="str">
        <f>HYPERLINK("https://creighton-primo.hosted.exlibrisgroup.com/primo-explore/search?tab=default_tab&amp;search_scope=EVERYTHING&amp;vid=01CRU&amp;lang=en_US&amp;offset=0&amp;query=any,contains,991001490619702656","Catalog Record")</f>
        <v>Catalog Record</v>
      </c>
      <c r="AT824" s="6" t="str">
        <f>HYPERLINK("http://www.worldcat.org/oclc/19722716","WorldCat Record")</f>
        <v>WorldCat Record</v>
      </c>
      <c r="AU824" s="3" t="s">
        <v>10364</v>
      </c>
      <c r="AV824" s="3" t="s">
        <v>10365</v>
      </c>
      <c r="AW824" s="3" t="s">
        <v>10366</v>
      </c>
      <c r="AX824" s="3" t="s">
        <v>10366</v>
      </c>
      <c r="AY824" s="3" t="s">
        <v>10367</v>
      </c>
      <c r="AZ824" s="3" t="s">
        <v>75</v>
      </c>
      <c r="BB824" s="3" t="s">
        <v>10368</v>
      </c>
      <c r="BC824" s="3" t="s">
        <v>10369</v>
      </c>
      <c r="BD824" s="3" t="s">
        <v>10370</v>
      </c>
    </row>
    <row r="825" spans="1:56" ht="48" customHeight="1" x14ac:dyDescent="0.25">
      <c r="A825" s="7" t="s">
        <v>59</v>
      </c>
      <c r="B825" s="2" t="s">
        <v>10371</v>
      </c>
      <c r="C825" s="2" t="s">
        <v>10372</v>
      </c>
      <c r="D825" s="2" t="s">
        <v>10373</v>
      </c>
      <c r="F825" s="3" t="s">
        <v>59</v>
      </c>
      <c r="G825" s="3" t="s">
        <v>60</v>
      </c>
      <c r="H825" s="3" t="s">
        <v>59</v>
      </c>
      <c r="I825" s="3" t="s">
        <v>70</v>
      </c>
      <c r="J825" s="3" t="s">
        <v>61</v>
      </c>
      <c r="K825" s="2" t="s">
        <v>10374</v>
      </c>
      <c r="L825" s="2" t="s">
        <v>10375</v>
      </c>
      <c r="M825" s="3" t="s">
        <v>333</v>
      </c>
      <c r="O825" s="3" t="s">
        <v>64</v>
      </c>
      <c r="P825" s="3" t="s">
        <v>130</v>
      </c>
      <c r="R825" s="3" t="s">
        <v>67</v>
      </c>
      <c r="S825" s="4">
        <v>17</v>
      </c>
      <c r="T825" s="4">
        <v>17</v>
      </c>
      <c r="U825" s="5" t="s">
        <v>10376</v>
      </c>
      <c r="V825" s="5" t="s">
        <v>10376</v>
      </c>
      <c r="W825" s="5" t="s">
        <v>8101</v>
      </c>
      <c r="X825" s="5" t="s">
        <v>8101</v>
      </c>
      <c r="Y825" s="4">
        <v>1435</v>
      </c>
      <c r="Z825" s="4">
        <v>1287</v>
      </c>
      <c r="AA825" s="4">
        <v>1593</v>
      </c>
      <c r="AB825" s="4">
        <v>6</v>
      </c>
      <c r="AC825" s="4">
        <v>8</v>
      </c>
      <c r="AD825" s="4">
        <v>35</v>
      </c>
      <c r="AE825" s="4">
        <v>48</v>
      </c>
      <c r="AF825" s="4">
        <v>11</v>
      </c>
      <c r="AG825" s="4">
        <v>20</v>
      </c>
      <c r="AH825" s="4">
        <v>9</v>
      </c>
      <c r="AI825" s="4">
        <v>10</v>
      </c>
      <c r="AJ825" s="4">
        <v>17</v>
      </c>
      <c r="AK825" s="4">
        <v>22</v>
      </c>
      <c r="AL825" s="4">
        <v>4</v>
      </c>
      <c r="AM825" s="4">
        <v>6</v>
      </c>
      <c r="AN825" s="4">
        <v>2</v>
      </c>
      <c r="AO825" s="4">
        <v>2</v>
      </c>
      <c r="AP825" s="3" t="s">
        <v>59</v>
      </c>
      <c r="AQ825" s="3" t="s">
        <v>70</v>
      </c>
      <c r="AR825" s="6" t="str">
        <f>HYPERLINK("http://catalog.hathitrust.org/Record/000468577","HathiTrust Record")</f>
        <v>HathiTrust Record</v>
      </c>
      <c r="AS825" s="6" t="str">
        <f>HYPERLINK("https://creighton-primo.hosted.exlibrisgroup.com/primo-explore/search?tab=default_tab&amp;search_scope=EVERYTHING&amp;vid=01CRU&amp;lang=en_US&amp;offset=0&amp;query=any,contains,991000701679702656","Catalog Record")</f>
        <v>Catalog Record</v>
      </c>
      <c r="AT825" s="6" t="str">
        <f>HYPERLINK("http://www.worldcat.org/oclc/12550351","WorldCat Record")</f>
        <v>WorldCat Record</v>
      </c>
      <c r="AU825" s="3" t="s">
        <v>10377</v>
      </c>
      <c r="AV825" s="3" t="s">
        <v>10378</v>
      </c>
      <c r="AW825" s="3" t="s">
        <v>10379</v>
      </c>
      <c r="AX825" s="3" t="s">
        <v>10379</v>
      </c>
      <c r="AY825" s="3" t="s">
        <v>10380</v>
      </c>
      <c r="AZ825" s="3" t="s">
        <v>75</v>
      </c>
      <c r="BB825" s="3" t="s">
        <v>10381</v>
      </c>
      <c r="BC825" s="3" t="s">
        <v>10382</v>
      </c>
      <c r="BD825" s="3" t="s">
        <v>10383</v>
      </c>
    </row>
    <row r="826" spans="1:56" ht="48" customHeight="1" x14ac:dyDescent="0.25">
      <c r="A826" s="7" t="s">
        <v>59</v>
      </c>
      <c r="B826" s="2" t="s">
        <v>10384</v>
      </c>
      <c r="C826" s="2" t="s">
        <v>10385</v>
      </c>
      <c r="D826" s="2" t="s">
        <v>10386</v>
      </c>
      <c r="F826" s="3" t="s">
        <v>59</v>
      </c>
      <c r="G826" s="3" t="s">
        <v>60</v>
      </c>
      <c r="H826" s="3" t="s">
        <v>59</v>
      </c>
      <c r="I826" s="3" t="s">
        <v>59</v>
      </c>
      <c r="J826" s="3" t="s">
        <v>61</v>
      </c>
      <c r="K826" s="2" t="s">
        <v>10387</v>
      </c>
      <c r="L826" s="2" t="s">
        <v>10388</v>
      </c>
      <c r="M826" s="3" t="s">
        <v>1611</v>
      </c>
      <c r="O826" s="3" t="s">
        <v>64</v>
      </c>
      <c r="P826" s="3" t="s">
        <v>130</v>
      </c>
      <c r="R826" s="3" t="s">
        <v>67</v>
      </c>
      <c r="S826" s="4">
        <v>1</v>
      </c>
      <c r="T826" s="4">
        <v>1</v>
      </c>
      <c r="U826" s="5" t="s">
        <v>10389</v>
      </c>
      <c r="V826" s="5" t="s">
        <v>10389</v>
      </c>
      <c r="W826" s="5" t="s">
        <v>10389</v>
      </c>
      <c r="X826" s="5" t="s">
        <v>10389</v>
      </c>
      <c r="Y826" s="4">
        <v>494</v>
      </c>
      <c r="Z826" s="4">
        <v>462</v>
      </c>
      <c r="AA826" s="4">
        <v>467</v>
      </c>
      <c r="AB826" s="4">
        <v>3</v>
      </c>
      <c r="AC826" s="4">
        <v>3</v>
      </c>
      <c r="AD826" s="4">
        <v>7</v>
      </c>
      <c r="AE826" s="4">
        <v>7</v>
      </c>
      <c r="AF826" s="4">
        <v>0</v>
      </c>
      <c r="AG826" s="4">
        <v>0</v>
      </c>
      <c r="AH826" s="4">
        <v>1</v>
      </c>
      <c r="AI826" s="4">
        <v>1</v>
      </c>
      <c r="AJ826" s="4">
        <v>5</v>
      </c>
      <c r="AK826" s="4">
        <v>5</v>
      </c>
      <c r="AL826" s="4">
        <v>2</v>
      </c>
      <c r="AM826" s="4">
        <v>2</v>
      </c>
      <c r="AN826" s="4">
        <v>0</v>
      </c>
      <c r="AO826" s="4">
        <v>0</v>
      </c>
      <c r="AP826" s="3" t="s">
        <v>59</v>
      </c>
      <c r="AQ826" s="3" t="s">
        <v>59</v>
      </c>
      <c r="AS826" s="6" t="str">
        <f>HYPERLINK("https://creighton-primo.hosted.exlibrisgroup.com/primo-explore/search?tab=default_tab&amp;search_scope=EVERYTHING&amp;vid=01CRU&amp;lang=en_US&amp;offset=0&amp;query=any,contains,991004407489702656","Catalog Record")</f>
        <v>Catalog Record</v>
      </c>
      <c r="AT826" s="6" t="str">
        <f>HYPERLINK("http://www.worldcat.org/oclc/33359890","WorldCat Record")</f>
        <v>WorldCat Record</v>
      </c>
      <c r="AU826" s="3" t="s">
        <v>10390</v>
      </c>
      <c r="AV826" s="3" t="s">
        <v>10391</v>
      </c>
      <c r="AW826" s="3" t="s">
        <v>10392</v>
      </c>
      <c r="AX826" s="3" t="s">
        <v>10392</v>
      </c>
      <c r="AY826" s="3" t="s">
        <v>10393</v>
      </c>
      <c r="AZ826" s="3" t="s">
        <v>75</v>
      </c>
      <c r="BB826" s="3" t="s">
        <v>10394</v>
      </c>
      <c r="BC826" s="3" t="s">
        <v>10395</v>
      </c>
      <c r="BD826" s="3" t="s">
        <v>10396</v>
      </c>
    </row>
    <row r="827" spans="1:56" ht="48" customHeight="1" x14ac:dyDescent="0.25">
      <c r="A827" s="7" t="s">
        <v>59</v>
      </c>
      <c r="B827" s="2" t="s">
        <v>10397</v>
      </c>
      <c r="C827" s="2" t="s">
        <v>10398</v>
      </c>
      <c r="D827" s="2" t="s">
        <v>10399</v>
      </c>
      <c r="F827" s="3" t="s">
        <v>59</v>
      </c>
      <c r="G827" s="3" t="s">
        <v>60</v>
      </c>
      <c r="H827" s="3" t="s">
        <v>59</v>
      </c>
      <c r="I827" s="3" t="s">
        <v>59</v>
      </c>
      <c r="J827" s="3" t="s">
        <v>61</v>
      </c>
      <c r="K827" s="2" t="s">
        <v>10400</v>
      </c>
      <c r="L827" s="2" t="s">
        <v>10401</v>
      </c>
      <c r="M827" s="3" t="s">
        <v>348</v>
      </c>
      <c r="O827" s="3" t="s">
        <v>64</v>
      </c>
      <c r="P827" s="3" t="s">
        <v>264</v>
      </c>
      <c r="R827" s="3" t="s">
        <v>67</v>
      </c>
      <c r="S827" s="4">
        <v>9</v>
      </c>
      <c r="T827" s="4">
        <v>9</v>
      </c>
      <c r="U827" s="5" t="s">
        <v>6659</v>
      </c>
      <c r="V827" s="5" t="s">
        <v>6659</v>
      </c>
      <c r="W827" s="5" t="s">
        <v>10402</v>
      </c>
      <c r="X827" s="5" t="s">
        <v>10402</v>
      </c>
      <c r="Y827" s="4">
        <v>852</v>
      </c>
      <c r="Z827" s="4">
        <v>739</v>
      </c>
      <c r="AA827" s="4">
        <v>990</v>
      </c>
      <c r="AB827" s="4">
        <v>9</v>
      </c>
      <c r="AC827" s="4">
        <v>9</v>
      </c>
      <c r="AD827" s="4">
        <v>33</v>
      </c>
      <c r="AE827" s="4">
        <v>46</v>
      </c>
      <c r="AF827" s="4">
        <v>10</v>
      </c>
      <c r="AG827" s="4">
        <v>18</v>
      </c>
      <c r="AH827" s="4">
        <v>7</v>
      </c>
      <c r="AI827" s="4">
        <v>11</v>
      </c>
      <c r="AJ827" s="4">
        <v>13</v>
      </c>
      <c r="AK827" s="4">
        <v>19</v>
      </c>
      <c r="AL827" s="4">
        <v>7</v>
      </c>
      <c r="AM827" s="4">
        <v>7</v>
      </c>
      <c r="AN827" s="4">
        <v>1</v>
      </c>
      <c r="AO827" s="4">
        <v>1</v>
      </c>
      <c r="AP827" s="3" t="s">
        <v>59</v>
      </c>
      <c r="AQ827" s="3" t="s">
        <v>70</v>
      </c>
      <c r="AR827" s="6" t="str">
        <f>HYPERLINK("http://catalog.hathitrust.org/Record/002732105","HathiTrust Record")</f>
        <v>HathiTrust Record</v>
      </c>
      <c r="AS827" s="6" t="str">
        <f>HYPERLINK("https://creighton-primo.hosted.exlibrisgroup.com/primo-explore/search?tab=default_tab&amp;search_scope=EVERYTHING&amp;vid=01CRU&amp;lang=en_US&amp;offset=0&amp;query=any,contains,991002121989702656","Catalog Record")</f>
        <v>Catalog Record</v>
      </c>
      <c r="AT827" s="6" t="str">
        <f>HYPERLINK("http://www.worldcat.org/oclc/27186489","WorldCat Record")</f>
        <v>WorldCat Record</v>
      </c>
      <c r="AU827" s="3" t="s">
        <v>10403</v>
      </c>
      <c r="AV827" s="3" t="s">
        <v>10404</v>
      </c>
      <c r="AW827" s="3" t="s">
        <v>10405</v>
      </c>
      <c r="AX827" s="3" t="s">
        <v>10405</v>
      </c>
      <c r="AY827" s="3" t="s">
        <v>10406</v>
      </c>
      <c r="AZ827" s="3" t="s">
        <v>75</v>
      </c>
      <c r="BB827" s="3" t="s">
        <v>10407</v>
      </c>
      <c r="BC827" s="3" t="s">
        <v>10408</v>
      </c>
      <c r="BD827" s="3" t="s">
        <v>10409</v>
      </c>
    </row>
    <row r="828" spans="1:56" ht="48" customHeight="1" x14ac:dyDescent="0.25">
      <c r="A828" s="7" t="s">
        <v>59</v>
      </c>
      <c r="B828" s="2" t="s">
        <v>10410</v>
      </c>
      <c r="C828" s="2" t="s">
        <v>10411</v>
      </c>
      <c r="D828" s="2" t="s">
        <v>10412</v>
      </c>
      <c r="F828" s="3" t="s">
        <v>59</v>
      </c>
      <c r="G828" s="3" t="s">
        <v>60</v>
      </c>
      <c r="H828" s="3" t="s">
        <v>59</v>
      </c>
      <c r="I828" s="3" t="s">
        <v>59</v>
      </c>
      <c r="J828" s="3" t="s">
        <v>61</v>
      </c>
      <c r="K828" s="2" t="s">
        <v>10413</v>
      </c>
      <c r="L828" s="2" t="s">
        <v>10414</v>
      </c>
      <c r="M828" s="3" t="s">
        <v>1611</v>
      </c>
      <c r="N828" s="2" t="s">
        <v>731</v>
      </c>
      <c r="O828" s="3" t="s">
        <v>64</v>
      </c>
      <c r="P828" s="3" t="s">
        <v>130</v>
      </c>
      <c r="R828" s="3" t="s">
        <v>67</v>
      </c>
      <c r="S828" s="4">
        <v>3</v>
      </c>
      <c r="T828" s="4">
        <v>3</v>
      </c>
      <c r="U828" s="5" t="s">
        <v>3154</v>
      </c>
      <c r="V828" s="5" t="s">
        <v>3154</v>
      </c>
      <c r="W828" s="5" t="s">
        <v>10415</v>
      </c>
      <c r="X828" s="5" t="s">
        <v>10415</v>
      </c>
      <c r="Y828" s="4">
        <v>1073</v>
      </c>
      <c r="Z828" s="4">
        <v>1003</v>
      </c>
      <c r="AA828" s="4">
        <v>1007</v>
      </c>
      <c r="AB828" s="4">
        <v>10</v>
      </c>
      <c r="AC828" s="4">
        <v>10</v>
      </c>
      <c r="AD828" s="4">
        <v>33</v>
      </c>
      <c r="AE828" s="4">
        <v>33</v>
      </c>
      <c r="AF828" s="4">
        <v>12</v>
      </c>
      <c r="AG828" s="4">
        <v>12</v>
      </c>
      <c r="AH828" s="4">
        <v>7</v>
      </c>
      <c r="AI828" s="4">
        <v>7</v>
      </c>
      <c r="AJ828" s="4">
        <v>17</v>
      </c>
      <c r="AK828" s="4">
        <v>17</v>
      </c>
      <c r="AL828" s="4">
        <v>5</v>
      </c>
      <c r="AM828" s="4">
        <v>5</v>
      </c>
      <c r="AN828" s="4">
        <v>0</v>
      </c>
      <c r="AO828" s="4">
        <v>0</v>
      </c>
      <c r="AP828" s="3" t="s">
        <v>59</v>
      </c>
      <c r="AQ828" s="3" t="s">
        <v>59</v>
      </c>
      <c r="AS828" s="6" t="str">
        <f>HYPERLINK("https://creighton-primo.hosted.exlibrisgroup.com/primo-explore/search?tab=default_tab&amp;search_scope=EVERYTHING&amp;vid=01CRU&amp;lang=en_US&amp;offset=0&amp;query=any,contains,991002582999702656","Catalog Record")</f>
        <v>Catalog Record</v>
      </c>
      <c r="AT828" s="6" t="str">
        <f>HYPERLINK("http://www.worldcat.org/oclc/33862740","WorldCat Record")</f>
        <v>WorldCat Record</v>
      </c>
      <c r="AU828" s="3" t="s">
        <v>10416</v>
      </c>
      <c r="AV828" s="3" t="s">
        <v>10417</v>
      </c>
      <c r="AW828" s="3" t="s">
        <v>10418</v>
      </c>
      <c r="AX828" s="3" t="s">
        <v>10418</v>
      </c>
      <c r="AY828" s="3" t="s">
        <v>10419</v>
      </c>
      <c r="AZ828" s="3" t="s">
        <v>75</v>
      </c>
      <c r="BB828" s="3" t="s">
        <v>10420</v>
      </c>
      <c r="BC828" s="3" t="s">
        <v>10421</v>
      </c>
      <c r="BD828" s="3" t="s">
        <v>10422</v>
      </c>
    </row>
    <row r="829" spans="1:56" ht="48" customHeight="1" x14ac:dyDescent="0.25">
      <c r="A829" s="7" t="s">
        <v>59</v>
      </c>
      <c r="B829" s="2" t="s">
        <v>10423</v>
      </c>
      <c r="C829" s="2" t="s">
        <v>10424</v>
      </c>
      <c r="D829" s="2" t="s">
        <v>10425</v>
      </c>
      <c r="F829" s="3" t="s">
        <v>59</v>
      </c>
      <c r="G829" s="3" t="s">
        <v>60</v>
      </c>
      <c r="H829" s="3" t="s">
        <v>59</v>
      </c>
      <c r="I829" s="3" t="s">
        <v>59</v>
      </c>
      <c r="J829" s="3" t="s">
        <v>61</v>
      </c>
      <c r="L829" s="2" t="s">
        <v>10426</v>
      </c>
      <c r="M829" s="3" t="s">
        <v>604</v>
      </c>
      <c r="O829" s="3" t="s">
        <v>64</v>
      </c>
      <c r="P829" s="3" t="s">
        <v>130</v>
      </c>
      <c r="Q829" s="2" t="s">
        <v>10427</v>
      </c>
      <c r="R829" s="3" t="s">
        <v>67</v>
      </c>
      <c r="S829" s="4">
        <v>5</v>
      </c>
      <c r="T829" s="4">
        <v>5</v>
      </c>
      <c r="U829" s="5" t="s">
        <v>10428</v>
      </c>
      <c r="V829" s="5" t="s">
        <v>10428</v>
      </c>
      <c r="W829" s="5" t="s">
        <v>10429</v>
      </c>
      <c r="X829" s="5" t="s">
        <v>10429</v>
      </c>
      <c r="Y829" s="4">
        <v>155</v>
      </c>
      <c r="Z829" s="4">
        <v>130</v>
      </c>
      <c r="AA829" s="4">
        <v>165</v>
      </c>
      <c r="AB829" s="4">
        <v>3</v>
      </c>
      <c r="AC829" s="4">
        <v>3</v>
      </c>
      <c r="AD829" s="4">
        <v>5</v>
      </c>
      <c r="AE829" s="4">
        <v>5</v>
      </c>
      <c r="AF829" s="4">
        <v>0</v>
      </c>
      <c r="AG829" s="4">
        <v>0</v>
      </c>
      <c r="AH829" s="4">
        <v>1</v>
      </c>
      <c r="AI829" s="4">
        <v>1</v>
      </c>
      <c r="AJ829" s="4">
        <v>3</v>
      </c>
      <c r="AK829" s="4">
        <v>3</v>
      </c>
      <c r="AL829" s="4">
        <v>2</v>
      </c>
      <c r="AM829" s="4">
        <v>2</v>
      </c>
      <c r="AN829" s="4">
        <v>0</v>
      </c>
      <c r="AO829" s="4">
        <v>0</v>
      </c>
      <c r="AP829" s="3" t="s">
        <v>59</v>
      </c>
      <c r="AQ829" s="3" t="s">
        <v>59</v>
      </c>
      <c r="AS829" s="6" t="str">
        <f>HYPERLINK("https://creighton-primo.hosted.exlibrisgroup.com/primo-explore/search?tab=default_tab&amp;search_scope=EVERYTHING&amp;vid=01CRU&amp;lang=en_US&amp;offset=0&amp;query=any,contains,991005347569702656","Catalog Record")</f>
        <v>Catalog Record</v>
      </c>
      <c r="AT829" s="6" t="str">
        <f>HYPERLINK("http://www.worldcat.org/oclc/32346702","WorldCat Record")</f>
        <v>WorldCat Record</v>
      </c>
      <c r="AU829" s="3" t="s">
        <v>10430</v>
      </c>
      <c r="AV829" s="3" t="s">
        <v>10431</v>
      </c>
      <c r="AW829" s="3" t="s">
        <v>10432</v>
      </c>
      <c r="AX829" s="3" t="s">
        <v>10432</v>
      </c>
      <c r="AY829" s="3" t="s">
        <v>10433</v>
      </c>
      <c r="AZ829" s="3" t="s">
        <v>75</v>
      </c>
      <c r="BB829" s="3" t="s">
        <v>10434</v>
      </c>
      <c r="BC829" s="3" t="s">
        <v>10435</v>
      </c>
      <c r="BD829" s="3" t="s">
        <v>10436</v>
      </c>
    </row>
    <row r="830" spans="1:56" ht="48" customHeight="1" x14ac:dyDescent="0.25">
      <c r="A830" s="7" t="s">
        <v>59</v>
      </c>
      <c r="B830" s="2" t="s">
        <v>10437</v>
      </c>
      <c r="C830" s="2" t="s">
        <v>10438</v>
      </c>
      <c r="D830" s="2" t="s">
        <v>10439</v>
      </c>
      <c r="F830" s="3" t="s">
        <v>59</v>
      </c>
      <c r="G830" s="3" t="s">
        <v>60</v>
      </c>
      <c r="H830" s="3" t="s">
        <v>70</v>
      </c>
      <c r="I830" s="3" t="s">
        <v>59</v>
      </c>
      <c r="J830" s="3" t="s">
        <v>61</v>
      </c>
      <c r="K830" s="2" t="s">
        <v>10440</v>
      </c>
      <c r="L830" s="2" t="s">
        <v>10441</v>
      </c>
      <c r="M830" s="3" t="s">
        <v>2183</v>
      </c>
      <c r="O830" s="3" t="s">
        <v>64</v>
      </c>
      <c r="P830" s="3" t="s">
        <v>84</v>
      </c>
      <c r="Q830" s="2" t="s">
        <v>10442</v>
      </c>
      <c r="R830" s="3" t="s">
        <v>67</v>
      </c>
      <c r="S830" s="4">
        <v>0</v>
      </c>
      <c r="T830" s="4">
        <v>5</v>
      </c>
      <c r="V830" s="5" t="s">
        <v>10443</v>
      </c>
      <c r="W830" s="5" t="s">
        <v>3767</v>
      </c>
      <c r="X830" s="5" t="s">
        <v>3767</v>
      </c>
      <c r="Y830" s="4">
        <v>223</v>
      </c>
      <c r="Z830" s="4">
        <v>139</v>
      </c>
      <c r="AA830" s="4">
        <v>195</v>
      </c>
      <c r="AB830" s="4">
        <v>3</v>
      </c>
      <c r="AC830" s="4">
        <v>3</v>
      </c>
      <c r="AD830" s="4">
        <v>5</v>
      </c>
      <c r="AE830" s="4">
        <v>7</v>
      </c>
      <c r="AF830" s="4">
        <v>1</v>
      </c>
      <c r="AG830" s="4">
        <v>1</v>
      </c>
      <c r="AH830" s="4">
        <v>2</v>
      </c>
      <c r="AI830" s="4">
        <v>4</v>
      </c>
      <c r="AJ830" s="4">
        <v>2</v>
      </c>
      <c r="AK830" s="4">
        <v>3</v>
      </c>
      <c r="AL830" s="4">
        <v>1</v>
      </c>
      <c r="AM830" s="4">
        <v>1</v>
      </c>
      <c r="AN830" s="4">
        <v>0</v>
      </c>
      <c r="AO830" s="4">
        <v>0</v>
      </c>
      <c r="AP830" s="3" t="s">
        <v>59</v>
      </c>
      <c r="AQ830" s="3" t="s">
        <v>70</v>
      </c>
      <c r="AR830" s="6" t="str">
        <f>HYPERLINK("http://catalog.hathitrust.org/Record/002076364","HathiTrust Record")</f>
        <v>HathiTrust Record</v>
      </c>
      <c r="AS830" s="6" t="str">
        <f>HYPERLINK("https://creighton-primo.hosted.exlibrisgroup.com/primo-explore/search?tab=default_tab&amp;search_scope=EVERYTHING&amp;vid=01CRU&amp;lang=en_US&amp;offset=0&amp;query=any,contains,991001771439702656","Catalog Record")</f>
        <v>Catalog Record</v>
      </c>
      <c r="AT830" s="6" t="str">
        <f>HYPERLINK("http://www.worldcat.org/oclc/2397337","WorldCat Record")</f>
        <v>WorldCat Record</v>
      </c>
      <c r="AU830" s="3" t="s">
        <v>10444</v>
      </c>
      <c r="AV830" s="3" t="s">
        <v>10445</v>
      </c>
      <c r="AW830" s="3" t="s">
        <v>10446</v>
      </c>
      <c r="AX830" s="3" t="s">
        <v>10446</v>
      </c>
      <c r="AY830" s="3" t="s">
        <v>10447</v>
      </c>
      <c r="AZ830" s="3" t="s">
        <v>75</v>
      </c>
      <c r="BC830" s="3" t="s">
        <v>10448</v>
      </c>
      <c r="BD830" s="3" t="s">
        <v>10449</v>
      </c>
    </row>
    <row r="831" spans="1:56" ht="48" customHeight="1" x14ac:dyDescent="0.25">
      <c r="A831" s="7" t="s">
        <v>59</v>
      </c>
      <c r="B831" s="2" t="s">
        <v>10450</v>
      </c>
      <c r="C831" s="2" t="s">
        <v>10451</v>
      </c>
      <c r="D831" s="2" t="s">
        <v>10452</v>
      </c>
      <c r="F831" s="3" t="s">
        <v>59</v>
      </c>
      <c r="G831" s="3" t="s">
        <v>60</v>
      </c>
      <c r="H831" s="3" t="s">
        <v>59</v>
      </c>
      <c r="I831" s="3" t="s">
        <v>59</v>
      </c>
      <c r="J831" s="3" t="s">
        <v>61</v>
      </c>
      <c r="K831" s="2" t="s">
        <v>10453</v>
      </c>
      <c r="L831" s="2" t="s">
        <v>7602</v>
      </c>
      <c r="M831" s="3" t="s">
        <v>6695</v>
      </c>
      <c r="O831" s="3" t="s">
        <v>64</v>
      </c>
      <c r="P831" s="3" t="s">
        <v>84</v>
      </c>
      <c r="R831" s="3" t="s">
        <v>67</v>
      </c>
      <c r="S831" s="4">
        <v>2</v>
      </c>
      <c r="T831" s="4">
        <v>2</v>
      </c>
      <c r="U831" s="5" t="s">
        <v>860</v>
      </c>
      <c r="V831" s="5" t="s">
        <v>860</v>
      </c>
      <c r="W831" s="5" t="s">
        <v>1704</v>
      </c>
      <c r="X831" s="5" t="s">
        <v>1704</v>
      </c>
      <c r="Y831" s="4">
        <v>452</v>
      </c>
      <c r="Z831" s="4">
        <v>331</v>
      </c>
      <c r="AA831" s="4">
        <v>334</v>
      </c>
      <c r="AB831" s="4">
        <v>3</v>
      </c>
      <c r="AC831" s="4">
        <v>3</v>
      </c>
      <c r="AD831" s="4">
        <v>12</v>
      </c>
      <c r="AE831" s="4">
        <v>12</v>
      </c>
      <c r="AF831" s="4">
        <v>2</v>
      </c>
      <c r="AG831" s="4">
        <v>2</v>
      </c>
      <c r="AH831" s="4">
        <v>4</v>
      </c>
      <c r="AI831" s="4">
        <v>4</v>
      </c>
      <c r="AJ831" s="4">
        <v>7</v>
      </c>
      <c r="AK831" s="4">
        <v>7</v>
      </c>
      <c r="AL831" s="4">
        <v>2</v>
      </c>
      <c r="AM831" s="4">
        <v>2</v>
      </c>
      <c r="AN831" s="4">
        <v>0</v>
      </c>
      <c r="AO831" s="4">
        <v>0</v>
      </c>
      <c r="AP831" s="3" t="s">
        <v>59</v>
      </c>
      <c r="AQ831" s="3" t="s">
        <v>70</v>
      </c>
      <c r="AR831" s="6" t="str">
        <f>HYPERLINK("http://catalog.hathitrust.org/Record/001553412","HathiTrust Record")</f>
        <v>HathiTrust Record</v>
      </c>
      <c r="AS831" s="6" t="str">
        <f>HYPERLINK("https://creighton-primo.hosted.exlibrisgroup.com/primo-explore/search?tab=default_tab&amp;search_scope=EVERYTHING&amp;vid=01CRU&amp;lang=en_US&amp;offset=0&amp;query=any,contains,991002052879702656","Catalog Record")</f>
        <v>Catalog Record</v>
      </c>
      <c r="AT831" s="6" t="str">
        <f>HYPERLINK("http://www.worldcat.org/oclc/262095","WorldCat Record")</f>
        <v>WorldCat Record</v>
      </c>
      <c r="AU831" s="3" t="s">
        <v>10454</v>
      </c>
      <c r="AV831" s="3" t="s">
        <v>10455</v>
      </c>
      <c r="AW831" s="3" t="s">
        <v>10456</v>
      </c>
      <c r="AX831" s="3" t="s">
        <v>10456</v>
      </c>
      <c r="AY831" s="3" t="s">
        <v>10457</v>
      </c>
      <c r="AZ831" s="3" t="s">
        <v>75</v>
      </c>
      <c r="BC831" s="3" t="s">
        <v>10458</v>
      </c>
      <c r="BD831" s="3" t="s">
        <v>10459</v>
      </c>
    </row>
    <row r="832" spans="1:56" ht="48" customHeight="1" x14ac:dyDescent="0.25">
      <c r="A832" s="7" t="s">
        <v>59</v>
      </c>
      <c r="B832" s="2" t="s">
        <v>10460</v>
      </c>
      <c r="C832" s="2" t="s">
        <v>10461</v>
      </c>
      <c r="D832" s="2" t="s">
        <v>10462</v>
      </c>
      <c r="F832" s="3" t="s">
        <v>59</v>
      </c>
      <c r="G832" s="3" t="s">
        <v>60</v>
      </c>
      <c r="H832" s="3" t="s">
        <v>59</v>
      </c>
      <c r="I832" s="3" t="s">
        <v>59</v>
      </c>
      <c r="J832" s="3" t="s">
        <v>61</v>
      </c>
      <c r="L832" s="2" t="s">
        <v>10463</v>
      </c>
      <c r="M832" s="3" t="s">
        <v>549</v>
      </c>
      <c r="O832" s="3" t="s">
        <v>64</v>
      </c>
      <c r="P832" s="3" t="s">
        <v>130</v>
      </c>
      <c r="R832" s="3" t="s">
        <v>67</v>
      </c>
      <c r="S832" s="4">
        <v>5</v>
      </c>
      <c r="T832" s="4">
        <v>5</v>
      </c>
      <c r="U832" s="5" t="s">
        <v>8393</v>
      </c>
      <c r="V832" s="5" t="s">
        <v>8393</v>
      </c>
      <c r="W832" s="5" t="s">
        <v>2950</v>
      </c>
      <c r="X832" s="5" t="s">
        <v>2950</v>
      </c>
      <c r="Y832" s="4">
        <v>395</v>
      </c>
      <c r="Z832" s="4">
        <v>357</v>
      </c>
      <c r="AA832" s="4">
        <v>396</v>
      </c>
      <c r="AB832" s="4">
        <v>6</v>
      </c>
      <c r="AC832" s="4">
        <v>6</v>
      </c>
      <c r="AD832" s="4">
        <v>14</v>
      </c>
      <c r="AE832" s="4">
        <v>15</v>
      </c>
      <c r="AF832" s="4">
        <v>3</v>
      </c>
      <c r="AG832" s="4">
        <v>4</v>
      </c>
      <c r="AH832" s="4">
        <v>4</v>
      </c>
      <c r="AI832" s="4">
        <v>4</v>
      </c>
      <c r="AJ832" s="4">
        <v>5</v>
      </c>
      <c r="AK832" s="4">
        <v>5</v>
      </c>
      <c r="AL832" s="4">
        <v>5</v>
      </c>
      <c r="AM832" s="4">
        <v>5</v>
      </c>
      <c r="AN832" s="4">
        <v>0</v>
      </c>
      <c r="AO832" s="4">
        <v>0</v>
      </c>
      <c r="AP832" s="3" t="s">
        <v>59</v>
      </c>
      <c r="AQ832" s="3" t="s">
        <v>70</v>
      </c>
      <c r="AR832" s="6" t="str">
        <f>HYPERLINK("http://catalog.hathitrust.org/Record/004416399","HathiTrust Record")</f>
        <v>HathiTrust Record</v>
      </c>
      <c r="AS832" s="6" t="str">
        <f>HYPERLINK("https://creighton-primo.hosted.exlibrisgroup.com/primo-explore/search?tab=default_tab&amp;search_scope=EVERYTHING&amp;vid=01CRU&amp;lang=en_US&amp;offset=0&amp;query=any,contains,991004092649702656","Catalog Record")</f>
        <v>Catalog Record</v>
      </c>
      <c r="AT832" s="6" t="str">
        <f>HYPERLINK("http://www.worldcat.org/oclc/2346807","WorldCat Record")</f>
        <v>WorldCat Record</v>
      </c>
      <c r="AU832" s="3" t="s">
        <v>10464</v>
      </c>
      <c r="AV832" s="3" t="s">
        <v>10465</v>
      </c>
      <c r="AW832" s="3" t="s">
        <v>10466</v>
      </c>
      <c r="AX832" s="3" t="s">
        <v>10466</v>
      </c>
      <c r="AY832" s="3" t="s">
        <v>10467</v>
      </c>
      <c r="AZ832" s="3" t="s">
        <v>75</v>
      </c>
      <c r="BB832" s="3" t="s">
        <v>10468</v>
      </c>
      <c r="BC832" s="3" t="s">
        <v>10469</v>
      </c>
      <c r="BD832" s="3" t="s">
        <v>10470</v>
      </c>
    </row>
    <row r="833" spans="1:56" ht="48" customHeight="1" x14ac:dyDescent="0.25">
      <c r="A833" s="7" t="s">
        <v>59</v>
      </c>
      <c r="B833" s="2" t="s">
        <v>10471</v>
      </c>
      <c r="C833" s="2" t="s">
        <v>10472</v>
      </c>
      <c r="D833" s="2" t="s">
        <v>10473</v>
      </c>
      <c r="F833" s="3" t="s">
        <v>59</v>
      </c>
      <c r="G833" s="3" t="s">
        <v>60</v>
      </c>
      <c r="H833" s="3" t="s">
        <v>59</v>
      </c>
      <c r="I833" s="3" t="s">
        <v>59</v>
      </c>
      <c r="J833" s="3" t="s">
        <v>61</v>
      </c>
      <c r="L833" s="2" t="s">
        <v>457</v>
      </c>
      <c r="M833" s="3" t="s">
        <v>145</v>
      </c>
      <c r="O833" s="3" t="s">
        <v>64</v>
      </c>
      <c r="P833" s="3" t="s">
        <v>130</v>
      </c>
      <c r="R833" s="3" t="s">
        <v>67</v>
      </c>
      <c r="S833" s="4">
        <v>1</v>
      </c>
      <c r="T833" s="4">
        <v>1</v>
      </c>
      <c r="U833" s="5" t="s">
        <v>10474</v>
      </c>
      <c r="V833" s="5" t="s">
        <v>10474</v>
      </c>
      <c r="W833" s="5" t="s">
        <v>2950</v>
      </c>
      <c r="X833" s="5" t="s">
        <v>2950</v>
      </c>
      <c r="Y833" s="4">
        <v>420</v>
      </c>
      <c r="Z833" s="4">
        <v>334</v>
      </c>
      <c r="AA833" s="4">
        <v>379</v>
      </c>
      <c r="AB833" s="4">
        <v>4</v>
      </c>
      <c r="AC833" s="4">
        <v>4</v>
      </c>
      <c r="AD833" s="4">
        <v>9</v>
      </c>
      <c r="AE833" s="4">
        <v>12</v>
      </c>
      <c r="AF833" s="4">
        <v>5</v>
      </c>
      <c r="AG833" s="4">
        <v>7</v>
      </c>
      <c r="AH833" s="4">
        <v>1</v>
      </c>
      <c r="AI833" s="4">
        <v>3</v>
      </c>
      <c r="AJ833" s="4">
        <v>1</v>
      </c>
      <c r="AK833" s="4">
        <v>1</v>
      </c>
      <c r="AL833" s="4">
        <v>3</v>
      </c>
      <c r="AM833" s="4">
        <v>3</v>
      </c>
      <c r="AN833" s="4">
        <v>0</v>
      </c>
      <c r="AO833" s="4">
        <v>0</v>
      </c>
      <c r="AP833" s="3" t="s">
        <v>59</v>
      </c>
      <c r="AQ833" s="3" t="s">
        <v>70</v>
      </c>
      <c r="AR833" s="6" t="str">
        <f>HYPERLINK("http://catalog.hathitrust.org/Record/000176393","HathiTrust Record")</f>
        <v>HathiTrust Record</v>
      </c>
      <c r="AS833" s="6" t="str">
        <f>HYPERLINK("https://creighton-primo.hosted.exlibrisgroup.com/primo-explore/search?tab=default_tab&amp;search_scope=EVERYTHING&amp;vid=01CRU&amp;lang=en_US&amp;offset=0&amp;query=any,contains,991005257519702656","Catalog Record")</f>
        <v>Catalog Record</v>
      </c>
      <c r="AT833" s="6" t="str">
        <f>HYPERLINK("http://www.worldcat.org/oclc/4003519","WorldCat Record")</f>
        <v>WorldCat Record</v>
      </c>
      <c r="AU833" s="3" t="s">
        <v>10475</v>
      </c>
      <c r="AV833" s="3" t="s">
        <v>10476</v>
      </c>
      <c r="AW833" s="3" t="s">
        <v>10477</v>
      </c>
      <c r="AX833" s="3" t="s">
        <v>10477</v>
      </c>
      <c r="AY833" s="3" t="s">
        <v>10478</v>
      </c>
      <c r="AZ833" s="3" t="s">
        <v>75</v>
      </c>
      <c r="BB833" s="3" t="s">
        <v>10479</v>
      </c>
      <c r="BC833" s="3" t="s">
        <v>10480</v>
      </c>
      <c r="BD833" s="3" t="s">
        <v>10481</v>
      </c>
    </row>
    <row r="834" spans="1:56" ht="48" customHeight="1" x14ac:dyDescent="0.25">
      <c r="A834" s="7" t="s">
        <v>59</v>
      </c>
      <c r="B834" s="2" t="s">
        <v>10482</v>
      </c>
      <c r="C834" s="2" t="s">
        <v>10483</v>
      </c>
      <c r="D834" s="2" t="s">
        <v>10484</v>
      </c>
      <c r="E834" s="3" t="s">
        <v>723</v>
      </c>
      <c r="F834" s="3" t="s">
        <v>70</v>
      </c>
      <c r="G834" s="3" t="s">
        <v>60</v>
      </c>
      <c r="H834" s="3" t="s">
        <v>59</v>
      </c>
      <c r="I834" s="3" t="s">
        <v>59</v>
      </c>
      <c r="J834" s="3" t="s">
        <v>61</v>
      </c>
      <c r="K834" s="2" t="s">
        <v>10485</v>
      </c>
      <c r="L834" s="2" t="s">
        <v>10486</v>
      </c>
      <c r="M834" s="3" t="s">
        <v>161</v>
      </c>
      <c r="N834" s="2" t="s">
        <v>731</v>
      </c>
      <c r="O834" s="3" t="s">
        <v>64</v>
      </c>
      <c r="P834" s="3" t="s">
        <v>84</v>
      </c>
      <c r="R834" s="3" t="s">
        <v>67</v>
      </c>
      <c r="S834" s="4">
        <v>3</v>
      </c>
      <c r="T834" s="4">
        <v>3</v>
      </c>
      <c r="U834" s="5" t="s">
        <v>8393</v>
      </c>
      <c r="V834" s="5" t="s">
        <v>8393</v>
      </c>
      <c r="W834" s="5" t="s">
        <v>2950</v>
      </c>
      <c r="X834" s="5" t="s">
        <v>2950</v>
      </c>
      <c r="Y834" s="4">
        <v>138</v>
      </c>
      <c r="Z834" s="4">
        <v>99</v>
      </c>
      <c r="AA834" s="4">
        <v>107</v>
      </c>
      <c r="AB834" s="4">
        <v>2</v>
      </c>
      <c r="AC834" s="4">
        <v>2</v>
      </c>
      <c r="AD834" s="4">
        <v>2</v>
      </c>
      <c r="AE834" s="4">
        <v>2</v>
      </c>
      <c r="AF834" s="4">
        <v>0</v>
      </c>
      <c r="AG834" s="4">
        <v>0</v>
      </c>
      <c r="AH834" s="4">
        <v>1</v>
      </c>
      <c r="AI834" s="4">
        <v>1</v>
      </c>
      <c r="AJ834" s="4">
        <v>1</v>
      </c>
      <c r="AK834" s="4">
        <v>1</v>
      </c>
      <c r="AL834" s="4">
        <v>1</v>
      </c>
      <c r="AM834" s="4">
        <v>1</v>
      </c>
      <c r="AN834" s="4">
        <v>0</v>
      </c>
      <c r="AO834" s="4">
        <v>0</v>
      </c>
      <c r="AP834" s="3" t="s">
        <v>59</v>
      </c>
      <c r="AQ834" s="3" t="s">
        <v>70</v>
      </c>
      <c r="AR834" s="6" t="str">
        <f>HYPERLINK("http://catalog.hathitrust.org/Record/000130466","HathiTrust Record")</f>
        <v>HathiTrust Record</v>
      </c>
      <c r="AS834" s="6" t="str">
        <f>HYPERLINK("https://creighton-primo.hosted.exlibrisgroup.com/primo-explore/search?tab=default_tab&amp;search_scope=EVERYTHING&amp;vid=01CRU&amp;lang=en_US&amp;offset=0&amp;query=any,contains,991004992689702656","Catalog Record")</f>
        <v>Catalog Record</v>
      </c>
      <c r="AT834" s="6" t="str">
        <f>HYPERLINK("http://www.worldcat.org/oclc/6487801","WorldCat Record")</f>
        <v>WorldCat Record</v>
      </c>
      <c r="AU834" s="3" t="s">
        <v>10487</v>
      </c>
      <c r="AV834" s="3" t="s">
        <v>10488</v>
      </c>
      <c r="AW834" s="3" t="s">
        <v>10489</v>
      </c>
      <c r="AX834" s="3" t="s">
        <v>10489</v>
      </c>
      <c r="AY834" s="3" t="s">
        <v>10490</v>
      </c>
      <c r="AZ834" s="3" t="s">
        <v>75</v>
      </c>
      <c r="BB834" s="3" t="s">
        <v>10491</v>
      </c>
      <c r="BC834" s="3" t="s">
        <v>10492</v>
      </c>
      <c r="BD834" s="3" t="s">
        <v>10493</v>
      </c>
    </row>
    <row r="835" spans="1:56" ht="48" customHeight="1" x14ac:dyDescent="0.25">
      <c r="A835" s="7" t="s">
        <v>59</v>
      </c>
      <c r="B835" s="2" t="s">
        <v>10494</v>
      </c>
      <c r="C835" s="2" t="s">
        <v>10495</v>
      </c>
      <c r="D835" s="2" t="s">
        <v>10496</v>
      </c>
      <c r="F835" s="3" t="s">
        <v>59</v>
      </c>
      <c r="G835" s="3" t="s">
        <v>60</v>
      </c>
      <c r="H835" s="3" t="s">
        <v>59</v>
      </c>
      <c r="I835" s="3" t="s">
        <v>59</v>
      </c>
      <c r="J835" s="3" t="s">
        <v>61</v>
      </c>
      <c r="K835" s="2" t="s">
        <v>10497</v>
      </c>
      <c r="L835" s="2" t="s">
        <v>10498</v>
      </c>
      <c r="M835" s="3" t="s">
        <v>535</v>
      </c>
      <c r="O835" s="3" t="s">
        <v>64</v>
      </c>
      <c r="P835" s="3" t="s">
        <v>115</v>
      </c>
      <c r="R835" s="3" t="s">
        <v>67</v>
      </c>
      <c r="S835" s="4">
        <v>5</v>
      </c>
      <c r="T835" s="4">
        <v>5</v>
      </c>
      <c r="U835" s="5" t="s">
        <v>3396</v>
      </c>
      <c r="V835" s="5" t="s">
        <v>3396</v>
      </c>
      <c r="W835" s="5" t="s">
        <v>10499</v>
      </c>
      <c r="X835" s="5" t="s">
        <v>10499</v>
      </c>
      <c r="Y835" s="4">
        <v>472</v>
      </c>
      <c r="Z835" s="4">
        <v>397</v>
      </c>
      <c r="AA835" s="4">
        <v>402</v>
      </c>
      <c r="AB835" s="4">
        <v>3</v>
      </c>
      <c r="AC835" s="4">
        <v>3</v>
      </c>
      <c r="AD835" s="4">
        <v>15</v>
      </c>
      <c r="AE835" s="4">
        <v>15</v>
      </c>
      <c r="AF835" s="4">
        <v>5</v>
      </c>
      <c r="AG835" s="4">
        <v>5</v>
      </c>
      <c r="AH835" s="4">
        <v>4</v>
      </c>
      <c r="AI835" s="4">
        <v>4</v>
      </c>
      <c r="AJ835" s="4">
        <v>7</v>
      </c>
      <c r="AK835" s="4">
        <v>7</v>
      </c>
      <c r="AL835" s="4">
        <v>2</v>
      </c>
      <c r="AM835" s="4">
        <v>2</v>
      </c>
      <c r="AN835" s="4">
        <v>0</v>
      </c>
      <c r="AO835" s="4">
        <v>0</v>
      </c>
      <c r="AP835" s="3" t="s">
        <v>59</v>
      </c>
      <c r="AQ835" s="3" t="s">
        <v>70</v>
      </c>
      <c r="AR835" s="6" t="str">
        <f>HYPERLINK("http://catalog.hathitrust.org/Record/001553413","HathiTrust Record")</f>
        <v>HathiTrust Record</v>
      </c>
      <c r="AS835" s="6" t="str">
        <f>HYPERLINK("https://creighton-primo.hosted.exlibrisgroup.com/primo-explore/search?tab=default_tab&amp;search_scope=EVERYTHING&amp;vid=01CRU&amp;lang=en_US&amp;offset=0&amp;query=any,contains,991002282349702656","Catalog Record")</f>
        <v>Catalog Record</v>
      </c>
      <c r="AT835" s="6" t="str">
        <f>HYPERLINK("http://www.worldcat.org/oclc/310882","WorldCat Record")</f>
        <v>WorldCat Record</v>
      </c>
      <c r="AU835" s="3" t="s">
        <v>10500</v>
      </c>
      <c r="AV835" s="3" t="s">
        <v>10501</v>
      </c>
      <c r="AW835" s="3" t="s">
        <v>10502</v>
      </c>
      <c r="AX835" s="3" t="s">
        <v>10502</v>
      </c>
      <c r="AY835" s="3" t="s">
        <v>10503</v>
      </c>
      <c r="AZ835" s="3" t="s">
        <v>75</v>
      </c>
      <c r="BC835" s="3" t="s">
        <v>10504</v>
      </c>
      <c r="BD835" s="3" t="s">
        <v>10505</v>
      </c>
    </row>
    <row r="836" spans="1:56" ht="48" customHeight="1" x14ac:dyDescent="0.25">
      <c r="A836" s="7" t="s">
        <v>59</v>
      </c>
      <c r="B836" s="2" t="s">
        <v>10506</v>
      </c>
      <c r="C836" s="2" t="s">
        <v>10507</v>
      </c>
      <c r="D836" s="2" t="s">
        <v>10508</v>
      </c>
      <c r="F836" s="3" t="s">
        <v>59</v>
      </c>
      <c r="G836" s="3" t="s">
        <v>60</v>
      </c>
      <c r="H836" s="3" t="s">
        <v>59</v>
      </c>
      <c r="I836" s="3" t="s">
        <v>59</v>
      </c>
      <c r="J836" s="3" t="s">
        <v>61</v>
      </c>
      <c r="K836" s="2" t="s">
        <v>10497</v>
      </c>
      <c r="L836" s="2" t="s">
        <v>10509</v>
      </c>
      <c r="M836" s="3" t="s">
        <v>471</v>
      </c>
      <c r="N836" s="2" t="s">
        <v>1945</v>
      </c>
      <c r="O836" s="3" t="s">
        <v>64</v>
      </c>
      <c r="P836" s="3" t="s">
        <v>115</v>
      </c>
      <c r="R836" s="3" t="s">
        <v>67</v>
      </c>
      <c r="S836" s="4">
        <v>18</v>
      </c>
      <c r="T836" s="4">
        <v>18</v>
      </c>
      <c r="U836" s="5" t="s">
        <v>10510</v>
      </c>
      <c r="V836" s="5" t="s">
        <v>10510</v>
      </c>
      <c r="W836" s="5" t="s">
        <v>9984</v>
      </c>
      <c r="X836" s="5" t="s">
        <v>9984</v>
      </c>
      <c r="Y836" s="4">
        <v>393</v>
      </c>
      <c r="Z836" s="4">
        <v>300</v>
      </c>
      <c r="AA836" s="4">
        <v>312</v>
      </c>
      <c r="AB836" s="4">
        <v>4</v>
      </c>
      <c r="AC836" s="4">
        <v>4</v>
      </c>
      <c r="AD836" s="4">
        <v>15</v>
      </c>
      <c r="AE836" s="4">
        <v>15</v>
      </c>
      <c r="AF836" s="4">
        <v>5</v>
      </c>
      <c r="AG836" s="4">
        <v>5</v>
      </c>
      <c r="AH836" s="4">
        <v>3</v>
      </c>
      <c r="AI836" s="4">
        <v>3</v>
      </c>
      <c r="AJ836" s="4">
        <v>7</v>
      </c>
      <c r="AK836" s="4">
        <v>7</v>
      </c>
      <c r="AL836" s="4">
        <v>3</v>
      </c>
      <c r="AM836" s="4">
        <v>3</v>
      </c>
      <c r="AN836" s="4">
        <v>0</v>
      </c>
      <c r="AO836" s="4">
        <v>0</v>
      </c>
      <c r="AP836" s="3" t="s">
        <v>59</v>
      </c>
      <c r="AQ836" s="3" t="s">
        <v>70</v>
      </c>
      <c r="AR836" s="6" t="str">
        <f>HYPERLINK("http://catalog.hathitrust.org/Record/001576683","HathiTrust Record")</f>
        <v>HathiTrust Record</v>
      </c>
      <c r="AS836" s="6" t="str">
        <f>HYPERLINK("https://creighton-primo.hosted.exlibrisgroup.com/primo-explore/search?tab=default_tab&amp;search_scope=EVERYTHING&amp;vid=01CRU&amp;lang=en_US&amp;offset=0&amp;query=any,contains,991003080849702656","Catalog Record")</f>
        <v>Catalog Record</v>
      </c>
      <c r="AT836" s="6" t="str">
        <f>HYPERLINK("http://www.worldcat.org/oclc/632531","WorldCat Record")</f>
        <v>WorldCat Record</v>
      </c>
      <c r="AU836" s="3" t="s">
        <v>10511</v>
      </c>
      <c r="AV836" s="3" t="s">
        <v>10512</v>
      </c>
      <c r="AW836" s="3" t="s">
        <v>10513</v>
      </c>
      <c r="AX836" s="3" t="s">
        <v>10513</v>
      </c>
      <c r="AY836" s="3" t="s">
        <v>10514</v>
      </c>
      <c r="AZ836" s="3" t="s">
        <v>75</v>
      </c>
      <c r="BB836" s="3" t="s">
        <v>10515</v>
      </c>
      <c r="BC836" s="3" t="s">
        <v>10516</v>
      </c>
      <c r="BD836" s="3" t="s">
        <v>10517</v>
      </c>
    </row>
    <row r="837" spans="1:56" ht="48" customHeight="1" x14ac:dyDescent="0.25">
      <c r="A837" s="7" t="s">
        <v>59</v>
      </c>
      <c r="B837" s="2" t="s">
        <v>10518</v>
      </c>
      <c r="C837" s="2" t="s">
        <v>10519</v>
      </c>
      <c r="D837" s="2" t="s">
        <v>10520</v>
      </c>
      <c r="F837" s="3" t="s">
        <v>59</v>
      </c>
      <c r="G837" s="3" t="s">
        <v>60</v>
      </c>
      <c r="H837" s="3" t="s">
        <v>59</v>
      </c>
      <c r="I837" s="3" t="s">
        <v>59</v>
      </c>
      <c r="J837" s="3" t="s">
        <v>61</v>
      </c>
      <c r="K837" s="2" t="s">
        <v>10497</v>
      </c>
      <c r="L837" s="2" t="s">
        <v>10521</v>
      </c>
      <c r="M837" s="3" t="s">
        <v>925</v>
      </c>
      <c r="O837" s="3" t="s">
        <v>64</v>
      </c>
      <c r="P837" s="3" t="s">
        <v>176</v>
      </c>
      <c r="R837" s="3" t="s">
        <v>67</v>
      </c>
      <c r="S837" s="4">
        <v>10</v>
      </c>
      <c r="T837" s="4">
        <v>10</v>
      </c>
      <c r="U837" s="5" t="s">
        <v>10522</v>
      </c>
      <c r="V837" s="5" t="s">
        <v>10522</v>
      </c>
      <c r="W837" s="5" t="s">
        <v>10523</v>
      </c>
      <c r="X837" s="5" t="s">
        <v>10523</v>
      </c>
      <c r="Y837" s="4">
        <v>101</v>
      </c>
      <c r="Z837" s="4">
        <v>75</v>
      </c>
      <c r="AA837" s="4">
        <v>76</v>
      </c>
      <c r="AB837" s="4">
        <v>1</v>
      </c>
      <c r="AC837" s="4">
        <v>1</v>
      </c>
      <c r="AD837" s="4">
        <v>1</v>
      </c>
      <c r="AE837" s="4">
        <v>1</v>
      </c>
      <c r="AF837" s="4">
        <v>0</v>
      </c>
      <c r="AG837" s="4">
        <v>0</v>
      </c>
      <c r="AH837" s="4">
        <v>0</v>
      </c>
      <c r="AI837" s="4">
        <v>0</v>
      </c>
      <c r="AJ837" s="4">
        <v>1</v>
      </c>
      <c r="AK837" s="4">
        <v>1</v>
      </c>
      <c r="AL837" s="4">
        <v>0</v>
      </c>
      <c r="AM837" s="4">
        <v>0</v>
      </c>
      <c r="AN837" s="4">
        <v>0</v>
      </c>
      <c r="AO837" s="4">
        <v>0</v>
      </c>
      <c r="AP837" s="3" t="s">
        <v>59</v>
      </c>
      <c r="AQ837" s="3" t="s">
        <v>70</v>
      </c>
      <c r="AR837" s="6" t="str">
        <f>HYPERLINK("http://catalog.hathitrust.org/Record/003332371","HathiTrust Record")</f>
        <v>HathiTrust Record</v>
      </c>
      <c r="AS837" s="6" t="str">
        <f>HYPERLINK("https://creighton-primo.hosted.exlibrisgroup.com/primo-explore/search?tab=default_tab&amp;search_scope=EVERYTHING&amp;vid=01CRU&amp;lang=en_US&amp;offset=0&amp;query=any,contains,991002874189702656","Catalog Record")</f>
        <v>Catalog Record</v>
      </c>
      <c r="AT837" s="6" t="str">
        <f>HYPERLINK("http://www.worldcat.org/oclc/37878701","WorldCat Record")</f>
        <v>WorldCat Record</v>
      </c>
      <c r="AU837" s="3" t="s">
        <v>10524</v>
      </c>
      <c r="AV837" s="3" t="s">
        <v>10525</v>
      </c>
      <c r="AW837" s="3" t="s">
        <v>10526</v>
      </c>
      <c r="AX837" s="3" t="s">
        <v>10526</v>
      </c>
      <c r="AY837" s="3" t="s">
        <v>10527</v>
      </c>
      <c r="AZ837" s="3" t="s">
        <v>75</v>
      </c>
      <c r="BB837" s="3" t="s">
        <v>10528</v>
      </c>
      <c r="BC837" s="3" t="s">
        <v>10529</v>
      </c>
      <c r="BD837" s="3" t="s">
        <v>10530</v>
      </c>
    </row>
    <row r="838" spans="1:56" ht="48" customHeight="1" x14ac:dyDescent="0.25">
      <c r="A838" s="7" t="s">
        <v>59</v>
      </c>
      <c r="B838" s="2" t="s">
        <v>10531</v>
      </c>
      <c r="C838" s="2" t="s">
        <v>10532</v>
      </c>
      <c r="D838" s="2" t="s">
        <v>10533</v>
      </c>
      <c r="F838" s="3" t="s">
        <v>59</v>
      </c>
      <c r="G838" s="3" t="s">
        <v>60</v>
      </c>
      <c r="H838" s="3" t="s">
        <v>59</v>
      </c>
      <c r="I838" s="3" t="s">
        <v>59</v>
      </c>
      <c r="J838" s="3" t="s">
        <v>61</v>
      </c>
      <c r="K838" s="2" t="s">
        <v>10534</v>
      </c>
      <c r="L838" s="2" t="s">
        <v>10535</v>
      </c>
      <c r="M838" s="3" t="s">
        <v>348</v>
      </c>
      <c r="O838" s="3" t="s">
        <v>64</v>
      </c>
      <c r="P838" s="3" t="s">
        <v>10536</v>
      </c>
      <c r="R838" s="3" t="s">
        <v>67</v>
      </c>
      <c r="S838" s="4">
        <v>7</v>
      </c>
      <c r="T838" s="4">
        <v>7</v>
      </c>
      <c r="U838" s="5" t="s">
        <v>860</v>
      </c>
      <c r="V838" s="5" t="s">
        <v>860</v>
      </c>
      <c r="W838" s="5" t="s">
        <v>10537</v>
      </c>
      <c r="X838" s="5" t="s">
        <v>10537</v>
      </c>
      <c r="Y838" s="4">
        <v>271</v>
      </c>
      <c r="Z838" s="4">
        <v>220</v>
      </c>
      <c r="AA838" s="4">
        <v>223</v>
      </c>
      <c r="AB838" s="4">
        <v>2</v>
      </c>
      <c r="AC838" s="4">
        <v>2</v>
      </c>
      <c r="AD838" s="4">
        <v>8</v>
      </c>
      <c r="AE838" s="4">
        <v>8</v>
      </c>
      <c r="AF838" s="4">
        <v>3</v>
      </c>
      <c r="AG838" s="4">
        <v>3</v>
      </c>
      <c r="AH838" s="4">
        <v>2</v>
      </c>
      <c r="AI838" s="4">
        <v>2</v>
      </c>
      <c r="AJ838" s="4">
        <v>3</v>
      </c>
      <c r="AK838" s="4">
        <v>3</v>
      </c>
      <c r="AL838" s="4">
        <v>1</v>
      </c>
      <c r="AM838" s="4">
        <v>1</v>
      </c>
      <c r="AN838" s="4">
        <v>0</v>
      </c>
      <c r="AO838" s="4">
        <v>0</v>
      </c>
      <c r="AP838" s="3" t="s">
        <v>59</v>
      </c>
      <c r="AQ838" s="3" t="s">
        <v>70</v>
      </c>
      <c r="AR838" s="6" t="str">
        <f>HYPERLINK("http://catalog.hathitrust.org/Record/002726151","HathiTrust Record")</f>
        <v>HathiTrust Record</v>
      </c>
      <c r="AS838" s="6" t="str">
        <f>HYPERLINK("https://creighton-primo.hosted.exlibrisgroup.com/primo-explore/search?tab=default_tab&amp;search_scope=EVERYTHING&amp;vid=01CRU&amp;lang=en_US&amp;offset=0&amp;query=any,contains,991002085549702656","Catalog Record")</f>
        <v>Catalog Record</v>
      </c>
      <c r="AT838" s="6" t="str">
        <f>HYPERLINK("http://www.worldcat.org/oclc/26763611","WorldCat Record")</f>
        <v>WorldCat Record</v>
      </c>
      <c r="AU838" s="3" t="s">
        <v>10538</v>
      </c>
      <c r="AV838" s="3" t="s">
        <v>10539</v>
      </c>
      <c r="AW838" s="3" t="s">
        <v>10540</v>
      </c>
      <c r="AX838" s="3" t="s">
        <v>10540</v>
      </c>
      <c r="AY838" s="3" t="s">
        <v>10541</v>
      </c>
      <c r="AZ838" s="3" t="s">
        <v>75</v>
      </c>
      <c r="BB838" s="3" t="s">
        <v>10542</v>
      </c>
      <c r="BC838" s="3" t="s">
        <v>10543</v>
      </c>
      <c r="BD838" s="3" t="s">
        <v>10544</v>
      </c>
    </row>
    <row r="839" spans="1:56" ht="48" customHeight="1" x14ac:dyDescent="0.25">
      <c r="A839" s="7" t="s">
        <v>59</v>
      </c>
      <c r="B839" s="2" t="s">
        <v>10545</v>
      </c>
      <c r="C839" s="2" t="s">
        <v>10546</v>
      </c>
      <c r="D839" s="2" t="s">
        <v>10547</v>
      </c>
      <c r="F839" s="3" t="s">
        <v>59</v>
      </c>
      <c r="G839" s="3" t="s">
        <v>60</v>
      </c>
      <c r="H839" s="3" t="s">
        <v>59</v>
      </c>
      <c r="I839" s="3" t="s">
        <v>59</v>
      </c>
      <c r="J839" s="3" t="s">
        <v>61</v>
      </c>
      <c r="K839" s="2" t="s">
        <v>10548</v>
      </c>
      <c r="L839" s="2" t="s">
        <v>10549</v>
      </c>
      <c r="M839" s="3" t="s">
        <v>145</v>
      </c>
      <c r="O839" s="3" t="s">
        <v>64</v>
      </c>
      <c r="P839" s="3" t="s">
        <v>130</v>
      </c>
      <c r="R839" s="3" t="s">
        <v>67</v>
      </c>
      <c r="S839" s="4">
        <v>5</v>
      </c>
      <c r="T839" s="4">
        <v>5</v>
      </c>
      <c r="U839" s="5" t="s">
        <v>10550</v>
      </c>
      <c r="V839" s="5" t="s">
        <v>10550</v>
      </c>
      <c r="W839" s="5" t="s">
        <v>2950</v>
      </c>
      <c r="X839" s="5" t="s">
        <v>2950</v>
      </c>
      <c r="Y839" s="4">
        <v>381</v>
      </c>
      <c r="Z839" s="4">
        <v>266</v>
      </c>
      <c r="AA839" s="4">
        <v>300</v>
      </c>
      <c r="AB839" s="4">
        <v>4</v>
      </c>
      <c r="AC839" s="4">
        <v>4</v>
      </c>
      <c r="AD839" s="4">
        <v>7</v>
      </c>
      <c r="AE839" s="4">
        <v>10</v>
      </c>
      <c r="AF839" s="4">
        <v>1</v>
      </c>
      <c r="AG839" s="4">
        <v>3</v>
      </c>
      <c r="AH839" s="4">
        <v>2</v>
      </c>
      <c r="AI839" s="4">
        <v>3</v>
      </c>
      <c r="AJ839" s="4">
        <v>2</v>
      </c>
      <c r="AK839" s="4">
        <v>3</v>
      </c>
      <c r="AL839" s="4">
        <v>3</v>
      </c>
      <c r="AM839" s="4">
        <v>3</v>
      </c>
      <c r="AN839" s="4">
        <v>0</v>
      </c>
      <c r="AO839" s="4">
        <v>0</v>
      </c>
      <c r="AP839" s="3" t="s">
        <v>59</v>
      </c>
      <c r="AQ839" s="3" t="s">
        <v>70</v>
      </c>
      <c r="AR839" s="6" t="str">
        <f>HYPERLINK("http://catalog.hathitrust.org/Record/000256333","HathiTrust Record")</f>
        <v>HathiTrust Record</v>
      </c>
      <c r="AS839" s="6" t="str">
        <f>HYPERLINK("https://creighton-primo.hosted.exlibrisgroup.com/primo-explore/search?tab=default_tab&amp;search_scope=EVERYTHING&amp;vid=01CRU&amp;lang=en_US&amp;offset=0&amp;query=any,contains,991004658159702656","Catalog Record")</f>
        <v>Catalog Record</v>
      </c>
      <c r="AT839" s="6" t="str">
        <f>HYPERLINK("http://www.worldcat.org/oclc/4495874","WorldCat Record")</f>
        <v>WorldCat Record</v>
      </c>
      <c r="AU839" s="3" t="s">
        <v>10551</v>
      </c>
      <c r="AV839" s="3" t="s">
        <v>10552</v>
      </c>
      <c r="AW839" s="3" t="s">
        <v>10553</v>
      </c>
      <c r="AX839" s="3" t="s">
        <v>10553</v>
      </c>
      <c r="AY839" s="3" t="s">
        <v>10554</v>
      </c>
      <c r="AZ839" s="3" t="s">
        <v>75</v>
      </c>
      <c r="BB839" s="3" t="s">
        <v>10555</v>
      </c>
      <c r="BC839" s="3" t="s">
        <v>10556</v>
      </c>
      <c r="BD839" s="3" t="s">
        <v>10557</v>
      </c>
    </row>
    <row r="840" spans="1:56" ht="48" customHeight="1" x14ac:dyDescent="0.25">
      <c r="A840" s="7" t="s">
        <v>59</v>
      </c>
      <c r="B840" s="2" t="s">
        <v>10558</v>
      </c>
      <c r="C840" s="2" t="s">
        <v>10559</v>
      </c>
      <c r="D840" s="2" t="s">
        <v>10560</v>
      </c>
      <c r="F840" s="3" t="s">
        <v>59</v>
      </c>
      <c r="G840" s="3" t="s">
        <v>60</v>
      </c>
      <c r="H840" s="3" t="s">
        <v>59</v>
      </c>
      <c r="I840" s="3" t="s">
        <v>59</v>
      </c>
      <c r="J840" s="3" t="s">
        <v>61</v>
      </c>
      <c r="K840" s="2" t="s">
        <v>10561</v>
      </c>
      <c r="L840" s="2" t="s">
        <v>10562</v>
      </c>
      <c r="M840" s="3" t="s">
        <v>2389</v>
      </c>
      <c r="N840" s="2" t="s">
        <v>5678</v>
      </c>
      <c r="O840" s="3" t="s">
        <v>64</v>
      </c>
      <c r="P840" s="3" t="s">
        <v>130</v>
      </c>
      <c r="Q840" s="2" t="s">
        <v>2880</v>
      </c>
      <c r="R840" s="3" t="s">
        <v>67</v>
      </c>
      <c r="S840" s="4">
        <v>8</v>
      </c>
      <c r="T840" s="4">
        <v>8</v>
      </c>
      <c r="U840" s="5" t="s">
        <v>10563</v>
      </c>
      <c r="V840" s="5" t="s">
        <v>10563</v>
      </c>
      <c r="W840" s="5" t="s">
        <v>1704</v>
      </c>
      <c r="X840" s="5" t="s">
        <v>1704</v>
      </c>
      <c r="Y840" s="4">
        <v>645</v>
      </c>
      <c r="Z840" s="4">
        <v>584</v>
      </c>
      <c r="AA840" s="4">
        <v>621</v>
      </c>
      <c r="AB840" s="4">
        <v>7</v>
      </c>
      <c r="AC840" s="4">
        <v>7</v>
      </c>
      <c r="AD840" s="4">
        <v>16</v>
      </c>
      <c r="AE840" s="4">
        <v>18</v>
      </c>
      <c r="AF840" s="4">
        <v>5</v>
      </c>
      <c r="AG840" s="4">
        <v>7</v>
      </c>
      <c r="AH840" s="4">
        <v>1</v>
      </c>
      <c r="AI840" s="4">
        <v>1</v>
      </c>
      <c r="AJ840" s="4">
        <v>7</v>
      </c>
      <c r="AK840" s="4">
        <v>9</v>
      </c>
      <c r="AL840" s="4">
        <v>5</v>
      </c>
      <c r="AM840" s="4">
        <v>5</v>
      </c>
      <c r="AN840" s="4">
        <v>0</v>
      </c>
      <c r="AO840" s="4">
        <v>0</v>
      </c>
      <c r="AP840" s="3" t="s">
        <v>59</v>
      </c>
      <c r="AQ840" s="3" t="s">
        <v>70</v>
      </c>
      <c r="AR840" s="6" t="str">
        <f>HYPERLINK("http://catalog.hathitrust.org/Record/001576684","HathiTrust Record")</f>
        <v>HathiTrust Record</v>
      </c>
      <c r="AS840" s="6" t="str">
        <f>HYPERLINK("https://creighton-primo.hosted.exlibrisgroup.com/primo-explore/search?tab=default_tab&amp;search_scope=EVERYTHING&amp;vid=01CRU&amp;lang=en_US&amp;offset=0&amp;query=any,contains,991005433199702656","Catalog Record")</f>
        <v>Catalog Record</v>
      </c>
      <c r="AT840" s="6" t="str">
        <f>HYPERLINK("http://www.worldcat.org/oclc/1688","WorldCat Record")</f>
        <v>WorldCat Record</v>
      </c>
      <c r="AU840" s="3" t="s">
        <v>10564</v>
      </c>
      <c r="AV840" s="3" t="s">
        <v>10565</v>
      </c>
      <c r="AW840" s="3" t="s">
        <v>10566</v>
      </c>
      <c r="AX840" s="3" t="s">
        <v>10566</v>
      </c>
      <c r="AY840" s="3" t="s">
        <v>10567</v>
      </c>
      <c r="AZ840" s="3" t="s">
        <v>75</v>
      </c>
      <c r="BC840" s="3" t="s">
        <v>10568</v>
      </c>
      <c r="BD840" s="3" t="s">
        <v>10569</v>
      </c>
    </row>
    <row r="841" spans="1:56" ht="48" customHeight="1" x14ac:dyDescent="0.25">
      <c r="A841" s="7" t="s">
        <v>59</v>
      </c>
      <c r="B841" s="2" t="s">
        <v>10570</v>
      </c>
      <c r="C841" s="2" t="s">
        <v>10571</v>
      </c>
      <c r="D841" s="2" t="s">
        <v>10572</v>
      </c>
      <c r="F841" s="3" t="s">
        <v>59</v>
      </c>
      <c r="G841" s="3" t="s">
        <v>60</v>
      </c>
      <c r="H841" s="3" t="s">
        <v>59</v>
      </c>
      <c r="I841" s="3" t="s">
        <v>59</v>
      </c>
      <c r="J841" s="3" t="s">
        <v>61</v>
      </c>
      <c r="K841" s="2" t="s">
        <v>10573</v>
      </c>
      <c r="L841" s="2" t="s">
        <v>10574</v>
      </c>
      <c r="M841" s="3" t="s">
        <v>248</v>
      </c>
      <c r="O841" s="3" t="s">
        <v>64</v>
      </c>
      <c r="P841" s="3" t="s">
        <v>130</v>
      </c>
      <c r="R841" s="3" t="s">
        <v>67</v>
      </c>
      <c r="S841" s="4">
        <v>3</v>
      </c>
      <c r="T841" s="4">
        <v>3</v>
      </c>
      <c r="U841" s="5" t="s">
        <v>10575</v>
      </c>
      <c r="V841" s="5" t="s">
        <v>10575</v>
      </c>
      <c r="W841" s="5" t="s">
        <v>10443</v>
      </c>
      <c r="X841" s="5" t="s">
        <v>10443</v>
      </c>
      <c r="Y841" s="4">
        <v>190</v>
      </c>
      <c r="Z841" s="4">
        <v>142</v>
      </c>
      <c r="AA841" s="4">
        <v>144</v>
      </c>
      <c r="AB841" s="4">
        <v>2</v>
      </c>
      <c r="AC841" s="4">
        <v>2</v>
      </c>
      <c r="AD841" s="4">
        <v>3</v>
      </c>
      <c r="AE841" s="4">
        <v>3</v>
      </c>
      <c r="AF841" s="4">
        <v>1</v>
      </c>
      <c r="AG841" s="4">
        <v>1</v>
      </c>
      <c r="AH841" s="4">
        <v>0</v>
      </c>
      <c r="AI841" s="4">
        <v>0</v>
      </c>
      <c r="AJ841" s="4">
        <v>2</v>
      </c>
      <c r="AK841" s="4">
        <v>2</v>
      </c>
      <c r="AL841" s="4">
        <v>1</v>
      </c>
      <c r="AM841" s="4">
        <v>1</v>
      </c>
      <c r="AN841" s="4">
        <v>0</v>
      </c>
      <c r="AO841" s="4">
        <v>0</v>
      </c>
      <c r="AP841" s="3" t="s">
        <v>59</v>
      </c>
      <c r="AQ841" s="3" t="s">
        <v>70</v>
      </c>
      <c r="AR841" s="6" t="str">
        <f>HYPERLINK("http://catalog.hathitrust.org/Record/002649345","HathiTrust Record")</f>
        <v>HathiTrust Record</v>
      </c>
      <c r="AS841" s="6" t="str">
        <f>HYPERLINK("https://creighton-primo.hosted.exlibrisgroup.com/primo-explore/search?tab=default_tab&amp;search_scope=EVERYTHING&amp;vid=01CRU&amp;lang=en_US&amp;offset=0&amp;query=any,contains,991005079119702656","Catalog Record")</f>
        <v>Catalog Record</v>
      </c>
      <c r="AT841" s="6" t="str">
        <f>HYPERLINK("http://www.worldcat.org/oclc/7168697","WorldCat Record")</f>
        <v>WorldCat Record</v>
      </c>
      <c r="AU841" s="3" t="s">
        <v>10576</v>
      </c>
      <c r="AV841" s="3" t="s">
        <v>10577</v>
      </c>
      <c r="AW841" s="3" t="s">
        <v>10578</v>
      </c>
      <c r="AX841" s="3" t="s">
        <v>10578</v>
      </c>
      <c r="AY841" s="3" t="s">
        <v>10579</v>
      </c>
      <c r="AZ841" s="3" t="s">
        <v>75</v>
      </c>
      <c r="BB841" s="3" t="s">
        <v>10580</v>
      </c>
      <c r="BC841" s="3" t="s">
        <v>10581</v>
      </c>
      <c r="BD841" s="3" t="s">
        <v>10582</v>
      </c>
    </row>
    <row r="842" spans="1:56" ht="48" customHeight="1" x14ac:dyDescent="0.25">
      <c r="A842" s="7" t="s">
        <v>59</v>
      </c>
      <c r="B842" s="2" t="s">
        <v>10583</v>
      </c>
      <c r="C842" s="2" t="s">
        <v>10584</v>
      </c>
      <c r="D842" s="2" t="s">
        <v>10585</v>
      </c>
      <c r="F842" s="3" t="s">
        <v>59</v>
      </c>
      <c r="G842" s="3" t="s">
        <v>60</v>
      </c>
      <c r="H842" s="3" t="s">
        <v>59</v>
      </c>
      <c r="I842" s="3" t="s">
        <v>59</v>
      </c>
      <c r="J842" s="3" t="s">
        <v>61</v>
      </c>
      <c r="K842" s="2" t="s">
        <v>10586</v>
      </c>
      <c r="L842" s="2" t="s">
        <v>10587</v>
      </c>
      <c r="M842" s="3" t="s">
        <v>348</v>
      </c>
      <c r="O842" s="3" t="s">
        <v>64</v>
      </c>
      <c r="P842" s="3" t="s">
        <v>84</v>
      </c>
      <c r="R842" s="3" t="s">
        <v>67</v>
      </c>
      <c r="S842" s="4">
        <v>5</v>
      </c>
      <c r="T842" s="4">
        <v>5</v>
      </c>
      <c r="U842" s="5" t="s">
        <v>3368</v>
      </c>
      <c r="V842" s="5" t="s">
        <v>3368</v>
      </c>
      <c r="W842" s="5" t="s">
        <v>10588</v>
      </c>
      <c r="X842" s="5" t="s">
        <v>10588</v>
      </c>
      <c r="Y842" s="4">
        <v>489</v>
      </c>
      <c r="Z842" s="4">
        <v>327</v>
      </c>
      <c r="AA842" s="4">
        <v>334</v>
      </c>
      <c r="AB842" s="4">
        <v>2</v>
      </c>
      <c r="AC842" s="4">
        <v>2</v>
      </c>
      <c r="AD842" s="4">
        <v>16</v>
      </c>
      <c r="AE842" s="4">
        <v>16</v>
      </c>
      <c r="AF842" s="4">
        <v>9</v>
      </c>
      <c r="AG842" s="4">
        <v>9</v>
      </c>
      <c r="AH842" s="4">
        <v>4</v>
      </c>
      <c r="AI842" s="4">
        <v>4</v>
      </c>
      <c r="AJ842" s="4">
        <v>6</v>
      </c>
      <c r="AK842" s="4">
        <v>6</v>
      </c>
      <c r="AL842" s="4">
        <v>1</v>
      </c>
      <c r="AM842" s="4">
        <v>1</v>
      </c>
      <c r="AN842" s="4">
        <v>0</v>
      </c>
      <c r="AO842" s="4">
        <v>0</v>
      </c>
      <c r="AP842" s="3" t="s">
        <v>59</v>
      </c>
      <c r="AQ842" s="3" t="s">
        <v>70</v>
      </c>
      <c r="AR842" s="6" t="str">
        <f>HYPERLINK("http://catalog.hathitrust.org/Record/002647520","HathiTrust Record")</f>
        <v>HathiTrust Record</v>
      </c>
      <c r="AS842" s="6" t="str">
        <f>HYPERLINK("https://creighton-primo.hosted.exlibrisgroup.com/primo-explore/search?tab=default_tab&amp;search_scope=EVERYTHING&amp;vid=01CRU&amp;lang=en_US&amp;offset=0&amp;query=any,contains,991001977019702656","Catalog Record")</f>
        <v>Catalog Record</v>
      </c>
      <c r="AT842" s="6" t="str">
        <f>HYPERLINK("http://www.worldcat.org/oclc/25051451","WorldCat Record")</f>
        <v>WorldCat Record</v>
      </c>
      <c r="AU842" s="3" t="s">
        <v>10589</v>
      </c>
      <c r="AV842" s="3" t="s">
        <v>10590</v>
      </c>
      <c r="AW842" s="3" t="s">
        <v>10591</v>
      </c>
      <c r="AX842" s="3" t="s">
        <v>10591</v>
      </c>
      <c r="AY842" s="3" t="s">
        <v>10592</v>
      </c>
      <c r="AZ842" s="3" t="s">
        <v>75</v>
      </c>
      <c r="BB842" s="3" t="s">
        <v>10593</v>
      </c>
      <c r="BC842" s="3" t="s">
        <v>10594</v>
      </c>
      <c r="BD842" s="3" t="s">
        <v>10595</v>
      </c>
    </row>
    <row r="843" spans="1:56" ht="48" customHeight="1" x14ac:dyDescent="0.25">
      <c r="A843" s="7" t="s">
        <v>59</v>
      </c>
      <c r="B843" s="2" t="s">
        <v>10596</v>
      </c>
      <c r="C843" s="2" t="s">
        <v>10597</v>
      </c>
      <c r="D843" s="2" t="s">
        <v>10598</v>
      </c>
      <c r="F843" s="3" t="s">
        <v>59</v>
      </c>
      <c r="G843" s="3" t="s">
        <v>60</v>
      </c>
      <c r="H843" s="3" t="s">
        <v>59</v>
      </c>
      <c r="I843" s="3" t="s">
        <v>59</v>
      </c>
      <c r="J843" s="3" t="s">
        <v>61</v>
      </c>
      <c r="K843" s="2" t="s">
        <v>10599</v>
      </c>
      <c r="L843" s="2" t="s">
        <v>10600</v>
      </c>
      <c r="M843" s="3" t="s">
        <v>190</v>
      </c>
      <c r="O843" s="3" t="s">
        <v>64</v>
      </c>
      <c r="P843" s="3" t="s">
        <v>84</v>
      </c>
      <c r="R843" s="3" t="s">
        <v>67</v>
      </c>
      <c r="S843" s="4">
        <v>4</v>
      </c>
      <c r="T843" s="4">
        <v>4</v>
      </c>
      <c r="U843" s="5" t="s">
        <v>3368</v>
      </c>
      <c r="V843" s="5" t="s">
        <v>3368</v>
      </c>
      <c r="W843" s="5" t="s">
        <v>2950</v>
      </c>
      <c r="X843" s="5" t="s">
        <v>2950</v>
      </c>
      <c r="Y843" s="4">
        <v>368</v>
      </c>
      <c r="Z843" s="4">
        <v>229</v>
      </c>
      <c r="AA843" s="4">
        <v>234</v>
      </c>
      <c r="AB843" s="4">
        <v>4</v>
      </c>
      <c r="AC843" s="4">
        <v>4</v>
      </c>
      <c r="AD843" s="4">
        <v>14</v>
      </c>
      <c r="AE843" s="4">
        <v>14</v>
      </c>
      <c r="AF843" s="4">
        <v>4</v>
      </c>
      <c r="AG843" s="4">
        <v>4</v>
      </c>
      <c r="AH843" s="4">
        <v>5</v>
      </c>
      <c r="AI843" s="4">
        <v>5</v>
      </c>
      <c r="AJ843" s="4">
        <v>7</v>
      </c>
      <c r="AK843" s="4">
        <v>7</v>
      </c>
      <c r="AL843" s="4">
        <v>3</v>
      </c>
      <c r="AM843" s="4">
        <v>3</v>
      </c>
      <c r="AN843" s="4">
        <v>0</v>
      </c>
      <c r="AO843" s="4">
        <v>0</v>
      </c>
      <c r="AP843" s="3" t="s">
        <v>59</v>
      </c>
      <c r="AQ843" s="3" t="s">
        <v>59</v>
      </c>
      <c r="AS843" s="6" t="str">
        <f>HYPERLINK("https://creighton-primo.hosted.exlibrisgroup.com/primo-explore/search?tab=default_tab&amp;search_scope=EVERYTHING&amp;vid=01CRU&amp;lang=en_US&amp;offset=0&amp;query=any,contains,991000775899702656","Catalog Record")</f>
        <v>Catalog Record</v>
      </c>
      <c r="AT843" s="6" t="str">
        <f>HYPERLINK("http://www.worldcat.org/oclc/20018659","WorldCat Record")</f>
        <v>WorldCat Record</v>
      </c>
      <c r="AU843" s="3" t="s">
        <v>10601</v>
      </c>
      <c r="AV843" s="3" t="s">
        <v>10602</v>
      </c>
      <c r="AW843" s="3" t="s">
        <v>10603</v>
      </c>
      <c r="AX843" s="3" t="s">
        <v>10603</v>
      </c>
      <c r="AY843" s="3" t="s">
        <v>10604</v>
      </c>
      <c r="AZ843" s="3" t="s">
        <v>75</v>
      </c>
      <c r="BB843" s="3" t="s">
        <v>10605</v>
      </c>
      <c r="BC843" s="3" t="s">
        <v>10606</v>
      </c>
      <c r="BD843" s="3" t="s">
        <v>10607</v>
      </c>
    </row>
    <row r="844" spans="1:56" ht="48" customHeight="1" x14ac:dyDescent="0.25">
      <c r="A844" s="7" t="s">
        <v>59</v>
      </c>
      <c r="B844" s="2" t="s">
        <v>10608</v>
      </c>
      <c r="C844" s="2" t="s">
        <v>10609</v>
      </c>
      <c r="D844" s="2" t="s">
        <v>10610</v>
      </c>
      <c r="F844" s="3" t="s">
        <v>59</v>
      </c>
      <c r="G844" s="3" t="s">
        <v>60</v>
      </c>
      <c r="H844" s="3" t="s">
        <v>59</v>
      </c>
      <c r="I844" s="3" t="s">
        <v>59</v>
      </c>
      <c r="J844" s="3" t="s">
        <v>61</v>
      </c>
      <c r="K844" s="2" t="s">
        <v>10611</v>
      </c>
      <c r="L844" s="2" t="s">
        <v>10612</v>
      </c>
      <c r="M844" s="3" t="s">
        <v>471</v>
      </c>
      <c r="O844" s="3" t="s">
        <v>64</v>
      </c>
      <c r="P844" s="3" t="s">
        <v>2140</v>
      </c>
      <c r="R844" s="3" t="s">
        <v>67</v>
      </c>
      <c r="S844" s="4">
        <v>5</v>
      </c>
      <c r="T844" s="4">
        <v>5</v>
      </c>
      <c r="U844" s="5" t="s">
        <v>10575</v>
      </c>
      <c r="V844" s="5" t="s">
        <v>10575</v>
      </c>
      <c r="W844" s="5" t="s">
        <v>10613</v>
      </c>
      <c r="X844" s="5" t="s">
        <v>10613</v>
      </c>
      <c r="Y844" s="4">
        <v>357</v>
      </c>
      <c r="Z844" s="4">
        <v>278</v>
      </c>
      <c r="AA844" s="4">
        <v>284</v>
      </c>
      <c r="AB844" s="4">
        <v>6</v>
      </c>
      <c r="AC844" s="4">
        <v>6</v>
      </c>
      <c r="AD844" s="4">
        <v>15</v>
      </c>
      <c r="AE844" s="4">
        <v>15</v>
      </c>
      <c r="AF844" s="4">
        <v>3</v>
      </c>
      <c r="AG844" s="4">
        <v>3</v>
      </c>
      <c r="AH844" s="4">
        <v>4</v>
      </c>
      <c r="AI844" s="4">
        <v>4</v>
      </c>
      <c r="AJ844" s="4">
        <v>6</v>
      </c>
      <c r="AK844" s="4">
        <v>6</v>
      </c>
      <c r="AL844" s="4">
        <v>5</v>
      </c>
      <c r="AM844" s="4">
        <v>5</v>
      </c>
      <c r="AN844" s="4">
        <v>0</v>
      </c>
      <c r="AO844" s="4">
        <v>0</v>
      </c>
      <c r="AP844" s="3" t="s">
        <v>59</v>
      </c>
      <c r="AQ844" s="3" t="s">
        <v>70</v>
      </c>
      <c r="AR844" s="6" t="str">
        <f>HYPERLINK("http://catalog.hathitrust.org/Record/000010255","HathiTrust Record")</f>
        <v>HathiTrust Record</v>
      </c>
      <c r="AS844" s="6" t="str">
        <f>HYPERLINK("https://creighton-primo.hosted.exlibrisgroup.com/primo-explore/search?tab=default_tab&amp;search_scope=EVERYTHING&amp;vid=01CRU&amp;lang=en_US&amp;offset=0&amp;query=any,contains,991003189209702656","Catalog Record")</f>
        <v>Catalog Record</v>
      </c>
      <c r="AT844" s="6" t="str">
        <f>HYPERLINK("http://www.worldcat.org/oclc/714409","WorldCat Record")</f>
        <v>WorldCat Record</v>
      </c>
      <c r="AU844" s="3" t="s">
        <v>10614</v>
      </c>
      <c r="AV844" s="3" t="s">
        <v>10615</v>
      </c>
      <c r="AW844" s="3" t="s">
        <v>10616</v>
      </c>
      <c r="AX844" s="3" t="s">
        <v>10616</v>
      </c>
      <c r="AY844" s="3" t="s">
        <v>10617</v>
      </c>
      <c r="AZ844" s="3" t="s">
        <v>75</v>
      </c>
      <c r="BB844" s="3" t="s">
        <v>10618</v>
      </c>
      <c r="BC844" s="3" t="s">
        <v>10619</v>
      </c>
      <c r="BD844" s="3" t="s">
        <v>10620</v>
      </c>
    </row>
    <row r="845" spans="1:56" ht="48" customHeight="1" x14ac:dyDescent="0.25">
      <c r="A845" s="7" t="s">
        <v>59</v>
      </c>
      <c r="B845" s="2" t="s">
        <v>10621</v>
      </c>
      <c r="C845" s="2" t="s">
        <v>10622</v>
      </c>
      <c r="D845" s="2" t="s">
        <v>10623</v>
      </c>
      <c r="E845" s="3" t="s">
        <v>9180</v>
      </c>
      <c r="F845" s="3" t="s">
        <v>70</v>
      </c>
      <c r="G845" s="3" t="s">
        <v>60</v>
      </c>
      <c r="H845" s="3" t="s">
        <v>59</v>
      </c>
      <c r="I845" s="3" t="s">
        <v>59</v>
      </c>
      <c r="J845" s="3" t="s">
        <v>61</v>
      </c>
      <c r="K845" s="2" t="s">
        <v>10624</v>
      </c>
      <c r="L845" s="2" t="s">
        <v>10625</v>
      </c>
      <c r="M845" s="3" t="s">
        <v>500</v>
      </c>
      <c r="O845" s="3" t="s">
        <v>64</v>
      </c>
      <c r="P845" s="3" t="s">
        <v>130</v>
      </c>
      <c r="R845" s="3" t="s">
        <v>67</v>
      </c>
      <c r="S845" s="4">
        <v>1</v>
      </c>
      <c r="T845" s="4">
        <v>6</v>
      </c>
      <c r="V845" s="5" t="s">
        <v>7499</v>
      </c>
      <c r="W845" s="5" t="s">
        <v>10626</v>
      </c>
      <c r="X845" s="5" t="s">
        <v>10626</v>
      </c>
      <c r="Y845" s="4">
        <v>390</v>
      </c>
      <c r="Z845" s="4">
        <v>295</v>
      </c>
      <c r="AA845" s="4">
        <v>330</v>
      </c>
      <c r="AB845" s="4">
        <v>5</v>
      </c>
      <c r="AC845" s="4">
        <v>5</v>
      </c>
      <c r="AD845" s="4">
        <v>15</v>
      </c>
      <c r="AE845" s="4">
        <v>17</v>
      </c>
      <c r="AF845" s="4">
        <v>3</v>
      </c>
      <c r="AG845" s="4">
        <v>4</v>
      </c>
      <c r="AH845" s="4">
        <v>4</v>
      </c>
      <c r="AI845" s="4">
        <v>5</v>
      </c>
      <c r="AJ845" s="4">
        <v>9</v>
      </c>
      <c r="AK845" s="4">
        <v>9</v>
      </c>
      <c r="AL845" s="4">
        <v>4</v>
      </c>
      <c r="AM845" s="4">
        <v>4</v>
      </c>
      <c r="AN845" s="4">
        <v>0</v>
      </c>
      <c r="AO845" s="4">
        <v>0</v>
      </c>
      <c r="AP845" s="3" t="s">
        <v>59</v>
      </c>
      <c r="AQ845" s="3" t="s">
        <v>70</v>
      </c>
      <c r="AR845" s="6" t="str">
        <f>HYPERLINK("http://catalog.hathitrust.org/Record/000186862","HathiTrust Record")</f>
        <v>HathiTrust Record</v>
      </c>
      <c r="AS845" s="6" t="str">
        <f>HYPERLINK("https://creighton-primo.hosted.exlibrisgroup.com/primo-explore/search?tab=default_tab&amp;search_scope=EVERYTHING&amp;vid=01CRU&amp;lang=en_US&amp;offset=0&amp;query=any,contains,991000431699702656","Catalog Record")</f>
        <v>Catalog Record</v>
      </c>
      <c r="AT845" s="6" t="str">
        <f>HYPERLINK("http://www.worldcat.org/oclc/75885","WorldCat Record")</f>
        <v>WorldCat Record</v>
      </c>
      <c r="AU845" s="3" t="s">
        <v>10627</v>
      </c>
      <c r="AV845" s="3" t="s">
        <v>10628</v>
      </c>
      <c r="AW845" s="3" t="s">
        <v>10629</v>
      </c>
      <c r="AX845" s="3" t="s">
        <v>10629</v>
      </c>
      <c r="AY845" s="3" t="s">
        <v>10630</v>
      </c>
      <c r="AZ845" s="3" t="s">
        <v>75</v>
      </c>
      <c r="BB845" s="3" t="s">
        <v>10631</v>
      </c>
      <c r="BC845" s="3" t="s">
        <v>10632</v>
      </c>
      <c r="BD845" s="3" t="s">
        <v>10633</v>
      </c>
    </row>
    <row r="846" spans="1:56" ht="48" customHeight="1" x14ac:dyDescent="0.25">
      <c r="A846" s="7" t="s">
        <v>59</v>
      </c>
      <c r="B846" s="2" t="s">
        <v>10634</v>
      </c>
      <c r="C846" s="2" t="s">
        <v>10635</v>
      </c>
      <c r="D846" s="2" t="s">
        <v>10636</v>
      </c>
      <c r="F846" s="3" t="s">
        <v>59</v>
      </c>
      <c r="G846" s="3" t="s">
        <v>60</v>
      </c>
      <c r="H846" s="3" t="s">
        <v>59</v>
      </c>
      <c r="I846" s="3" t="s">
        <v>59</v>
      </c>
      <c r="J846" s="3" t="s">
        <v>61</v>
      </c>
      <c r="L846" s="2" t="s">
        <v>5982</v>
      </c>
      <c r="M846" s="3" t="s">
        <v>363</v>
      </c>
      <c r="O846" s="3" t="s">
        <v>64</v>
      </c>
      <c r="P846" s="3" t="s">
        <v>130</v>
      </c>
      <c r="Q846" s="2" t="s">
        <v>10637</v>
      </c>
      <c r="R846" s="3" t="s">
        <v>67</v>
      </c>
      <c r="S846" s="4">
        <v>1</v>
      </c>
      <c r="T846" s="4">
        <v>1</v>
      </c>
      <c r="U846" s="5" t="s">
        <v>10474</v>
      </c>
      <c r="V846" s="5" t="s">
        <v>10474</v>
      </c>
      <c r="W846" s="5" t="s">
        <v>2950</v>
      </c>
      <c r="X846" s="5" t="s">
        <v>2950</v>
      </c>
      <c r="Y846" s="4">
        <v>298</v>
      </c>
      <c r="Z846" s="4">
        <v>227</v>
      </c>
      <c r="AA846" s="4">
        <v>252</v>
      </c>
      <c r="AB846" s="4">
        <v>1</v>
      </c>
      <c r="AC846" s="4">
        <v>1</v>
      </c>
      <c r="AD846" s="4">
        <v>3</v>
      </c>
      <c r="AE846" s="4">
        <v>4</v>
      </c>
      <c r="AF846" s="4">
        <v>1</v>
      </c>
      <c r="AG846" s="4">
        <v>2</v>
      </c>
      <c r="AH846" s="4">
        <v>2</v>
      </c>
      <c r="AI846" s="4">
        <v>3</v>
      </c>
      <c r="AJ846" s="4">
        <v>2</v>
      </c>
      <c r="AK846" s="4">
        <v>2</v>
      </c>
      <c r="AL846" s="4">
        <v>0</v>
      </c>
      <c r="AM846" s="4">
        <v>0</v>
      </c>
      <c r="AN846" s="4">
        <v>0</v>
      </c>
      <c r="AO846" s="4">
        <v>0</v>
      </c>
      <c r="AP846" s="3" t="s">
        <v>59</v>
      </c>
      <c r="AQ846" s="3" t="s">
        <v>70</v>
      </c>
      <c r="AR846" s="6" t="str">
        <f>HYPERLINK("http://catalog.hathitrust.org/Record/000310143","HathiTrust Record")</f>
        <v>HathiTrust Record</v>
      </c>
      <c r="AS846" s="6" t="str">
        <f>HYPERLINK("https://creighton-primo.hosted.exlibrisgroup.com/primo-explore/search?tab=default_tab&amp;search_scope=EVERYTHING&amp;vid=01CRU&amp;lang=en_US&amp;offset=0&amp;query=any,contains,991005233229702656","Catalog Record")</f>
        <v>Catalog Record</v>
      </c>
      <c r="AT846" s="6" t="str">
        <f>HYPERLINK("http://www.worldcat.org/oclc/8346272","WorldCat Record")</f>
        <v>WorldCat Record</v>
      </c>
      <c r="AU846" s="3" t="s">
        <v>10638</v>
      </c>
      <c r="AV846" s="3" t="s">
        <v>10639</v>
      </c>
      <c r="AW846" s="3" t="s">
        <v>10640</v>
      </c>
      <c r="AX846" s="3" t="s">
        <v>10640</v>
      </c>
      <c r="AY846" s="3" t="s">
        <v>10641</v>
      </c>
      <c r="AZ846" s="3" t="s">
        <v>75</v>
      </c>
      <c r="BB846" s="3" t="s">
        <v>10642</v>
      </c>
      <c r="BC846" s="3" t="s">
        <v>10643</v>
      </c>
      <c r="BD846" s="3" t="s">
        <v>10644</v>
      </c>
    </row>
    <row r="847" spans="1:56" ht="48" customHeight="1" x14ac:dyDescent="0.25">
      <c r="A847" s="7" t="s">
        <v>59</v>
      </c>
      <c r="B847" s="2" t="s">
        <v>10645</v>
      </c>
      <c r="C847" s="2" t="s">
        <v>10646</v>
      </c>
      <c r="D847" s="2" t="s">
        <v>10647</v>
      </c>
      <c r="F847" s="3" t="s">
        <v>59</v>
      </c>
      <c r="G847" s="3" t="s">
        <v>60</v>
      </c>
      <c r="H847" s="3" t="s">
        <v>59</v>
      </c>
      <c r="I847" s="3" t="s">
        <v>59</v>
      </c>
      <c r="J847" s="3" t="s">
        <v>61</v>
      </c>
      <c r="K847" s="2" t="s">
        <v>10648</v>
      </c>
      <c r="L847" s="2" t="s">
        <v>10649</v>
      </c>
      <c r="M847" s="3" t="s">
        <v>333</v>
      </c>
      <c r="O847" s="3" t="s">
        <v>64</v>
      </c>
      <c r="P847" s="3" t="s">
        <v>1201</v>
      </c>
      <c r="Q847" s="2" t="s">
        <v>10650</v>
      </c>
      <c r="R847" s="3" t="s">
        <v>67</v>
      </c>
      <c r="S847" s="4">
        <v>3</v>
      </c>
      <c r="T847" s="4">
        <v>3</v>
      </c>
      <c r="U847" s="5" t="s">
        <v>10651</v>
      </c>
      <c r="V847" s="5" t="s">
        <v>10651</v>
      </c>
      <c r="W847" s="5" t="s">
        <v>885</v>
      </c>
      <c r="X847" s="5" t="s">
        <v>885</v>
      </c>
      <c r="Y847" s="4">
        <v>252</v>
      </c>
      <c r="Z847" s="4">
        <v>181</v>
      </c>
      <c r="AA847" s="4">
        <v>199</v>
      </c>
      <c r="AB847" s="4">
        <v>2</v>
      </c>
      <c r="AC847" s="4">
        <v>2</v>
      </c>
      <c r="AD847" s="4">
        <v>7</v>
      </c>
      <c r="AE847" s="4">
        <v>8</v>
      </c>
      <c r="AF847" s="4">
        <v>1</v>
      </c>
      <c r="AG847" s="4">
        <v>2</v>
      </c>
      <c r="AH847" s="4">
        <v>3</v>
      </c>
      <c r="AI847" s="4">
        <v>3</v>
      </c>
      <c r="AJ847" s="4">
        <v>4</v>
      </c>
      <c r="AK847" s="4">
        <v>5</v>
      </c>
      <c r="AL847" s="4">
        <v>1</v>
      </c>
      <c r="AM847" s="4">
        <v>1</v>
      </c>
      <c r="AN847" s="4">
        <v>0</v>
      </c>
      <c r="AO847" s="4">
        <v>0</v>
      </c>
      <c r="AP847" s="3" t="s">
        <v>59</v>
      </c>
      <c r="AQ847" s="3" t="s">
        <v>70</v>
      </c>
      <c r="AR847" s="6" t="str">
        <f>HYPERLINK("http://catalog.hathitrust.org/Record/000572549","HathiTrust Record")</f>
        <v>HathiTrust Record</v>
      </c>
      <c r="AS847" s="6" t="str">
        <f>HYPERLINK("https://creighton-primo.hosted.exlibrisgroup.com/primo-explore/search?tab=default_tab&amp;search_scope=EVERYTHING&amp;vid=01CRU&amp;lang=en_US&amp;offset=0&amp;query=any,contains,991000487919702656","Catalog Record")</f>
        <v>Catalog Record</v>
      </c>
      <c r="AT847" s="6" t="str">
        <f>HYPERLINK("http://www.worldcat.org/oclc/11090112","WorldCat Record")</f>
        <v>WorldCat Record</v>
      </c>
      <c r="AU847" s="3" t="s">
        <v>10652</v>
      </c>
      <c r="AV847" s="3" t="s">
        <v>10653</v>
      </c>
      <c r="AW847" s="3" t="s">
        <v>10654</v>
      </c>
      <c r="AX847" s="3" t="s">
        <v>10654</v>
      </c>
      <c r="AY847" s="3" t="s">
        <v>10655</v>
      </c>
      <c r="AZ847" s="3" t="s">
        <v>75</v>
      </c>
      <c r="BB847" s="3" t="s">
        <v>10656</v>
      </c>
      <c r="BC847" s="3" t="s">
        <v>10657</v>
      </c>
      <c r="BD847" s="3" t="s">
        <v>10658</v>
      </c>
    </row>
    <row r="848" spans="1:56" ht="48" customHeight="1" x14ac:dyDescent="0.25">
      <c r="A848" s="7" t="s">
        <v>59</v>
      </c>
      <c r="B848" s="2" t="s">
        <v>10659</v>
      </c>
      <c r="C848" s="2" t="s">
        <v>10660</v>
      </c>
      <c r="D848" s="2" t="s">
        <v>10661</v>
      </c>
      <c r="F848" s="3" t="s">
        <v>59</v>
      </c>
      <c r="G848" s="3" t="s">
        <v>60</v>
      </c>
      <c r="H848" s="3" t="s">
        <v>70</v>
      </c>
      <c r="I848" s="3" t="s">
        <v>59</v>
      </c>
      <c r="J848" s="3" t="s">
        <v>61</v>
      </c>
      <c r="L848" s="2" t="s">
        <v>10662</v>
      </c>
      <c r="M848" s="3" t="s">
        <v>319</v>
      </c>
      <c r="O848" s="3" t="s">
        <v>64</v>
      </c>
      <c r="P848" s="3" t="s">
        <v>65</v>
      </c>
      <c r="R848" s="3" t="s">
        <v>67</v>
      </c>
      <c r="S848" s="4">
        <v>5</v>
      </c>
      <c r="T848" s="4">
        <v>5</v>
      </c>
      <c r="U848" s="5" t="s">
        <v>860</v>
      </c>
      <c r="V848" s="5" t="s">
        <v>860</v>
      </c>
      <c r="W848" s="5" t="s">
        <v>885</v>
      </c>
      <c r="X848" s="5" t="s">
        <v>885</v>
      </c>
      <c r="Y848" s="4">
        <v>309</v>
      </c>
      <c r="Z848" s="4">
        <v>226</v>
      </c>
      <c r="AA848" s="4">
        <v>244</v>
      </c>
      <c r="AB848" s="4">
        <v>3</v>
      </c>
      <c r="AC848" s="4">
        <v>3</v>
      </c>
      <c r="AD848" s="4">
        <v>3</v>
      </c>
      <c r="AE848" s="4">
        <v>4</v>
      </c>
      <c r="AF848" s="4">
        <v>1</v>
      </c>
      <c r="AG848" s="4">
        <v>2</v>
      </c>
      <c r="AH848" s="4">
        <v>1</v>
      </c>
      <c r="AI848" s="4">
        <v>1</v>
      </c>
      <c r="AJ848" s="4">
        <v>2</v>
      </c>
      <c r="AK848" s="4">
        <v>3</v>
      </c>
      <c r="AL848" s="4">
        <v>1</v>
      </c>
      <c r="AM848" s="4">
        <v>1</v>
      </c>
      <c r="AN848" s="4">
        <v>0</v>
      </c>
      <c r="AO848" s="4">
        <v>0</v>
      </c>
      <c r="AP848" s="3" t="s">
        <v>59</v>
      </c>
      <c r="AQ848" s="3" t="s">
        <v>70</v>
      </c>
      <c r="AR848" s="6" t="str">
        <f>HYPERLINK("http://catalog.hathitrust.org/Record/000560545","HathiTrust Record")</f>
        <v>HathiTrust Record</v>
      </c>
      <c r="AS848" s="6" t="str">
        <f>HYPERLINK("https://creighton-primo.hosted.exlibrisgroup.com/primo-explore/search?tab=default_tab&amp;search_scope=EVERYTHING&amp;vid=01CRU&amp;lang=en_US&amp;offset=0&amp;query=any,contains,991000388679702656","Catalog Record")</f>
        <v>Catalog Record</v>
      </c>
      <c r="AT848" s="6" t="str">
        <f>HYPERLINK("http://www.worldcat.org/oclc/10532902","WorldCat Record")</f>
        <v>WorldCat Record</v>
      </c>
      <c r="AU848" s="3" t="s">
        <v>10663</v>
      </c>
      <c r="AV848" s="3" t="s">
        <v>10664</v>
      </c>
      <c r="AW848" s="3" t="s">
        <v>10665</v>
      </c>
      <c r="AX848" s="3" t="s">
        <v>10665</v>
      </c>
      <c r="AY848" s="3" t="s">
        <v>10666</v>
      </c>
      <c r="AZ848" s="3" t="s">
        <v>75</v>
      </c>
      <c r="BB848" s="3" t="s">
        <v>10667</v>
      </c>
      <c r="BC848" s="3" t="s">
        <v>10668</v>
      </c>
      <c r="BD848" s="3" t="s">
        <v>10669</v>
      </c>
    </row>
    <row r="849" spans="1:56" ht="48" customHeight="1" x14ac:dyDescent="0.25">
      <c r="A849" s="7" t="s">
        <v>59</v>
      </c>
      <c r="B849" s="2" t="s">
        <v>10670</v>
      </c>
      <c r="C849" s="2" t="s">
        <v>10671</v>
      </c>
      <c r="D849" s="2" t="s">
        <v>10672</v>
      </c>
      <c r="F849" s="3" t="s">
        <v>59</v>
      </c>
      <c r="G849" s="3" t="s">
        <v>60</v>
      </c>
      <c r="H849" s="3" t="s">
        <v>59</v>
      </c>
      <c r="I849" s="3" t="s">
        <v>59</v>
      </c>
      <c r="J849" s="3" t="s">
        <v>61</v>
      </c>
      <c r="L849" s="2" t="s">
        <v>10673</v>
      </c>
      <c r="M849" s="3" t="s">
        <v>248</v>
      </c>
      <c r="O849" s="3" t="s">
        <v>64</v>
      </c>
      <c r="P849" s="3" t="s">
        <v>115</v>
      </c>
      <c r="Q849" s="2" t="s">
        <v>10674</v>
      </c>
      <c r="R849" s="3" t="s">
        <v>67</v>
      </c>
      <c r="S849" s="4">
        <v>6</v>
      </c>
      <c r="T849" s="4">
        <v>6</v>
      </c>
      <c r="U849" s="5" t="s">
        <v>860</v>
      </c>
      <c r="V849" s="5" t="s">
        <v>860</v>
      </c>
      <c r="W849" s="5" t="s">
        <v>2950</v>
      </c>
      <c r="X849" s="5" t="s">
        <v>2950</v>
      </c>
      <c r="Y849" s="4">
        <v>174</v>
      </c>
      <c r="Z849" s="4">
        <v>122</v>
      </c>
      <c r="AA849" s="4">
        <v>122</v>
      </c>
      <c r="AB849" s="4">
        <v>1</v>
      </c>
      <c r="AC849" s="4">
        <v>1</v>
      </c>
      <c r="AD849" s="4">
        <v>4</v>
      </c>
      <c r="AE849" s="4">
        <v>4</v>
      </c>
      <c r="AF849" s="4">
        <v>3</v>
      </c>
      <c r="AG849" s="4">
        <v>3</v>
      </c>
      <c r="AH849" s="4">
        <v>0</v>
      </c>
      <c r="AI849" s="4">
        <v>0</v>
      </c>
      <c r="AJ849" s="4">
        <v>3</v>
      </c>
      <c r="AK849" s="4">
        <v>3</v>
      </c>
      <c r="AL849" s="4">
        <v>0</v>
      </c>
      <c r="AM849" s="4">
        <v>0</v>
      </c>
      <c r="AN849" s="4">
        <v>0</v>
      </c>
      <c r="AO849" s="4">
        <v>0</v>
      </c>
      <c r="AP849" s="3" t="s">
        <v>59</v>
      </c>
      <c r="AQ849" s="3" t="s">
        <v>59</v>
      </c>
      <c r="AS849" s="6" t="str">
        <f>HYPERLINK("https://creighton-primo.hosted.exlibrisgroup.com/primo-explore/search?tab=default_tab&amp;search_scope=EVERYTHING&amp;vid=01CRU&amp;lang=en_US&amp;offset=0&amp;query=any,contains,991005143999702656","Catalog Record")</f>
        <v>Catalog Record</v>
      </c>
      <c r="AT849" s="6" t="str">
        <f>HYPERLINK("http://www.worldcat.org/oclc/7652953","WorldCat Record")</f>
        <v>WorldCat Record</v>
      </c>
      <c r="AU849" s="3" t="s">
        <v>10675</v>
      </c>
      <c r="AV849" s="3" t="s">
        <v>10676</v>
      </c>
      <c r="AW849" s="3" t="s">
        <v>10677</v>
      </c>
      <c r="AX849" s="3" t="s">
        <v>10677</v>
      </c>
      <c r="AY849" s="3" t="s">
        <v>10678</v>
      </c>
      <c r="AZ849" s="3" t="s">
        <v>75</v>
      </c>
      <c r="BB849" s="3" t="s">
        <v>10679</v>
      </c>
      <c r="BC849" s="3" t="s">
        <v>10680</v>
      </c>
      <c r="BD849" s="3" t="s">
        <v>10681</v>
      </c>
    </row>
    <row r="850" spans="1:56" ht="48" customHeight="1" x14ac:dyDescent="0.25">
      <c r="A850" s="7" t="s">
        <v>59</v>
      </c>
      <c r="B850" s="2" t="s">
        <v>10682</v>
      </c>
      <c r="C850" s="2" t="s">
        <v>10683</v>
      </c>
      <c r="D850" s="2" t="s">
        <v>10684</v>
      </c>
      <c r="F850" s="3" t="s">
        <v>59</v>
      </c>
      <c r="G850" s="3" t="s">
        <v>60</v>
      </c>
      <c r="H850" s="3" t="s">
        <v>59</v>
      </c>
      <c r="I850" s="3" t="s">
        <v>59</v>
      </c>
      <c r="J850" s="3" t="s">
        <v>61</v>
      </c>
      <c r="K850" s="2" t="s">
        <v>10685</v>
      </c>
      <c r="L850" s="2" t="s">
        <v>10686</v>
      </c>
      <c r="M850" s="3" t="s">
        <v>485</v>
      </c>
      <c r="O850" s="3" t="s">
        <v>64</v>
      </c>
      <c r="P850" s="3" t="s">
        <v>130</v>
      </c>
      <c r="R850" s="3" t="s">
        <v>67</v>
      </c>
      <c r="S850" s="4">
        <v>2</v>
      </c>
      <c r="T850" s="4">
        <v>2</v>
      </c>
      <c r="U850" s="5" t="s">
        <v>10687</v>
      </c>
      <c r="V850" s="5" t="s">
        <v>10687</v>
      </c>
      <c r="W850" s="5" t="s">
        <v>6121</v>
      </c>
      <c r="X850" s="5" t="s">
        <v>6121</v>
      </c>
      <c r="Y850" s="4">
        <v>393</v>
      </c>
      <c r="Z850" s="4">
        <v>373</v>
      </c>
      <c r="AA850" s="4">
        <v>374</v>
      </c>
      <c r="AB850" s="4">
        <v>5</v>
      </c>
      <c r="AC850" s="4">
        <v>5</v>
      </c>
      <c r="AD850" s="4">
        <v>8</v>
      </c>
      <c r="AE850" s="4">
        <v>8</v>
      </c>
      <c r="AF850" s="4">
        <v>2</v>
      </c>
      <c r="AG850" s="4">
        <v>2</v>
      </c>
      <c r="AH850" s="4">
        <v>0</v>
      </c>
      <c r="AI850" s="4">
        <v>0</v>
      </c>
      <c r="AJ850" s="4">
        <v>3</v>
      </c>
      <c r="AK850" s="4">
        <v>3</v>
      </c>
      <c r="AL850" s="4">
        <v>4</v>
      </c>
      <c r="AM850" s="4">
        <v>4</v>
      </c>
      <c r="AN850" s="4">
        <v>0</v>
      </c>
      <c r="AO850" s="4">
        <v>0</v>
      </c>
      <c r="AP850" s="3" t="s">
        <v>59</v>
      </c>
      <c r="AQ850" s="3" t="s">
        <v>59</v>
      </c>
      <c r="AS850" s="6" t="str">
        <f>HYPERLINK("https://creighton-primo.hosted.exlibrisgroup.com/primo-explore/search?tab=default_tab&amp;search_scope=EVERYTHING&amp;vid=01CRU&amp;lang=en_US&amp;offset=0&amp;query=any,contains,991004667379702656","Catalog Record")</f>
        <v>Catalog Record</v>
      </c>
      <c r="AT850" s="6" t="str">
        <f>HYPERLINK("http://www.worldcat.org/oclc/4505306","WorldCat Record")</f>
        <v>WorldCat Record</v>
      </c>
      <c r="AU850" s="3" t="s">
        <v>10688</v>
      </c>
      <c r="AV850" s="3" t="s">
        <v>10689</v>
      </c>
      <c r="AW850" s="3" t="s">
        <v>10690</v>
      </c>
      <c r="AX850" s="3" t="s">
        <v>10690</v>
      </c>
      <c r="AY850" s="3" t="s">
        <v>10691</v>
      </c>
      <c r="AZ850" s="3" t="s">
        <v>75</v>
      </c>
      <c r="BB850" s="3" t="s">
        <v>10692</v>
      </c>
      <c r="BC850" s="3" t="s">
        <v>10693</v>
      </c>
      <c r="BD850" s="3" t="s">
        <v>10694</v>
      </c>
    </row>
    <row r="851" spans="1:56" ht="48" customHeight="1" x14ac:dyDescent="0.25">
      <c r="A851" s="7" t="s">
        <v>59</v>
      </c>
      <c r="B851" s="2" t="s">
        <v>10695</v>
      </c>
      <c r="C851" s="2" t="s">
        <v>10696</v>
      </c>
      <c r="D851" s="2" t="s">
        <v>10697</v>
      </c>
      <c r="F851" s="3" t="s">
        <v>59</v>
      </c>
      <c r="G851" s="3" t="s">
        <v>60</v>
      </c>
      <c r="H851" s="3" t="s">
        <v>59</v>
      </c>
      <c r="I851" s="3" t="s">
        <v>59</v>
      </c>
      <c r="J851" s="3" t="s">
        <v>61</v>
      </c>
      <c r="L851" s="2" t="s">
        <v>3618</v>
      </c>
      <c r="M851" s="3" t="s">
        <v>234</v>
      </c>
      <c r="O851" s="3" t="s">
        <v>64</v>
      </c>
      <c r="P851" s="3" t="s">
        <v>1201</v>
      </c>
      <c r="Q851" s="2" t="s">
        <v>10698</v>
      </c>
      <c r="R851" s="3" t="s">
        <v>67</v>
      </c>
      <c r="S851" s="4">
        <v>8</v>
      </c>
      <c r="T851" s="4">
        <v>8</v>
      </c>
      <c r="U851" s="5" t="s">
        <v>10699</v>
      </c>
      <c r="V851" s="5" t="s">
        <v>10699</v>
      </c>
      <c r="W851" s="5" t="s">
        <v>10700</v>
      </c>
      <c r="X851" s="5" t="s">
        <v>10700</v>
      </c>
      <c r="Y851" s="4">
        <v>194</v>
      </c>
      <c r="Z851" s="4">
        <v>118</v>
      </c>
      <c r="AA851" s="4">
        <v>133</v>
      </c>
      <c r="AB851" s="4">
        <v>2</v>
      </c>
      <c r="AC851" s="4">
        <v>2</v>
      </c>
      <c r="AD851" s="4">
        <v>5</v>
      </c>
      <c r="AE851" s="4">
        <v>6</v>
      </c>
      <c r="AF851" s="4">
        <v>0</v>
      </c>
      <c r="AG851" s="4">
        <v>1</v>
      </c>
      <c r="AH851" s="4">
        <v>2</v>
      </c>
      <c r="AI851" s="4">
        <v>2</v>
      </c>
      <c r="AJ851" s="4">
        <v>3</v>
      </c>
      <c r="AK851" s="4">
        <v>4</v>
      </c>
      <c r="AL851" s="4">
        <v>1</v>
      </c>
      <c r="AM851" s="4">
        <v>1</v>
      </c>
      <c r="AN851" s="4">
        <v>0</v>
      </c>
      <c r="AO851" s="4">
        <v>0</v>
      </c>
      <c r="AP851" s="3" t="s">
        <v>59</v>
      </c>
      <c r="AQ851" s="3" t="s">
        <v>70</v>
      </c>
      <c r="AR851" s="6" t="str">
        <f>HYPERLINK("http://catalog.hathitrust.org/Record/008990384","HathiTrust Record")</f>
        <v>HathiTrust Record</v>
      </c>
      <c r="AS851" s="6" t="str">
        <f>HYPERLINK("https://creighton-primo.hosted.exlibrisgroup.com/primo-explore/search?tab=default_tab&amp;search_scope=EVERYTHING&amp;vid=01CRU&amp;lang=en_US&amp;offset=0&amp;query=any,contains,991001491099702656","Catalog Record")</f>
        <v>Catalog Record</v>
      </c>
      <c r="AT851" s="6" t="str">
        <f>HYPERLINK("http://www.worldcat.org/oclc/19723177","WorldCat Record")</f>
        <v>WorldCat Record</v>
      </c>
      <c r="AU851" s="3" t="s">
        <v>10701</v>
      </c>
      <c r="AV851" s="3" t="s">
        <v>10702</v>
      </c>
      <c r="AW851" s="3" t="s">
        <v>10703</v>
      </c>
      <c r="AX851" s="3" t="s">
        <v>10703</v>
      </c>
      <c r="AY851" s="3" t="s">
        <v>10704</v>
      </c>
      <c r="AZ851" s="3" t="s">
        <v>75</v>
      </c>
      <c r="BB851" s="3" t="s">
        <v>10705</v>
      </c>
      <c r="BC851" s="3" t="s">
        <v>10706</v>
      </c>
      <c r="BD851" s="3" t="s">
        <v>10707</v>
      </c>
    </row>
    <row r="852" spans="1:56" ht="48" customHeight="1" x14ac:dyDescent="0.25">
      <c r="A852" s="7" t="s">
        <v>59</v>
      </c>
      <c r="B852" s="2" t="s">
        <v>10708</v>
      </c>
      <c r="C852" s="2" t="s">
        <v>10709</v>
      </c>
      <c r="D852" s="2" t="s">
        <v>10710</v>
      </c>
      <c r="F852" s="3" t="s">
        <v>59</v>
      </c>
      <c r="G852" s="3" t="s">
        <v>60</v>
      </c>
      <c r="H852" s="3" t="s">
        <v>59</v>
      </c>
      <c r="I852" s="3" t="s">
        <v>59</v>
      </c>
      <c r="J852" s="3" t="s">
        <v>61</v>
      </c>
      <c r="L852" s="2" t="s">
        <v>10711</v>
      </c>
      <c r="M852" s="3" t="s">
        <v>348</v>
      </c>
      <c r="O852" s="3" t="s">
        <v>64</v>
      </c>
      <c r="P852" s="3" t="s">
        <v>1270</v>
      </c>
      <c r="R852" s="3" t="s">
        <v>67</v>
      </c>
      <c r="S852" s="4">
        <v>3</v>
      </c>
      <c r="T852" s="4">
        <v>3</v>
      </c>
      <c r="U852" s="5" t="s">
        <v>10712</v>
      </c>
      <c r="V852" s="5" t="s">
        <v>10712</v>
      </c>
      <c r="W852" s="5" t="s">
        <v>8895</v>
      </c>
      <c r="X852" s="5" t="s">
        <v>8895</v>
      </c>
      <c r="Y852" s="4">
        <v>156</v>
      </c>
      <c r="Z852" s="4">
        <v>124</v>
      </c>
      <c r="AA852" s="4">
        <v>142</v>
      </c>
      <c r="AB852" s="4">
        <v>1</v>
      </c>
      <c r="AC852" s="4">
        <v>1</v>
      </c>
      <c r="AD852" s="4">
        <v>2</v>
      </c>
      <c r="AE852" s="4">
        <v>2</v>
      </c>
      <c r="AF852" s="4">
        <v>0</v>
      </c>
      <c r="AG852" s="4">
        <v>0</v>
      </c>
      <c r="AH852" s="4">
        <v>0</v>
      </c>
      <c r="AI852" s="4">
        <v>0</v>
      </c>
      <c r="AJ852" s="4">
        <v>2</v>
      </c>
      <c r="AK852" s="4">
        <v>2</v>
      </c>
      <c r="AL852" s="4">
        <v>0</v>
      </c>
      <c r="AM852" s="4">
        <v>0</v>
      </c>
      <c r="AN852" s="4">
        <v>0</v>
      </c>
      <c r="AO852" s="4">
        <v>0</v>
      </c>
      <c r="AP852" s="3" t="s">
        <v>59</v>
      </c>
      <c r="AQ852" s="3" t="s">
        <v>70</v>
      </c>
      <c r="AR852" s="6" t="str">
        <f>HYPERLINK("http://catalog.hathitrust.org/Record/002734557","HathiTrust Record")</f>
        <v>HathiTrust Record</v>
      </c>
      <c r="AS852" s="6" t="str">
        <f>HYPERLINK("https://creighton-primo.hosted.exlibrisgroup.com/primo-explore/search?tab=default_tab&amp;search_scope=EVERYTHING&amp;vid=01CRU&amp;lang=en_US&amp;offset=0&amp;query=any,contains,991002203549702656","Catalog Record")</f>
        <v>Catalog Record</v>
      </c>
      <c r="AT852" s="6" t="str">
        <f>HYPERLINK("http://www.worldcat.org/oclc/28339126","WorldCat Record")</f>
        <v>WorldCat Record</v>
      </c>
      <c r="AU852" s="3" t="s">
        <v>10713</v>
      </c>
      <c r="AV852" s="3" t="s">
        <v>10714</v>
      </c>
      <c r="AW852" s="3" t="s">
        <v>10715</v>
      </c>
      <c r="AX852" s="3" t="s">
        <v>10715</v>
      </c>
      <c r="AY852" s="3" t="s">
        <v>10716</v>
      </c>
      <c r="AZ852" s="3" t="s">
        <v>75</v>
      </c>
      <c r="BB852" s="3" t="s">
        <v>10717</v>
      </c>
      <c r="BC852" s="3" t="s">
        <v>10718</v>
      </c>
      <c r="BD852" s="3" t="s">
        <v>10719</v>
      </c>
    </row>
    <row r="853" spans="1:56" ht="48" customHeight="1" x14ac:dyDescent="0.25">
      <c r="A853" s="7" t="s">
        <v>59</v>
      </c>
      <c r="B853" s="2" t="s">
        <v>10720</v>
      </c>
      <c r="C853" s="2" t="s">
        <v>10721</v>
      </c>
      <c r="D853" s="2" t="s">
        <v>10722</v>
      </c>
      <c r="F853" s="3" t="s">
        <v>59</v>
      </c>
      <c r="G853" s="3" t="s">
        <v>60</v>
      </c>
      <c r="H853" s="3" t="s">
        <v>59</v>
      </c>
      <c r="I853" s="3" t="s">
        <v>59</v>
      </c>
      <c r="J853" s="3" t="s">
        <v>61</v>
      </c>
      <c r="K853" s="2" t="s">
        <v>10723</v>
      </c>
      <c r="L853" s="2" t="s">
        <v>10724</v>
      </c>
      <c r="M853" s="3" t="s">
        <v>219</v>
      </c>
      <c r="N853" s="2" t="s">
        <v>731</v>
      </c>
      <c r="O853" s="3" t="s">
        <v>64</v>
      </c>
      <c r="P853" s="3" t="s">
        <v>176</v>
      </c>
      <c r="R853" s="3" t="s">
        <v>67</v>
      </c>
      <c r="S853" s="4">
        <v>3</v>
      </c>
      <c r="T853" s="4">
        <v>3</v>
      </c>
      <c r="U853" s="5" t="s">
        <v>10725</v>
      </c>
      <c r="V853" s="5" t="s">
        <v>10725</v>
      </c>
      <c r="W853" s="5" t="s">
        <v>10726</v>
      </c>
      <c r="X853" s="5" t="s">
        <v>10726</v>
      </c>
      <c r="Y853" s="4">
        <v>560</v>
      </c>
      <c r="Z853" s="4">
        <v>509</v>
      </c>
      <c r="AA853" s="4">
        <v>520</v>
      </c>
      <c r="AB853" s="4">
        <v>2</v>
      </c>
      <c r="AC853" s="4">
        <v>2</v>
      </c>
      <c r="AD853" s="4">
        <v>12</v>
      </c>
      <c r="AE853" s="4">
        <v>12</v>
      </c>
      <c r="AF853" s="4">
        <v>2</v>
      </c>
      <c r="AG853" s="4">
        <v>2</v>
      </c>
      <c r="AH853" s="4">
        <v>4</v>
      </c>
      <c r="AI853" s="4">
        <v>4</v>
      </c>
      <c r="AJ853" s="4">
        <v>9</v>
      </c>
      <c r="AK853" s="4">
        <v>9</v>
      </c>
      <c r="AL853" s="4">
        <v>0</v>
      </c>
      <c r="AM853" s="4">
        <v>0</v>
      </c>
      <c r="AN853" s="4">
        <v>0</v>
      </c>
      <c r="AO853" s="4">
        <v>0</v>
      </c>
      <c r="AP853" s="3" t="s">
        <v>59</v>
      </c>
      <c r="AQ853" s="3" t="s">
        <v>59</v>
      </c>
      <c r="AS853" s="6" t="str">
        <f>HYPERLINK("https://creighton-primo.hosted.exlibrisgroup.com/primo-explore/search?tab=default_tab&amp;search_scope=EVERYTHING&amp;vid=01CRU&amp;lang=en_US&amp;offset=0&amp;query=any,contains,991001508209702656","Catalog Record")</f>
        <v>Catalog Record</v>
      </c>
      <c r="AT853" s="6" t="str">
        <f>HYPERLINK("http://www.worldcat.org/oclc/19849940","WorldCat Record")</f>
        <v>WorldCat Record</v>
      </c>
      <c r="AU853" s="3" t="s">
        <v>10727</v>
      </c>
      <c r="AV853" s="3" t="s">
        <v>10728</v>
      </c>
      <c r="AW853" s="3" t="s">
        <v>10729</v>
      </c>
      <c r="AX853" s="3" t="s">
        <v>10729</v>
      </c>
      <c r="AY853" s="3" t="s">
        <v>10730</v>
      </c>
      <c r="AZ853" s="3" t="s">
        <v>75</v>
      </c>
      <c r="BB853" s="3" t="s">
        <v>10731</v>
      </c>
      <c r="BC853" s="3" t="s">
        <v>10732</v>
      </c>
      <c r="BD853" s="3" t="s">
        <v>10733</v>
      </c>
    </row>
    <row r="854" spans="1:56" ht="48" customHeight="1" x14ac:dyDescent="0.25">
      <c r="A854" s="7" t="s">
        <v>59</v>
      </c>
      <c r="B854" s="2" t="s">
        <v>10734</v>
      </c>
      <c r="C854" s="2" t="s">
        <v>10735</v>
      </c>
      <c r="D854" s="2" t="s">
        <v>10736</v>
      </c>
      <c r="F854" s="3" t="s">
        <v>59</v>
      </c>
      <c r="G854" s="3" t="s">
        <v>60</v>
      </c>
      <c r="H854" s="3" t="s">
        <v>59</v>
      </c>
      <c r="I854" s="3" t="s">
        <v>59</v>
      </c>
      <c r="J854" s="3" t="s">
        <v>61</v>
      </c>
      <c r="L854" s="2" t="s">
        <v>9474</v>
      </c>
      <c r="M854" s="3" t="s">
        <v>190</v>
      </c>
      <c r="O854" s="3" t="s">
        <v>64</v>
      </c>
      <c r="P854" s="3" t="s">
        <v>191</v>
      </c>
      <c r="R854" s="3" t="s">
        <v>67</v>
      </c>
      <c r="S854" s="4">
        <v>9</v>
      </c>
      <c r="T854" s="4">
        <v>9</v>
      </c>
      <c r="U854" s="5" t="s">
        <v>10737</v>
      </c>
      <c r="V854" s="5" t="s">
        <v>10737</v>
      </c>
      <c r="W854" s="5" t="s">
        <v>2950</v>
      </c>
      <c r="X854" s="5" t="s">
        <v>2950</v>
      </c>
      <c r="Y854" s="4">
        <v>334</v>
      </c>
      <c r="Z854" s="4">
        <v>257</v>
      </c>
      <c r="AA854" s="4">
        <v>298</v>
      </c>
      <c r="AB854" s="4">
        <v>2</v>
      </c>
      <c r="AC854" s="4">
        <v>2</v>
      </c>
      <c r="AD854" s="4">
        <v>5</v>
      </c>
      <c r="AE854" s="4">
        <v>5</v>
      </c>
      <c r="AF854" s="4">
        <v>3</v>
      </c>
      <c r="AG854" s="4">
        <v>3</v>
      </c>
      <c r="AH854" s="4">
        <v>1</v>
      </c>
      <c r="AI854" s="4">
        <v>1</v>
      </c>
      <c r="AJ854" s="4">
        <v>2</v>
      </c>
      <c r="AK854" s="4">
        <v>2</v>
      </c>
      <c r="AL854" s="4">
        <v>1</v>
      </c>
      <c r="AM854" s="4">
        <v>1</v>
      </c>
      <c r="AN854" s="4">
        <v>0</v>
      </c>
      <c r="AO854" s="4">
        <v>0</v>
      </c>
      <c r="AP854" s="3" t="s">
        <v>59</v>
      </c>
      <c r="AQ854" s="3" t="s">
        <v>70</v>
      </c>
      <c r="AR854" s="6" t="str">
        <f>HYPERLINK("http://catalog.hathitrust.org/Record/000594923","HathiTrust Record")</f>
        <v>HathiTrust Record</v>
      </c>
      <c r="AS854" s="6" t="str">
        <f>HYPERLINK("https://creighton-primo.hosted.exlibrisgroup.com/primo-explore/search?tab=default_tab&amp;search_scope=EVERYTHING&amp;vid=01CRU&amp;lang=en_US&amp;offset=0&amp;query=any,contains,991000635859702656","Catalog Record")</f>
        <v>Catalog Record</v>
      </c>
      <c r="AT854" s="6" t="str">
        <f>HYPERLINK("http://www.worldcat.org/oclc/12081061","WorldCat Record")</f>
        <v>WorldCat Record</v>
      </c>
      <c r="AU854" s="3" t="s">
        <v>10738</v>
      </c>
      <c r="AV854" s="3" t="s">
        <v>10739</v>
      </c>
      <c r="AW854" s="3" t="s">
        <v>10740</v>
      </c>
      <c r="AX854" s="3" t="s">
        <v>10740</v>
      </c>
      <c r="AY854" s="3" t="s">
        <v>10741</v>
      </c>
      <c r="AZ854" s="3" t="s">
        <v>75</v>
      </c>
      <c r="BB854" s="3" t="s">
        <v>10742</v>
      </c>
      <c r="BC854" s="3" t="s">
        <v>10743</v>
      </c>
      <c r="BD854" s="3" t="s">
        <v>10744</v>
      </c>
    </row>
    <row r="855" spans="1:56" ht="48" customHeight="1" x14ac:dyDescent="0.25">
      <c r="A855" s="7" t="s">
        <v>59</v>
      </c>
      <c r="B855" s="2" t="s">
        <v>10745</v>
      </c>
      <c r="C855" s="2" t="s">
        <v>10746</v>
      </c>
      <c r="D855" s="2" t="s">
        <v>10747</v>
      </c>
      <c r="F855" s="3" t="s">
        <v>59</v>
      </c>
      <c r="G855" s="3" t="s">
        <v>60</v>
      </c>
      <c r="H855" s="3" t="s">
        <v>59</v>
      </c>
      <c r="I855" s="3" t="s">
        <v>59</v>
      </c>
      <c r="J855" s="3" t="s">
        <v>61</v>
      </c>
      <c r="K855" s="2" t="s">
        <v>10748</v>
      </c>
      <c r="L855" s="2" t="s">
        <v>10749</v>
      </c>
      <c r="M855" s="3" t="s">
        <v>485</v>
      </c>
      <c r="O855" s="3" t="s">
        <v>64</v>
      </c>
      <c r="P855" s="3" t="s">
        <v>10750</v>
      </c>
      <c r="Q855" s="2" t="s">
        <v>10751</v>
      </c>
      <c r="R855" s="3" t="s">
        <v>67</v>
      </c>
      <c r="S855" s="4">
        <v>7</v>
      </c>
      <c r="T855" s="4">
        <v>7</v>
      </c>
      <c r="U855" s="5" t="s">
        <v>10737</v>
      </c>
      <c r="V855" s="5" t="s">
        <v>10737</v>
      </c>
      <c r="W855" s="5" t="s">
        <v>10752</v>
      </c>
      <c r="X855" s="5" t="s">
        <v>10752</v>
      </c>
      <c r="Y855" s="4">
        <v>116</v>
      </c>
      <c r="Z855" s="4">
        <v>101</v>
      </c>
      <c r="AA855" s="4">
        <v>108</v>
      </c>
      <c r="AB855" s="4">
        <v>1</v>
      </c>
      <c r="AC855" s="4">
        <v>1</v>
      </c>
      <c r="AD855" s="4">
        <v>1</v>
      </c>
      <c r="AE855" s="4">
        <v>1</v>
      </c>
      <c r="AF855" s="4">
        <v>1</v>
      </c>
      <c r="AG855" s="4">
        <v>1</v>
      </c>
      <c r="AH855" s="4">
        <v>0</v>
      </c>
      <c r="AI855" s="4">
        <v>0</v>
      </c>
      <c r="AJ855" s="4">
        <v>0</v>
      </c>
      <c r="AK855" s="4">
        <v>0</v>
      </c>
      <c r="AL855" s="4">
        <v>0</v>
      </c>
      <c r="AM855" s="4">
        <v>0</v>
      </c>
      <c r="AN855" s="4">
        <v>0</v>
      </c>
      <c r="AO855" s="4">
        <v>0</v>
      </c>
      <c r="AP855" s="3" t="s">
        <v>70</v>
      </c>
      <c r="AQ855" s="3" t="s">
        <v>59</v>
      </c>
      <c r="AR855" s="6" t="str">
        <f>HYPERLINK("http://catalog.hathitrust.org/Record/102384881","HathiTrust Record")</f>
        <v>HathiTrust Record</v>
      </c>
      <c r="AS855" s="6" t="str">
        <f>HYPERLINK("https://creighton-primo.hosted.exlibrisgroup.com/primo-explore/search?tab=default_tab&amp;search_scope=EVERYTHING&amp;vid=01CRU&amp;lang=en_US&amp;offset=0&amp;query=any,contains,991004838439702656","Catalog Record")</f>
        <v>Catalog Record</v>
      </c>
      <c r="AT855" s="6" t="str">
        <f>HYPERLINK("http://www.worldcat.org/oclc/5474185","WorldCat Record")</f>
        <v>WorldCat Record</v>
      </c>
      <c r="AU855" s="3" t="s">
        <v>10753</v>
      </c>
      <c r="AV855" s="3" t="s">
        <v>10754</v>
      </c>
      <c r="AW855" s="3" t="s">
        <v>10755</v>
      </c>
      <c r="AX855" s="3" t="s">
        <v>10755</v>
      </c>
      <c r="AY855" s="3" t="s">
        <v>10756</v>
      </c>
      <c r="AZ855" s="3" t="s">
        <v>75</v>
      </c>
      <c r="BB855" s="3" t="s">
        <v>10757</v>
      </c>
      <c r="BC855" s="3" t="s">
        <v>10758</v>
      </c>
      <c r="BD855" s="3" t="s">
        <v>10759</v>
      </c>
    </row>
    <row r="856" spans="1:56" ht="48" customHeight="1" x14ac:dyDescent="0.25">
      <c r="A856" s="7" t="s">
        <v>59</v>
      </c>
      <c r="B856" s="2" t="s">
        <v>10760</v>
      </c>
      <c r="C856" s="2" t="s">
        <v>10761</v>
      </c>
      <c r="D856" s="2" t="s">
        <v>10762</v>
      </c>
      <c r="F856" s="3" t="s">
        <v>59</v>
      </c>
      <c r="G856" s="3" t="s">
        <v>60</v>
      </c>
      <c r="H856" s="3" t="s">
        <v>59</v>
      </c>
      <c r="I856" s="3" t="s">
        <v>59</v>
      </c>
      <c r="J856" s="3" t="s">
        <v>61</v>
      </c>
      <c r="K856" s="2" t="s">
        <v>10763</v>
      </c>
      <c r="L856" s="2" t="s">
        <v>10764</v>
      </c>
      <c r="M856" s="3" t="s">
        <v>333</v>
      </c>
      <c r="O856" s="3" t="s">
        <v>64</v>
      </c>
      <c r="P856" s="3" t="s">
        <v>674</v>
      </c>
      <c r="Q856" s="2" t="s">
        <v>10765</v>
      </c>
      <c r="R856" s="3" t="s">
        <v>67</v>
      </c>
      <c r="S856" s="4">
        <v>3</v>
      </c>
      <c r="T856" s="4">
        <v>3</v>
      </c>
      <c r="U856" s="5" t="s">
        <v>10766</v>
      </c>
      <c r="V856" s="5" t="s">
        <v>10766</v>
      </c>
      <c r="W856" s="5" t="s">
        <v>2773</v>
      </c>
      <c r="X856" s="5" t="s">
        <v>2773</v>
      </c>
      <c r="Y856" s="4">
        <v>129</v>
      </c>
      <c r="Z856" s="4">
        <v>112</v>
      </c>
      <c r="AA856" s="4">
        <v>114</v>
      </c>
      <c r="AB856" s="4">
        <v>1</v>
      </c>
      <c r="AC856" s="4">
        <v>1</v>
      </c>
      <c r="AD856" s="4">
        <v>1</v>
      </c>
      <c r="AE856" s="4">
        <v>1</v>
      </c>
      <c r="AF856" s="4">
        <v>0</v>
      </c>
      <c r="AG856" s="4">
        <v>0</v>
      </c>
      <c r="AH856" s="4">
        <v>1</v>
      </c>
      <c r="AI856" s="4">
        <v>1</v>
      </c>
      <c r="AJ856" s="4">
        <v>1</v>
      </c>
      <c r="AK856" s="4">
        <v>1</v>
      </c>
      <c r="AL856" s="4">
        <v>0</v>
      </c>
      <c r="AM856" s="4">
        <v>0</v>
      </c>
      <c r="AN856" s="4">
        <v>0</v>
      </c>
      <c r="AO856" s="4">
        <v>0</v>
      </c>
      <c r="AP856" s="3" t="s">
        <v>59</v>
      </c>
      <c r="AQ856" s="3" t="s">
        <v>70</v>
      </c>
      <c r="AR856" s="6" t="str">
        <f>HYPERLINK("http://catalog.hathitrust.org/Record/000618513","HathiTrust Record")</f>
        <v>HathiTrust Record</v>
      </c>
      <c r="AS856" s="6" t="str">
        <f>HYPERLINK("https://creighton-primo.hosted.exlibrisgroup.com/primo-explore/search?tab=default_tab&amp;search_scope=EVERYTHING&amp;vid=01CRU&amp;lang=en_US&amp;offset=0&amp;query=any,contains,991000542229702656","Catalog Record")</f>
        <v>Catalog Record</v>
      </c>
      <c r="AT856" s="6" t="str">
        <f>HYPERLINK("http://www.worldcat.org/oclc/11496601","WorldCat Record")</f>
        <v>WorldCat Record</v>
      </c>
      <c r="AU856" s="3" t="s">
        <v>10767</v>
      </c>
      <c r="AV856" s="3" t="s">
        <v>10768</v>
      </c>
      <c r="AW856" s="3" t="s">
        <v>10769</v>
      </c>
      <c r="AX856" s="3" t="s">
        <v>10769</v>
      </c>
      <c r="AY856" s="3" t="s">
        <v>10770</v>
      </c>
      <c r="AZ856" s="3" t="s">
        <v>75</v>
      </c>
      <c r="BB856" s="3" t="s">
        <v>10771</v>
      </c>
      <c r="BC856" s="3" t="s">
        <v>10772</v>
      </c>
      <c r="BD856" s="3" t="s">
        <v>10773</v>
      </c>
    </row>
    <row r="857" spans="1:56" ht="48" customHeight="1" x14ac:dyDescent="0.25">
      <c r="A857" s="7" t="s">
        <v>59</v>
      </c>
      <c r="B857" s="2" t="s">
        <v>10774</v>
      </c>
      <c r="C857" s="2" t="s">
        <v>10775</v>
      </c>
      <c r="D857" s="2" t="s">
        <v>10776</v>
      </c>
      <c r="F857" s="3" t="s">
        <v>59</v>
      </c>
      <c r="G857" s="3" t="s">
        <v>60</v>
      </c>
      <c r="H857" s="3" t="s">
        <v>59</v>
      </c>
      <c r="I857" s="3" t="s">
        <v>59</v>
      </c>
      <c r="J857" s="3" t="s">
        <v>61</v>
      </c>
      <c r="K857" s="2" t="s">
        <v>10777</v>
      </c>
      <c r="L857" s="2" t="s">
        <v>686</v>
      </c>
      <c r="M857" s="3" t="s">
        <v>485</v>
      </c>
      <c r="O857" s="3" t="s">
        <v>64</v>
      </c>
      <c r="P857" s="3" t="s">
        <v>130</v>
      </c>
      <c r="R857" s="3" t="s">
        <v>67</v>
      </c>
      <c r="S857" s="4">
        <v>4</v>
      </c>
      <c r="T857" s="4">
        <v>4</v>
      </c>
      <c r="U857" s="5" t="s">
        <v>10737</v>
      </c>
      <c r="V857" s="5" t="s">
        <v>10737</v>
      </c>
      <c r="W857" s="5" t="s">
        <v>2950</v>
      </c>
      <c r="X857" s="5" t="s">
        <v>2950</v>
      </c>
      <c r="Y857" s="4">
        <v>303</v>
      </c>
      <c r="Z857" s="4">
        <v>235</v>
      </c>
      <c r="AA857" s="4">
        <v>250</v>
      </c>
      <c r="AB857" s="4">
        <v>4</v>
      </c>
      <c r="AC857" s="4">
        <v>4</v>
      </c>
      <c r="AD857" s="4">
        <v>8</v>
      </c>
      <c r="AE857" s="4">
        <v>8</v>
      </c>
      <c r="AF857" s="4">
        <v>1</v>
      </c>
      <c r="AG857" s="4">
        <v>1</v>
      </c>
      <c r="AH857" s="4">
        <v>3</v>
      </c>
      <c r="AI857" s="4">
        <v>3</v>
      </c>
      <c r="AJ857" s="4">
        <v>1</v>
      </c>
      <c r="AK857" s="4">
        <v>1</v>
      </c>
      <c r="AL857" s="4">
        <v>3</v>
      </c>
      <c r="AM857" s="4">
        <v>3</v>
      </c>
      <c r="AN857" s="4">
        <v>0</v>
      </c>
      <c r="AO857" s="4">
        <v>0</v>
      </c>
      <c r="AP857" s="3" t="s">
        <v>59</v>
      </c>
      <c r="AQ857" s="3" t="s">
        <v>70</v>
      </c>
      <c r="AR857" s="6" t="str">
        <f>HYPERLINK("http://catalog.hathitrust.org/Record/000020067","HathiTrust Record")</f>
        <v>HathiTrust Record</v>
      </c>
      <c r="AS857" s="6" t="str">
        <f>HYPERLINK("https://creighton-primo.hosted.exlibrisgroup.com/primo-explore/search?tab=default_tab&amp;search_scope=EVERYTHING&amp;vid=01CRU&amp;lang=en_US&amp;offset=0&amp;query=any,contains,991004824889702656","Catalog Record")</f>
        <v>Catalog Record</v>
      </c>
      <c r="AT857" s="6" t="str">
        <f>HYPERLINK("http://www.worldcat.org/oclc/5353070","WorldCat Record")</f>
        <v>WorldCat Record</v>
      </c>
      <c r="AU857" s="3" t="s">
        <v>10778</v>
      </c>
      <c r="AV857" s="3" t="s">
        <v>10779</v>
      </c>
      <c r="AW857" s="3" t="s">
        <v>10780</v>
      </c>
      <c r="AX857" s="3" t="s">
        <v>10780</v>
      </c>
      <c r="AY857" s="3" t="s">
        <v>10781</v>
      </c>
      <c r="AZ857" s="3" t="s">
        <v>75</v>
      </c>
      <c r="BB857" s="3" t="s">
        <v>10782</v>
      </c>
      <c r="BC857" s="3" t="s">
        <v>10783</v>
      </c>
      <c r="BD857" s="3" t="s">
        <v>10784</v>
      </c>
    </row>
    <row r="858" spans="1:56" ht="48" customHeight="1" x14ac:dyDescent="0.25">
      <c r="A858" s="7" t="s">
        <v>59</v>
      </c>
      <c r="B858" s="2" t="s">
        <v>10785</v>
      </c>
      <c r="C858" s="2" t="s">
        <v>10786</v>
      </c>
      <c r="D858" s="2" t="s">
        <v>10787</v>
      </c>
      <c r="F858" s="3" t="s">
        <v>59</v>
      </c>
      <c r="G858" s="3" t="s">
        <v>60</v>
      </c>
      <c r="H858" s="3" t="s">
        <v>59</v>
      </c>
      <c r="I858" s="3" t="s">
        <v>59</v>
      </c>
      <c r="J858" s="3" t="s">
        <v>61</v>
      </c>
      <c r="K858" s="2" t="s">
        <v>10788</v>
      </c>
      <c r="L858" s="2" t="s">
        <v>10789</v>
      </c>
      <c r="M858" s="3" t="s">
        <v>471</v>
      </c>
      <c r="N858" s="2" t="s">
        <v>731</v>
      </c>
      <c r="O858" s="3" t="s">
        <v>64</v>
      </c>
      <c r="P858" s="3" t="s">
        <v>130</v>
      </c>
      <c r="Q858" s="2" t="s">
        <v>10790</v>
      </c>
      <c r="R858" s="3" t="s">
        <v>67</v>
      </c>
      <c r="S858" s="4">
        <v>5</v>
      </c>
      <c r="T858" s="4">
        <v>5</v>
      </c>
      <c r="U858" s="5" t="s">
        <v>10737</v>
      </c>
      <c r="V858" s="5" t="s">
        <v>10737</v>
      </c>
      <c r="W858" s="5" t="s">
        <v>2184</v>
      </c>
      <c r="X858" s="5" t="s">
        <v>2184</v>
      </c>
      <c r="Y858" s="4">
        <v>149</v>
      </c>
      <c r="Z858" s="4">
        <v>135</v>
      </c>
      <c r="AA858" s="4">
        <v>154</v>
      </c>
      <c r="AB858" s="4">
        <v>1</v>
      </c>
      <c r="AC858" s="4">
        <v>1</v>
      </c>
      <c r="AD858" s="4">
        <v>4</v>
      </c>
      <c r="AE858" s="4">
        <v>4</v>
      </c>
      <c r="AF858" s="4">
        <v>1</v>
      </c>
      <c r="AG858" s="4">
        <v>1</v>
      </c>
      <c r="AH858" s="4">
        <v>1</v>
      </c>
      <c r="AI858" s="4">
        <v>1</v>
      </c>
      <c r="AJ858" s="4">
        <v>3</v>
      </c>
      <c r="AK858" s="4">
        <v>3</v>
      </c>
      <c r="AL858" s="4">
        <v>0</v>
      </c>
      <c r="AM858" s="4">
        <v>0</v>
      </c>
      <c r="AN858" s="4">
        <v>0</v>
      </c>
      <c r="AO858" s="4">
        <v>0</v>
      </c>
      <c r="AP858" s="3" t="s">
        <v>59</v>
      </c>
      <c r="AQ858" s="3" t="s">
        <v>70</v>
      </c>
      <c r="AR858" s="6" t="str">
        <f>HYPERLINK("http://catalog.hathitrust.org/Record/004286808","HathiTrust Record")</f>
        <v>HathiTrust Record</v>
      </c>
      <c r="AS858" s="6" t="str">
        <f>HYPERLINK("https://creighton-primo.hosted.exlibrisgroup.com/primo-explore/search?tab=default_tab&amp;search_scope=EVERYTHING&amp;vid=01CRU&amp;lang=en_US&amp;offset=0&amp;query=any,contains,991003549789702656","Catalog Record")</f>
        <v>Catalog Record</v>
      </c>
      <c r="AT858" s="6" t="str">
        <f>HYPERLINK("http://www.worldcat.org/oclc/1118171","WorldCat Record")</f>
        <v>WorldCat Record</v>
      </c>
      <c r="AU858" s="3" t="s">
        <v>10791</v>
      </c>
      <c r="AV858" s="3" t="s">
        <v>10792</v>
      </c>
      <c r="AW858" s="3" t="s">
        <v>10793</v>
      </c>
      <c r="AX858" s="3" t="s">
        <v>10793</v>
      </c>
      <c r="AY858" s="3" t="s">
        <v>10794</v>
      </c>
      <c r="AZ858" s="3" t="s">
        <v>75</v>
      </c>
      <c r="BB858" s="3" t="s">
        <v>10795</v>
      </c>
      <c r="BC858" s="3" t="s">
        <v>10796</v>
      </c>
      <c r="BD858" s="3" t="s">
        <v>10797</v>
      </c>
    </row>
    <row r="859" spans="1:56" ht="48" customHeight="1" x14ac:dyDescent="0.25">
      <c r="A859" s="7" t="s">
        <v>59</v>
      </c>
      <c r="B859" s="2" t="s">
        <v>10798</v>
      </c>
      <c r="C859" s="2" t="s">
        <v>10799</v>
      </c>
      <c r="D859" s="2" t="s">
        <v>10800</v>
      </c>
      <c r="F859" s="3" t="s">
        <v>59</v>
      </c>
      <c r="G859" s="3" t="s">
        <v>60</v>
      </c>
      <c r="H859" s="3" t="s">
        <v>59</v>
      </c>
      <c r="I859" s="3" t="s">
        <v>59</v>
      </c>
      <c r="J859" s="3" t="s">
        <v>61</v>
      </c>
      <c r="K859" s="2" t="s">
        <v>10801</v>
      </c>
      <c r="L859" s="2" t="s">
        <v>10802</v>
      </c>
      <c r="M859" s="3" t="s">
        <v>63</v>
      </c>
      <c r="O859" s="3" t="s">
        <v>64</v>
      </c>
      <c r="P859" s="3" t="s">
        <v>130</v>
      </c>
      <c r="R859" s="3" t="s">
        <v>67</v>
      </c>
      <c r="S859" s="4">
        <v>4</v>
      </c>
      <c r="T859" s="4">
        <v>4</v>
      </c>
      <c r="U859" s="5" t="s">
        <v>10803</v>
      </c>
      <c r="V859" s="5" t="s">
        <v>10803</v>
      </c>
      <c r="W859" s="5" t="s">
        <v>2184</v>
      </c>
      <c r="X859" s="5" t="s">
        <v>2184</v>
      </c>
      <c r="Y859" s="4">
        <v>390</v>
      </c>
      <c r="Z859" s="4">
        <v>337</v>
      </c>
      <c r="AA859" s="4">
        <v>338</v>
      </c>
      <c r="AB859" s="4">
        <v>4</v>
      </c>
      <c r="AC859" s="4">
        <v>4</v>
      </c>
      <c r="AD859" s="4">
        <v>11</v>
      </c>
      <c r="AE859" s="4">
        <v>11</v>
      </c>
      <c r="AF859" s="4">
        <v>1</v>
      </c>
      <c r="AG859" s="4">
        <v>1</v>
      </c>
      <c r="AH859" s="4">
        <v>5</v>
      </c>
      <c r="AI859" s="4">
        <v>5</v>
      </c>
      <c r="AJ859" s="4">
        <v>5</v>
      </c>
      <c r="AK859" s="4">
        <v>5</v>
      </c>
      <c r="AL859" s="4">
        <v>3</v>
      </c>
      <c r="AM859" s="4">
        <v>3</v>
      </c>
      <c r="AN859" s="4">
        <v>0</v>
      </c>
      <c r="AO859" s="4">
        <v>0</v>
      </c>
      <c r="AP859" s="3" t="s">
        <v>59</v>
      </c>
      <c r="AQ859" s="3" t="s">
        <v>70</v>
      </c>
      <c r="AR859" s="6" t="str">
        <f>HYPERLINK("http://catalog.hathitrust.org/Record/000251769","HathiTrust Record")</f>
        <v>HathiTrust Record</v>
      </c>
      <c r="AS859" s="6" t="str">
        <f>HYPERLINK("https://creighton-primo.hosted.exlibrisgroup.com/primo-explore/search?tab=default_tab&amp;search_scope=EVERYTHING&amp;vid=01CRU&amp;lang=en_US&amp;offset=0&amp;query=any,contains,991004319219702656","Catalog Record")</f>
        <v>Catalog Record</v>
      </c>
      <c r="AT859" s="6" t="str">
        <f>HYPERLINK("http://www.worldcat.org/oclc/3016601","WorldCat Record")</f>
        <v>WorldCat Record</v>
      </c>
      <c r="AU859" s="3" t="s">
        <v>10804</v>
      </c>
      <c r="AV859" s="3" t="s">
        <v>10805</v>
      </c>
      <c r="AW859" s="3" t="s">
        <v>10806</v>
      </c>
      <c r="AX859" s="3" t="s">
        <v>10806</v>
      </c>
      <c r="AY859" s="3" t="s">
        <v>10807</v>
      </c>
      <c r="AZ859" s="3" t="s">
        <v>75</v>
      </c>
      <c r="BB859" s="3" t="s">
        <v>10808</v>
      </c>
      <c r="BC859" s="3" t="s">
        <v>10809</v>
      </c>
      <c r="BD859" s="3" t="s">
        <v>10810</v>
      </c>
    </row>
    <row r="860" spans="1:56" ht="48" customHeight="1" x14ac:dyDescent="0.25">
      <c r="A860" s="7" t="s">
        <v>59</v>
      </c>
      <c r="B860" s="2" t="s">
        <v>10811</v>
      </c>
      <c r="C860" s="2" t="s">
        <v>10812</v>
      </c>
      <c r="D860" s="2" t="s">
        <v>10813</v>
      </c>
      <c r="F860" s="3" t="s">
        <v>59</v>
      </c>
      <c r="G860" s="3" t="s">
        <v>60</v>
      </c>
      <c r="H860" s="3" t="s">
        <v>59</v>
      </c>
      <c r="I860" s="3" t="s">
        <v>59</v>
      </c>
      <c r="J860" s="3" t="s">
        <v>61</v>
      </c>
      <c r="K860" s="2" t="s">
        <v>10814</v>
      </c>
      <c r="L860" s="2" t="s">
        <v>10815</v>
      </c>
      <c r="M860" s="3" t="s">
        <v>190</v>
      </c>
      <c r="O860" s="3" t="s">
        <v>64</v>
      </c>
      <c r="P860" s="3" t="s">
        <v>84</v>
      </c>
      <c r="Q860" s="2" t="s">
        <v>10816</v>
      </c>
      <c r="R860" s="3" t="s">
        <v>67</v>
      </c>
      <c r="S860" s="4">
        <v>2</v>
      </c>
      <c r="T860" s="4">
        <v>2</v>
      </c>
      <c r="U860" s="5" t="s">
        <v>10817</v>
      </c>
      <c r="V860" s="5" t="s">
        <v>10817</v>
      </c>
      <c r="W860" s="5" t="s">
        <v>2950</v>
      </c>
      <c r="X860" s="5" t="s">
        <v>2950</v>
      </c>
      <c r="Y860" s="4">
        <v>353</v>
      </c>
      <c r="Z860" s="4">
        <v>242</v>
      </c>
      <c r="AA860" s="4">
        <v>244</v>
      </c>
      <c r="AB860" s="4">
        <v>1</v>
      </c>
      <c r="AC860" s="4">
        <v>1</v>
      </c>
      <c r="AD860" s="4">
        <v>8</v>
      </c>
      <c r="AE860" s="4">
        <v>8</v>
      </c>
      <c r="AF860" s="4">
        <v>3</v>
      </c>
      <c r="AG860" s="4">
        <v>3</v>
      </c>
      <c r="AH860" s="4">
        <v>2</v>
      </c>
      <c r="AI860" s="4">
        <v>2</v>
      </c>
      <c r="AJ860" s="4">
        <v>5</v>
      </c>
      <c r="AK860" s="4">
        <v>5</v>
      </c>
      <c r="AL860" s="4">
        <v>0</v>
      </c>
      <c r="AM860" s="4">
        <v>0</v>
      </c>
      <c r="AN860" s="4">
        <v>0</v>
      </c>
      <c r="AO860" s="4">
        <v>0</v>
      </c>
      <c r="AP860" s="3" t="s">
        <v>59</v>
      </c>
      <c r="AQ860" s="3" t="s">
        <v>70</v>
      </c>
      <c r="AR860" s="6" t="str">
        <f>HYPERLINK("http://catalog.hathitrust.org/Record/000634056","HathiTrust Record")</f>
        <v>HathiTrust Record</v>
      </c>
      <c r="AS860" s="6" t="str">
        <f>HYPERLINK("https://creighton-primo.hosted.exlibrisgroup.com/primo-explore/search?tab=default_tab&amp;search_scope=EVERYTHING&amp;vid=01CRU&amp;lang=en_US&amp;offset=0&amp;query=any,contains,991000668599702656","Catalog Record")</f>
        <v>Catalog Record</v>
      </c>
      <c r="AT860" s="6" t="str">
        <f>HYPERLINK("http://www.worldcat.org/oclc/12311995","WorldCat Record")</f>
        <v>WorldCat Record</v>
      </c>
      <c r="AU860" s="3" t="s">
        <v>10818</v>
      </c>
      <c r="AV860" s="3" t="s">
        <v>10819</v>
      </c>
      <c r="AW860" s="3" t="s">
        <v>10820</v>
      </c>
      <c r="AX860" s="3" t="s">
        <v>10820</v>
      </c>
      <c r="AY860" s="3" t="s">
        <v>10821</v>
      </c>
      <c r="AZ860" s="3" t="s">
        <v>75</v>
      </c>
      <c r="BB860" s="3" t="s">
        <v>10822</v>
      </c>
      <c r="BC860" s="3" t="s">
        <v>10823</v>
      </c>
      <c r="BD860" s="3" t="s">
        <v>10824</v>
      </c>
    </row>
    <row r="861" spans="1:56" ht="48" customHeight="1" x14ac:dyDescent="0.25">
      <c r="A861" s="7" t="s">
        <v>59</v>
      </c>
      <c r="B861" s="2" t="s">
        <v>10825</v>
      </c>
      <c r="C861" s="2" t="s">
        <v>10826</v>
      </c>
      <c r="D861" s="2" t="s">
        <v>10827</v>
      </c>
      <c r="F861" s="3" t="s">
        <v>59</v>
      </c>
      <c r="G861" s="3" t="s">
        <v>60</v>
      </c>
      <c r="H861" s="3" t="s">
        <v>59</v>
      </c>
      <c r="I861" s="3" t="s">
        <v>59</v>
      </c>
      <c r="J861" s="3" t="s">
        <v>61</v>
      </c>
      <c r="L861" s="2" t="s">
        <v>10828</v>
      </c>
      <c r="M861" s="3" t="s">
        <v>500</v>
      </c>
      <c r="O861" s="3" t="s">
        <v>64</v>
      </c>
      <c r="P861" s="3" t="s">
        <v>130</v>
      </c>
      <c r="R861" s="3" t="s">
        <v>67</v>
      </c>
      <c r="S861" s="4">
        <v>3</v>
      </c>
      <c r="T861" s="4">
        <v>3</v>
      </c>
      <c r="U861" s="5" t="s">
        <v>10829</v>
      </c>
      <c r="V861" s="5" t="s">
        <v>10829</v>
      </c>
      <c r="W861" s="5" t="s">
        <v>10830</v>
      </c>
      <c r="X861" s="5" t="s">
        <v>10830</v>
      </c>
      <c r="Y861" s="4">
        <v>569</v>
      </c>
      <c r="Z861" s="4">
        <v>477</v>
      </c>
      <c r="AA861" s="4">
        <v>480</v>
      </c>
      <c r="AB861" s="4">
        <v>6</v>
      </c>
      <c r="AC861" s="4">
        <v>6</v>
      </c>
      <c r="AD861" s="4">
        <v>21</v>
      </c>
      <c r="AE861" s="4">
        <v>21</v>
      </c>
      <c r="AF861" s="4">
        <v>8</v>
      </c>
      <c r="AG861" s="4">
        <v>8</v>
      </c>
      <c r="AH861" s="4">
        <v>3</v>
      </c>
      <c r="AI861" s="4">
        <v>3</v>
      </c>
      <c r="AJ861" s="4">
        <v>8</v>
      </c>
      <c r="AK861" s="4">
        <v>8</v>
      </c>
      <c r="AL861" s="4">
        <v>5</v>
      </c>
      <c r="AM861" s="4">
        <v>5</v>
      </c>
      <c r="AN861" s="4">
        <v>0</v>
      </c>
      <c r="AO861" s="4">
        <v>0</v>
      </c>
      <c r="AP861" s="3" t="s">
        <v>59</v>
      </c>
      <c r="AQ861" s="3" t="s">
        <v>70</v>
      </c>
      <c r="AR861" s="6" t="str">
        <f>HYPERLINK("http://catalog.hathitrust.org/Record/009495403","HathiTrust Record")</f>
        <v>HathiTrust Record</v>
      </c>
      <c r="AS861" s="6" t="str">
        <f>HYPERLINK("https://creighton-primo.hosted.exlibrisgroup.com/primo-explore/search?tab=default_tab&amp;search_scope=EVERYTHING&amp;vid=01CRU&amp;lang=en_US&amp;offset=0&amp;query=any,contains,991000658339702656","Catalog Record")</f>
        <v>Catalog Record</v>
      </c>
      <c r="AT861" s="6" t="str">
        <f>HYPERLINK("http://www.worldcat.org/oclc/116510","WorldCat Record")</f>
        <v>WorldCat Record</v>
      </c>
      <c r="AU861" s="3" t="s">
        <v>10831</v>
      </c>
      <c r="AV861" s="3" t="s">
        <v>10832</v>
      </c>
      <c r="AW861" s="3" t="s">
        <v>10833</v>
      </c>
      <c r="AX861" s="3" t="s">
        <v>10833</v>
      </c>
      <c r="AY861" s="3" t="s">
        <v>10834</v>
      </c>
      <c r="AZ861" s="3" t="s">
        <v>75</v>
      </c>
      <c r="BB861" s="3" t="s">
        <v>10835</v>
      </c>
      <c r="BC861" s="3" t="s">
        <v>10836</v>
      </c>
      <c r="BD861" s="3" t="s">
        <v>10837</v>
      </c>
    </row>
    <row r="862" spans="1:56" ht="48" customHeight="1" x14ac:dyDescent="0.25">
      <c r="A862" s="7" t="s">
        <v>59</v>
      </c>
      <c r="B862" s="2" t="s">
        <v>10838</v>
      </c>
      <c r="C862" s="2" t="s">
        <v>10839</v>
      </c>
      <c r="D862" s="2" t="s">
        <v>10840</v>
      </c>
      <c r="F862" s="3" t="s">
        <v>59</v>
      </c>
      <c r="G862" s="3" t="s">
        <v>60</v>
      </c>
      <c r="H862" s="3" t="s">
        <v>59</v>
      </c>
      <c r="I862" s="3" t="s">
        <v>59</v>
      </c>
      <c r="J862" s="3" t="s">
        <v>61</v>
      </c>
      <c r="K862" s="2" t="s">
        <v>10841</v>
      </c>
      <c r="L862" s="2" t="s">
        <v>457</v>
      </c>
      <c r="M862" s="3" t="s">
        <v>145</v>
      </c>
      <c r="O862" s="3" t="s">
        <v>64</v>
      </c>
      <c r="P862" s="3" t="s">
        <v>130</v>
      </c>
      <c r="R862" s="3" t="s">
        <v>67</v>
      </c>
      <c r="S862" s="4">
        <v>2</v>
      </c>
      <c r="T862" s="4">
        <v>2</v>
      </c>
      <c r="U862" s="5" t="s">
        <v>10842</v>
      </c>
      <c r="V862" s="5" t="s">
        <v>10842</v>
      </c>
      <c r="W862" s="5" t="s">
        <v>2950</v>
      </c>
      <c r="X862" s="5" t="s">
        <v>2950</v>
      </c>
      <c r="Y862" s="4">
        <v>379</v>
      </c>
      <c r="Z862" s="4">
        <v>280</v>
      </c>
      <c r="AA862" s="4">
        <v>325</v>
      </c>
      <c r="AB862" s="4">
        <v>3</v>
      </c>
      <c r="AC862" s="4">
        <v>3</v>
      </c>
      <c r="AD862" s="4">
        <v>5</v>
      </c>
      <c r="AE862" s="4">
        <v>8</v>
      </c>
      <c r="AF862" s="4">
        <v>2</v>
      </c>
      <c r="AG862" s="4">
        <v>4</v>
      </c>
      <c r="AH862" s="4">
        <v>1</v>
      </c>
      <c r="AI862" s="4">
        <v>3</v>
      </c>
      <c r="AJ862" s="4">
        <v>0</v>
      </c>
      <c r="AK862" s="4">
        <v>0</v>
      </c>
      <c r="AL862" s="4">
        <v>2</v>
      </c>
      <c r="AM862" s="4">
        <v>2</v>
      </c>
      <c r="AN862" s="4">
        <v>0</v>
      </c>
      <c r="AO862" s="4">
        <v>0</v>
      </c>
      <c r="AP862" s="3" t="s">
        <v>70</v>
      </c>
      <c r="AQ862" s="3" t="s">
        <v>59</v>
      </c>
      <c r="AR862" s="6" t="str">
        <f>HYPERLINK("http://catalog.hathitrust.org/Record/000135222","HathiTrust Record")</f>
        <v>HathiTrust Record</v>
      </c>
      <c r="AS862" s="6" t="str">
        <f>HYPERLINK("https://creighton-primo.hosted.exlibrisgroup.com/primo-explore/search?tab=default_tab&amp;search_scope=EVERYTHING&amp;vid=01CRU&amp;lang=en_US&amp;offset=0&amp;query=any,contains,991004525509702656","Catalog Record")</f>
        <v>Catalog Record</v>
      </c>
      <c r="AT862" s="6" t="str">
        <f>HYPERLINK("http://www.worldcat.org/oclc/3843380","WorldCat Record")</f>
        <v>WorldCat Record</v>
      </c>
      <c r="AU862" s="3" t="s">
        <v>10843</v>
      </c>
      <c r="AV862" s="3" t="s">
        <v>10844</v>
      </c>
      <c r="AW862" s="3" t="s">
        <v>10845</v>
      </c>
      <c r="AX862" s="3" t="s">
        <v>10845</v>
      </c>
      <c r="AY862" s="3" t="s">
        <v>10846</v>
      </c>
      <c r="AZ862" s="3" t="s">
        <v>75</v>
      </c>
      <c r="BB862" s="3" t="s">
        <v>10847</v>
      </c>
      <c r="BC862" s="3" t="s">
        <v>10848</v>
      </c>
      <c r="BD862" s="3" t="s">
        <v>10849</v>
      </c>
    </row>
    <row r="863" spans="1:56" ht="48" customHeight="1" x14ac:dyDescent="0.25">
      <c r="A863" s="7" t="s">
        <v>59</v>
      </c>
      <c r="B863" s="2" t="s">
        <v>10850</v>
      </c>
      <c r="C863" s="2" t="s">
        <v>10851</v>
      </c>
      <c r="D863" s="2" t="s">
        <v>10852</v>
      </c>
      <c r="F863" s="3" t="s">
        <v>59</v>
      </c>
      <c r="G863" s="3" t="s">
        <v>60</v>
      </c>
      <c r="H863" s="3" t="s">
        <v>59</v>
      </c>
      <c r="I863" s="3" t="s">
        <v>59</v>
      </c>
      <c r="J863" s="3" t="s">
        <v>61</v>
      </c>
      <c r="K863" s="2" t="s">
        <v>10853</v>
      </c>
      <c r="L863" s="2" t="s">
        <v>10854</v>
      </c>
      <c r="M863" s="3" t="s">
        <v>319</v>
      </c>
      <c r="N863" s="2" t="s">
        <v>114</v>
      </c>
      <c r="O863" s="3" t="s">
        <v>64</v>
      </c>
      <c r="P863" s="3" t="s">
        <v>84</v>
      </c>
      <c r="R863" s="3" t="s">
        <v>67</v>
      </c>
      <c r="S863" s="4">
        <v>3</v>
      </c>
      <c r="T863" s="4">
        <v>3</v>
      </c>
      <c r="U863" s="5" t="s">
        <v>10855</v>
      </c>
      <c r="V863" s="5" t="s">
        <v>10855</v>
      </c>
      <c r="W863" s="5" t="s">
        <v>10856</v>
      </c>
      <c r="X863" s="5" t="s">
        <v>10856</v>
      </c>
      <c r="Y863" s="4">
        <v>306</v>
      </c>
      <c r="Z863" s="4">
        <v>197</v>
      </c>
      <c r="AA863" s="4">
        <v>411</v>
      </c>
      <c r="AB863" s="4">
        <v>3</v>
      </c>
      <c r="AC863" s="4">
        <v>4</v>
      </c>
      <c r="AD863" s="4">
        <v>7</v>
      </c>
      <c r="AE863" s="4">
        <v>14</v>
      </c>
      <c r="AF863" s="4">
        <v>1</v>
      </c>
      <c r="AG863" s="4">
        <v>4</v>
      </c>
      <c r="AH863" s="4">
        <v>3</v>
      </c>
      <c r="AI863" s="4">
        <v>3</v>
      </c>
      <c r="AJ863" s="4">
        <v>3</v>
      </c>
      <c r="AK863" s="4">
        <v>8</v>
      </c>
      <c r="AL863" s="4">
        <v>2</v>
      </c>
      <c r="AM863" s="4">
        <v>3</v>
      </c>
      <c r="AN863" s="4">
        <v>0</v>
      </c>
      <c r="AO863" s="4">
        <v>0</v>
      </c>
      <c r="AP863" s="3" t="s">
        <v>59</v>
      </c>
      <c r="AQ863" s="3" t="s">
        <v>70</v>
      </c>
      <c r="AR863" s="6" t="str">
        <f>HYPERLINK("http://catalog.hathitrust.org/Record/000439179","HathiTrust Record")</f>
        <v>HathiTrust Record</v>
      </c>
      <c r="AS863" s="6" t="str">
        <f>HYPERLINK("https://creighton-primo.hosted.exlibrisgroup.com/primo-explore/search?tab=default_tab&amp;search_scope=EVERYTHING&amp;vid=01CRU&amp;lang=en_US&amp;offset=0&amp;query=any,contains,991000443089702656","Catalog Record")</f>
        <v>Catalog Record</v>
      </c>
      <c r="AT863" s="6" t="str">
        <f>HYPERLINK("http://www.worldcat.org/oclc/10837889","WorldCat Record")</f>
        <v>WorldCat Record</v>
      </c>
      <c r="AU863" s="3" t="s">
        <v>10857</v>
      </c>
      <c r="AV863" s="3" t="s">
        <v>10858</v>
      </c>
      <c r="AW863" s="3" t="s">
        <v>10859</v>
      </c>
      <c r="AX863" s="3" t="s">
        <v>10859</v>
      </c>
      <c r="AY863" s="3" t="s">
        <v>10860</v>
      </c>
      <c r="AZ863" s="3" t="s">
        <v>75</v>
      </c>
      <c r="BB863" s="3" t="s">
        <v>10861</v>
      </c>
      <c r="BC863" s="3" t="s">
        <v>10862</v>
      </c>
      <c r="BD863" s="3" t="s">
        <v>10863</v>
      </c>
    </row>
    <row r="864" spans="1:56" ht="48" customHeight="1" x14ac:dyDescent="0.25">
      <c r="A864" s="7" t="s">
        <v>59</v>
      </c>
      <c r="B864" s="2" t="s">
        <v>10864</v>
      </c>
      <c r="C864" s="2" t="s">
        <v>10865</v>
      </c>
      <c r="D864" s="2" t="s">
        <v>10866</v>
      </c>
      <c r="F864" s="3" t="s">
        <v>59</v>
      </c>
      <c r="G864" s="3" t="s">
        <v>60</v>
      </c>
      <c r="H864" s="3" t="s">
        <v>59</v>
      </c>
      <c r="I864" s="3" t="s">
        <v>59</v>
      </c>
      <c r="J864" s="3" t="s">
        <v>61</v>
      </c>
      <c r="L864" s="2" t="s">
        <v>10867</v>
      </c>
      <c r="M864" s="3" t="s">
        <v>471</v>
      </c>
      <c r="O864" s="3" t="s">
        <v>64</v>
      </c>
      <c r="P864" s="3" t="s">
        <v>130</v>
      </c>
      <c r="R864" s="3" t="s">
        <v>67</v>
      </c>
      <c r="S864" s="4">
        <v>10</v>
      </c>
      <c r="T864" s="4">
        <v>10</v>
      </c>
      <c r="U864" s="5" t="s">
        <v>10868</v>
      </c>
      <c r="V864" s="5" t="s">
        <v>10868</v>
      </c>
      <c r="W864" s="5" t="s">
        <v>10869</v>
      </c>
      <c r="X864" s="5" t="s">
        <v>10869</v>
      </c>
      <c r="Y864" s="4">
        <v>428</v>
      </c>
      <c r="Z864" s="4">
        <v>303</v>
      </c>
      <c r="AA864" s="4">
        <v>347</v>
      </c>
      <c r="AB864" s="4">
        <v>3</v>
      </c>
      <c r="AC864" s="4">
        <v>3</v>
      </c>
      <c r="AD864" s="4">
        <v>9</v>
      </c>
      <c r="AE864" s="4">
        <v>11</v>
      </c>
      <c r="AF864" s="4">
        <v>2</v>
      </c>
      <c r="AG864" s="4">
        <v>3</v>
      </c>
      <c r="AH864" s="4">
        <v>3</v>
      </c>
      <c r="AI864" s="4">
        <v>4</v>
      </c>
      <c r="AJ864" s="4">
        <v>4</v>
      </c>
      <c r="AK864" s="4">
        <v>4</v>
      </c>
      <c r="AL864" s="4">
        <v>2</v>
      </c>
      <c r="AM864" s="4">
        <v>2</v>
      </c>
      <c r="AN864" s="4">
        <v>0</v>
      </c>
      <c r="AO864" s="4">
        <v>0</v>
      </c>
      <c r="AP864" s="3" t="s">
        <v>59</v>
      </c>
      <c r="AQ864" s="3" t="s">
        <v>70</v>
      </c>
      <c r="AR864" s="6" t="str">
        <f>HYPERLINK("http://catalog.hathitrust.org/Record/002076361","HathiTrust Record")</f>
        <v>HathiTrust Record</v>
      </c>
      <c r="AS864" s="6" t="str">
        <f>HYPERLINK("https://creighton-primo.hosted.exlibrisgroup.com/primo-explore/search?tab=default_tab&amp;search_scope=EVERYTHING&amp;vid=01CRU&amp;lang=en_US&amp;offset=0&amp;query=any,contains,991004389059702656","Catalog Record")</f>
        <v>Catalog Record</v>
      </c>
      <c r="AT864" s="6" t="str">
        <f>HYPERLINK("http://www.worldcat.org/oclc/1104341","WorldCat Record")</f>
        <v>WorldCat Record</v>
      </c>
      <c r="AU864" s="3" t="s">
        <v>10870</v>
      </c>
      <c r="AV864" s="3" t="s">
        <v>10871</v>
      </c>
      <c r="AW864" s="3" t="s">
        <v>10872</v>
      </c>
      <c r="AX864" s="3" t="s">
        <v>10872</v>
      </c>
      <c r="AY864" s="3" t="s">
        <v>10873</v>
      </c>
      <c r="AZ864" s="3" t="s">
        <v>75</v>
      </c>
      <c r="BB864" s="3" t="s">
        <v>10874</v>
      </c>
      <c r="BC864" s="3" t="s">
        <v>10875</v>
      </c>
      <c r="BD864" s="3" t="s">
        <v>10876</v>
      </c>
    </row>
    <row r="865" spans="1:56" ht="48" customHeight="1" x14ac:dyDescent="0.25">
      <c r="A865" s="7" t="s">
        <v>59</v>
      </c>
      <c r="B865" s="2" t="s">
        <v>10877</v>
      </c>
      <c r="C865" s="2" t="s">
        <v>10878</v>
      </c>
      <c r="D865" s="2" t="s">
        <v>10879</v>
      </c>
      <c r="F865" s="3" t="s">
        <v>59</v>
      </c>
      <c r="G865" s="3" t="s">
        <v>60</v>
      </c>
      <c r="H865" s="3" t="s">
        <v>70</v>
      </c>
      <c r="I865" s="3" t="s">
        <v>59</v>
      </c>
      <c r="J865" s="3" t="s">
        <v>61</v>
      </c>
      <c r="K865" s="2" t="s">
        <v>10880</v>
      </c>
      <c r="L865" s="2" t="s">
        <v>10881</v>
      </c>
      <c r="M865" s="3" t="s">
        <v>2389</v>
      </c>
      <c r="O865" s="3" t="s">
        <v>64</v>
      </c>
      <c r="P865" s="3" t="s">
        <v>65</v>
      </c>
      <c r="R865" s="3" t="s">
        <v>67</v>
      </c>
      <c r="S865" s="4">
        <v>2</v>
      </c>
      <c r="T865" s="4">
        <v>2</v>
      </c>
      <c r="U865" s="5" t="s">
        <v>10882</v>
      </c>
      <c r="V865" s="5" t="s">
        <v>10882</v>
      </c>
      <c r="W865" s="5" t="s">
        <v>1704</v>
      </c>
      <c r="X865" s="5" t="s">
        <v>1704</v>
      </c>
      <c r="Y865" s="4">
        <v>127</v>
      </c>
      <c r="Z865" s="4">
        <v>117</v>
      </c>
      <c r="AA865" s="4">
        <v>198</v>
      </c>
      <c r="AB865" s="4">
        <v>3</v>
      </c>
      <c r="AC865" s="4">
        <v>4</v>
      </c>
      <c r="AD865" s="4">
        <v>5</v>
      </c>
      <c r="AE865" s="4">
        <v>6</v>
      </c>
      <c r="AF865" s="4">
        <v>1</v>
      </c>
      <c r="AG865" s="4">
        <v>1</v>
      </c>
      <c r="AH865" s="4">
        <v>0</v>
      </c>
      <c r="AI865" s="4">
        <v>0</v>
      </c>
      <c r="AJ865" s="4">
        <v>3</v>
      </c>
      <c r="AK865" s="4">
        <v>3</v>
      </c>
      <c r="AL865" s="4">
        <v>1</v>
      </c>
      <c r="AM865" s="4">
        <v>2</v>
      </c>
      <c r="AN865" s="4">
        <v>0</v>
      </c>
      <c r="AO865" s="4">
        <v>0</v>
      </c>
      <c r="AP865" s="3" t="s">
        <v>59</v>
      </c>
      <c r="AQ865" s="3" t="s">
        <v>59</v>
      </c>
      <c r="AS865" s="6" t="str">
        <f>HYPERLINK("https://creighton-primo.hosted.exlibrisgroup.com/primo-explore/search?tab=default_tab&amp;search_scope=EVERYTHING&amp;vid=01CRU&amp;lang=en_US&amp;offset=0&amp;query=any,contains,991000073209702656","Catalog Record")</f>
        <v>Catalog Record</v>
      </c>
      <c r="AT865" s="6" t="str">
        <f>HYPERLINK("http://www.worldcat.org/oclc/29156","WorldCat Record")</f>
        <v>WorldCat Record</v>
      </c>
      <c r="AU865" s="3" t="s">
        <v>10883</v>
      </c>
      <c r="AV865" s="3" t="s">
        <v>10884</v>
      </c>
      <c r="AW865" s="3" t="s">
        <v>10885</v>
      </c>
      <c r="AX865" s="3" t="s">
        <v>10885</v>
      </c>
      <c r="AY865" s="3" t="s">
        <v>10886</v>
      </c>
      <c r="AZ865" s="3" t="s">
        <v>75</v>
      </c>
      <c r="BB865" s="3" t="s">
        <v>10887</v>
      </c>
      <c r="BC865" s="3" t="s">
        <v>10888</v>
      </c>
      <c r="BD865" s="3" t="s">
        <v>10889</v>
      </c>
    </row>
    <row r="866" spans="1:56" ht="48" customHeight="1" x14ac:dyDescent="0.25">
      <c r="A866" s="7" t="s">
        <v>59</v>
      </c>
      <c r="B866" s="2" t="s">
        <v>10890</v>
      </c>
      <c r="C866" s="2" t="s">
        <v>10891</v>
      </c>
      <c r="D866" s="2" t="s">
        <v>10623</v>
      </c>
      <c r="F866" s="3" t="s">
        <v>70</v>
      </c>
      <c r="G866" s="3" t="s">
        <v>60</v>
      </c>
      <c r="H866" s="3" t="s">
        <v>70</v>
      </c>
      <c r="I866" s="3" t="s">
        <v>59</v>
      </c>
      <c r="J866" s="3" t="s">
        <v>61</v>
      </c>
      <c r="K866" s="2" t="s">
        <v>10624</v>
      </c>
      <c r="L866" s="2" t="s">
        <v>10625</v>
      </c>
      <c r="M866" s="3" t="s">
        <v>500</v>
      </c>
      <c r="O866" s="3" t="s">
        <v>64</v>
      </c>
      <c r="P866" s="3" t="s">
        <v>130</v>
      </c>
      <c r="R866" s="3" t="s">
        <v>67</v>
      </c>
      <c r="S866" s="4">
        <v>5</v>
      </c>
      <c r="T866" s="4">
        <v>6</v>
      </c>
      <c r="U866" s="5" t="s">
        <v>7499</v>
      </c>
      <c r="V866" s="5" t="s">
        <v>7499</v>
      </c>
      <c r="W866" s="5" t="s">
        <v>7035</v>
      </c>
      <c r="X866" s="5" t="s">
        <v>10626</v>
      </c>
      <c r="Y866" s="4">
        <v>390</v>
      </c>
      <c r="Z866" s="4">
        <v>295</v>
      </c>
      <c r="AA866" s="4">
        <v>330</v>
      </c>
      <c r="AB866" s="4">
        <v>5</v>
      </c>
      <c r="AC866" s="4">
        <v>5</v>
      </c>
      <c r="AD866" s="4">
        <v>15</v>
      </c>
      <c r="AE866" s="4">
        <v>17</v>
      </c>
      <c r="AF866" s="4">
        <v>3</v>
      </c>
      <c r="AG866" s="4">
        <v>4</v>
      </c>
      <c r="AH866" s="4">
        <v>4</v>
      </c>
      <c r="AI866" s="4">
        <v>5</v>
      </c>
      <c r="AJ866" s="4">
        <v>9</v>
      </c>
      <c r="AK866" s="4">
        <v>9</v>
      </c>
      <c r="AL866" s="4">
        <v>4</v>
      </c>
      <c r="AM866" s="4">
        <v>4</v>
      </c>
      <c r="AN866" s="4">
        <v>0</v>
      </c>
      <c r="AO866" s="4">
        <v>0</v>
      </c>
      <c r="AP866" s="3" t="s">
        <v>59</v>
      </c>
      <c r="AQ866" s="3" t="s">
        <v>70</v>
      </c>
      <c r="AR866" s="6" t="str">
        <f>HYPERLINK("http://catalog.hathitrust.org/Record/000186862","HathiTrust Record")</f>
        <v>HathiTrust Record</v>
      </c>
      <c r="AS866" s="6" t="str">
        <f>HYPERLINK("https://creighton-primo.hosted.exlibrisgroup.com/primo-explore/search?tab=default_tab&amp;search_scope=EVERYTHING&amp;vid=01CRU&amp;lang=en_US&amp;offset=0&amp;query=any,contains,991000431699702656","Catalog Record")</f>
        <v>Catalog Record</v>
      </c>
      <c r="AT866" s="6" t="str">
        <f>HYPERLINK("http://www.worldcat.org/oclc/75885","WorldCat Record")</f>
        <v>WorldCat Record</v>
      </c>
      <c r="AU866" s="3" t="s">
        <v>10627</v>
      </c>
      <c r="AV866" s="3" t="s">
        <v>10628</v>
      </c>
      <c r="AW866" s="3" t="s">
        <v>10629</v>
      </c>
      <c r="AX866" s="3" t="s">
        <v>10629</v>
      </c>
      <c r="AY866" s="3" t="s">
        <v>10630</v>
      </c>
      <c r="AZ866" s="3" t="s">
        <v>75</v>
      </c>
      <c r="BB866" s="3" t="s">
        <v>10631</v>
      </c>
      <c r="BC866" s="3" t="s">
        <v>10892</v>
      </c>
      <c r="BD866" s="3" t="s">
        <v>10893</v>
      </c>
    </row>
    <row r="867" spans="1:56" ht="48" customHeight="1" x14ac:dyDescent="0.25">
      <c r="A867" s="7" t="s">
        <v>59</v>
      </c>
      <c r="B867" s="2" t="s">
        <v>10894</v>
      </c>
      <c r="C867" s="2" t="s">
        <v>10895</v>
      </c>
      <c r="D867" s="2" t="s">
        <v>10896</v>
      </c>
      <c r="F867" s="3" t="s">
        <v>59</v>
      </c>
      <c r="G867" s="3" t="s">
        <v>60</v>
      </c>
      <c r="H867" s="3" t="s">
        <v>59</v>
      </c>
      <c r="I867" s="3" t="s">
        <v>59</v>
      </c>
      <c r="J867" s="3" t="s">
        <v>61</v>
      </c>
      <c r="K867" s="2" t="s">
        <v>10897</v>
      </c>
      <c r="L867" s="2" t="s">
        <v>10898</v>
      </c>
      <c r="M867" s="3" t="s">
        <v>190</v>
      </c>
      <c r="O867" s="3" t="s">
        <v>64</v>
      </c>
      <c r="P867" s="3" t="s">
        <v>65</v>
      </c>
      <c r="Q867" s="2" t="s">
        <v>10899</v>
      </c>
      <c r="R867" s="3" t="s">
        <v>67</v>
      </c>
      <c r="S867" s="4">
        <v>2</v>
      </c>
      <c r="T867" s="4">
        <v>2</v>
      </c>
      <c r="U867" s="5" t="s">
        <v>10737</v>
      </c>
      <c r="V867" s="5" t="s">
        <v>10737</v>
      </c>
      <c r="W867" s="5" t="s">
        <v>5893</v>
      </c>
      <c r="X867" s="5" t="s">
        <v>5893</v>
      </c>
      <c r="Y867" s="4">
        <v>75</v>
      </c>
      <c r="Z867" s="4">
        <v>55</v>
      </c>
      <c r="AA867" s="4">
        <v>57</v>
      </c>
      <c r="AB867" s="4">
        <v>1</v>
      </c>
      <c r="AC867" s="4">
        <v>1</v>
      </c>
      <c r="AD867" s="4">
        <v>0</v>
      </c>
      <c r="AE867" s="4">
        <v>0</v>
      </c>
      <c r="AF867" s="4">
        <v>0</v>
      </c>
      <c r="AG867" s="4">
        <v>0</v>
      </c>
      <c r="AH867" s="4">
        <v>0</v>
      </c>
      <c r="AI867" s="4">
        <v>0</v>
      </c>
      <c r="AJ867" s="4">
        <v>0</v>
      </c>
      <c r="AK867" s="4">
        <v>0</v>
      </c>
      <c r="AL867" s="4">
        <v>0</v>
      </c>
      <c r="AM867" s="4">
        <v>0</v>
      </c>
      <c r="AN867" s="4">
        <v>0</v>
      </c>
      <c r="AO867" s="4">
        <v>0</v>
      </c>
      <c r="AP867" s="3" t="s">
        <v>59</v>
      </c>
      <c r="AQ867" s="3" t="s">
        <v>70</v>
      </c>
      <c r="AR867" s="6" t="str">
        <f>HYPERLINK("http://catalog.hathitrust.org/Record/009464901","HathiTrust Record")</f>
        <v>HathiTrust Record</v>
      </c>
      <c r="AS867" s="6" t="str">
        <f>HYPERLINK("https://creighton-primo.hosted.exlibrisgroup.com/primo-explore/search?tab=default_tab&amp;search_scope=EVERYTHING&amp;vid=01CRU&amp;lang=en_US&amp;offset=0&amp;query=any,contains,991000794549702656","Catalog Record")</f>
        <v>Catalog Record</v>
      </c>
      <c r="AT867" s="6" t="str">
        <f>HYPERLINK("http://www.worldcat.org/oclc/13184417","WorldCat Record")</f>
        <v>WorldCat Record</v>
      </c>
      <c r="AU867" s="3" t="s">
        <v>10900</v>
      </c>
      <c r="AV867" s="3" t="s">
        <v>10901</v>
      </c>
      <c r="AW867" s="3" t="s">
        <v>10902</v>
      </c>
      <c r="AX867" s="3" t="s">
        <v>10902</v>
      </c>
      <c r="AY867" s="3" t="s">
        <v>10903</v>
      </c>
      <c r="AZ867" s="3" t="s">
        <v>75</v>
      </c>
      <c r="BB867" s="3" t="s">
        <v>10904</v>
      </c>
      <c r="BC867" s="3" t="s">
        <v>10905</v>
      </c>
      <c r="BD867" s="3" t="s">
        <v>10906</v>
      </c>
    </row>
    <row r="868" spans="1:56" ht="48" customHeight="1" x14ac:dyDescent="0.25">
      <c r="A868" s="7" t="s">
        <v>59</v>
      </c>
      <c r="B868" s="2" t="s">
        <v>10907</v>
      </c>
      <c r="C868" s="2" t="s">
        <v>10908</v>
      </c>
      <c r="D868" s="2" t="s">
        <v>10909</v>
      </c>
      <c r="F868" s="3" t="s">
        <v>59</v>
      </c>
      <c r="G868" s="3" t="s">
        <v>60</v>
      </c>
      <c r="H868" s="3" t="s">
        <v>59</v>
      </c>
      <c r="I868" s="3" t="s">
        <v>59</v>
      </c>
      <c r="J868" s="3" t="s">
        <v>61</v>
      </c>
      <c r="L868" s="2" t="s">
        <v>205</v>
      </c>
      <c r="M868" s="3" t="s">
        <v>113</v>
      </c>
      <c r="O868" s="3" t="s">
        <v>64</v>
      </c>
      <c r="P868" s="3" t="s">
        <v>191</v>
      </c>
      <c r="R868" s="3" t="s">
        <v>67</v>
      </c>
      <c r="S868" s="4">
        <v>11</v>
      </c>
      <c r="T868" s="4">
        <v>11</v>
      </c>
      <c r="U868" s="5" t="s">
        <v>2254</v>
      </c>
      <c r="V868" s="5" t="s">
        <v>2254</v>
      </c>
      <c r="W868" s="5" t="s">
        <v>2950</v>
      </c>
      <c r="X868" s="5" t="s">
        <v>2950</v>
      </c>
      <c r="Y868" s="4">
        <v>216</v>
      </c>
      <c r="Z868" s="4">
        <v>157</v>
      </c>
      <c r="AA868" s="4">
        <v>159</v>
      </c>
      <c r="AB868" s="4">
        <v>2</v>
      </c>
      <c r="AC868" s="4">
        <v>2</v>
      </c>
      <c r="AD868" s="4">
        <v>7</v>
      </c>
      <c r="AE868" s="4">
        <v>7</v>
      </c>
      <c r="AF868" s="4">
        <v>3</v>
      </c>
      <c r="AG868" s="4">
        <v>3</v>
      </c>
      <c r="AH868" s="4">
        <v>1</v>
      </c>
      <c r="AI868" s="4">
        <v>1</v>
      </c>
      <c r="AJ868" s="4">
        <v>2</v>
      </c>
      <c r="AK868" s="4">
        <v>2</v>
      </c>
      <c r="AL868" s="4">
        <v>1</v>
      </c>
      <c r="AM868" s="4">
        <v>1</v>
      </c>
      <c r="AN868" s="4">
        <v>0</v>
      </c>
      <c r="AO868" s="4">
        <v>0</v>
      </c>
      <c r="AP868" s="3" t="s">
        <v>59</v>
      </c>
      <c r="AQ868" s="3" t="s">
        <v>70</v>
      </c>
      <c r="AR868" s="6" t="str">
        <f>HYPERLINK("http://catalog.hathitrust.org/Record/000846279","HathiTrust Record")</f>
        <v>HathiTrust Record</v>
      </c>
      <c r="AS868" s="6" t="str">
        <f>HYPERLINK("https://creighton-primo.hosted.exlibrisgroup.com/primo-explore/search?tab=default_tab&amp;search_scope=EVERYTHING&amp;vid=01CRU&amp;lang=en_US&amp;offset=0&amp;query=any,contains,991001096729702656","Catalog Record")</f>
        <v>Catalog Record</v>
      </c>
      <c r="AT868" s="6" t="str">
        <f>HYPERLINK("http://www.worldcat.org/oclc/16276043","WorldCat Record")</f>
        <v>WorldCat Record</v>
      </c>
      <c r="AU868" s="3" t="s">
        <v>10910</v>
      </c>
      <c r="AV868" s="3" t="s">
        <v>10911</v>
      </c>
      <c r="AW868" s="3" t="s">
        <v>10912</v>
      </c>
      <c r="AX868" s="3" t="s">
        <v>10912</v>
      </c>
      <c r="AY868" s="3" t="s">
        <v>10913</v>
      </c>
      <c r="AZ868" s="3" t="s">
        <v>75</v>
      </c>
      <c r="BB868" s="3" t="s">
        <v>10914</v>
      </c>
      <c r="BC868" s="3" t="s">
        <v>10915</v>
      </c>
      <c r="BD868" s="3" t="s">
        <v>10916</v>
      </c>
    </row>
    <row r="869" spans="1:56" ht="48" customHeight="1" x14ac:dyDescent="0.25">
      <c r="A869" s="7" t="s">
        <v>59</v>
      </c>
      <c r="B869" s="2" t="s">
        <v>10917</v>
      </c>
      <c r="C869" s="2" t="s">
        <v>10918</v>
      </c>
      <c r="D869" s="2" t="s">
        <v>10919</v>
      </c>
      <c r="F869" s="3" t="s">
        <v>59</v>
      </c>
      <c r="G869" s="3" t="s">
        <v>60</v>
      </c>
      <c r="H869" s="3" t="s">
        <v>59</v>
      </c>
      <c r="I869" s="3" t="s">
        <v>59</v>
      </c>
      <c r="J869" s="3" t="s">
        <v>61</v>
      </c>
      <c r="K869" s="2" t="s">
        <v>10920</v>
      </c>
      <c r="L869" s="2" t="s">
        <v>10921</v>
      </c>
      <c r="M869" s="3" t="s">
        <v>604</v>
      </c>
      <c r="O869" s="3" t="s">
        <v>64</v>
      </c>
      <c r="P869" s="3" t="s">
        <v>130</v>
      </c>
      <c r="R869" s="3" t="s">
        <v>67</v>
      </c>
      <c r="S869" s="4">
        <v>14</v>
      </c>
      <c r="T869" s="4">
        <v>14</v>
      </c>
      <c r="U869" s="5" t="s">
        <v>8881</v>
      </c>
      <c r="V869" s="5" t="s">
        <v>8881</v>
      </c>
      <c r="W869" s="5" t="s">
        <v>2153</v>
      </c>
      <c r="X869" s="5" t="s">
        <v>2153</v>
      </c>
      <c r="Y869" s="4">
        <v>207</v>
      </c>
      <c r="Z869" s="4">
        <v>166</v>
      </c>
      <c r="AA869" s="4">
        <v>175</v>
      </c>
      <c r="AB869" s="4">
        <v>2</v>
      </c>
      <c r="AC869" s="4">
        <v>2</v>
      </c>
      <c r="AD869" s="4">
        <v>6</v>
      </c>
      <c r="AE869" s="4">
        <v>6</v>
      </c>
      <c r="AF869" s="4">
        <v>3</v>
      </c>
      <c r="AG869" s="4">
        <v>3</v>
      </c>
      <c r="AH869" s="4">
        <v>0</v>
      </c>
      <c r="AI869" s="4">
        <v>0</v>
      </c>
      <c r="AJ869" s="4">
        <v>4</v>
      </c>
      <c r="AK869" s="4">
        <v>4</v>
      </c>
      <c r="AL869" s="4">
        <v>1</v>
      </c>
      <c r="AM869" s="4">
        <v>1</v>
      </c>
      <c r="AN869" s="4">
        <v>0</v>
      </c>
      <c r="AO869" s="4">
        <v>0</v>
      </c>
      <c r="AP869" s="3" t="s">
        <v>59</v>
      </c>
      <c r="AQ869" s="3" t="s">
        <v>70</v>
      </c>
      <c r="AR869" s="6" t="str">
        <f>HYPERLINK("http://catalog.hathitrust.org/Record/002975986","HathiTrust Record")</f>
        <v>HathiTrust Record</v>
      </c>
      <c r="AS869" s="6" t="str">
        <f>HYPERLINK("https://creighton-primo.hosted.exlibrisgroup.com/primo-explore/search?tab=default_tab&amp;search_scope=EVERYTHING&amp;vid=01CRU&amp;lang=en_US&amp;offset=0&amp;query=any,contains,991002351569702656","Catalog Record")</f>
        <v>Catalog Record</v>
      </c>
      <c r="AT869" s="6" t="str">
        <f>HYPERLINK("http://www.worldcat.org/oclc/30623935","WorldCat Record")</f>
        <v>WorldCat Record</v>
      </c>
      <c r="AU869" s="3" t="s">
        <v>10922</v>
      </c>
      <c r="AV869" s="3" t="s">
        <v>10923</v>
      </c>
      <c r="AW869" s="3" t="s">
        <v>10924</v>
      </c>
      <c r="AX869" s="3" t="s">
        <v>10924</v>
      </c>
      <c r="AY869" s="3" t="s">
        <v>10925</v>
      </c>
      <c r="AZ869" s="3" t="s">
        <v>75</v>
      </c>
      <c r="BB869" s="3" t="s">
        <v>10926</v>
      </c>
      <c r="BC869" s="3" t="s">
        <v>10927</v>
      </c>
      <c r="BD869" s="3" t="s">
        <v>10928</v>
      </c>
    </row>
    <row r="870" spans="1:56" ht="48" customHeight="1" x14ac:dyDescent="0.25">
      <c r="A870" s="7" t="s">
        <v>59</v>
      </c>
      <c r="B870" s="2" t="s">
        <v>10929</v>
      </c>
      <c r="C870" s="2" t="s">
        <v>10930</v>
      </c>
      <c r="D870" s="2" t="s">
        <v>10931</v>
      </c>
      <c r="F870" s="3" t="s">
        <v>59</v>
      </c>
      <c r="G870" s="3" t="s">
        <v>60</v>
      </c>
      <c r="H870" s="3" t="s">
        <v>59</v>
      </c>
      <c r="I870" s="3" t="s">
        <v>59</v>
      </c>
      <c r="J870" s="3" t="s">
        <v>61</v>
      </c>
      <c r="K870" s="2" t="s">
        <v>5404</v>
      </c>
      <c r="L870" s="2" t="s">
        <v>10932</v>
      </c>
      <c r="M870" s="3" t="s">
        <v>3113</v>
      </c>
      <c r="O870" s="3" t="s">
        <v>64</v>
      </c>
      <c r="P870" s="3" t="s">
        <v>1394</v>
      </c>
      <c r="R870" s="3" t="s">
        <v>67</v>
      </c>
      <c r="S870" s="4">
        <v>7</v>
      </c>
      <c r="T870" s="4">
        <v>7</v>
      </c>
      <c r="U870" s="5" t="s">
        <v>10933</v>
      </c>
      <c r="V870" s="5" t="s">
        <v>10933</v>
      </c>
      <c r="W870" s="5" t="s">
        <v>305</v>
      </c>
      <c r="X870" s="5" t="s">
        <v>305</v>
      </c>
      <c r="Y870" s="4">
        <v>895</v>
      </c>
      <c r="Z870" s="4">
        <v>827</v>
      </c>
      <c r="AA870" s="4">
        <v>1368</v>
      </c>
      <c r="AB870" s="4">
        <v>6</v>
      </c>
      <c r="AC870" s="4">
        <v>30</v>
      </c>
      <c r="AD870" s="4">
        <v>20</v>
      </c>
      <c r="AE870" s="4">
        <v>37</v>
      </c>
      <c r="AF870" s="4">
        <v>6</v>
      </c>
      <c r="AG870" s="4">
        <v>11</v>
      </c>
      <c r="AH870" s="4">
        <v>5</v>
      </c>
      <c r="AI870" s="4">
        <v>6</v>
      </c>
      <c r="AJ870" s="4">
        <v>11</v>
      </c>
      <c r="AK870" s="4">
        <v>13</v>
      </c>
      <c r="AL870" s="4">
        <v>3</v>
      </c>
      <c r="AM870" s="4">
        <v>14</v>
      </c>
      <c r="AN870" s="4">
        <v>0</v>
      </c>
      <c r="AO870" s="4">
        <v>0</v>
      </c>
      <c r="AP870" s="3" t="s">
        <v>59</v>
      </c>
      <c r="AQ870" s="3" t="s">
        <v>59</v>
      </c>
      <c r="AS870" s="6" t="str">
        <f>HYPERLINK("https://creighton-primo.hosted.exlibrisgroup.com/primo-explore/search?tab=default_tab&amp;search_scope=EVERYTHING&amp;vid=01CRU&amp;lang=en_US&amp;offset=0&amp;query=any,contains,991003967509702656","Catalog Record")</f>
        <v>Catalog Record</v>
      </c>
      <c r="AT870" s="6" t="str">
        <f>HYPERLINK("http://www.worldcat.org/oclc/49639058","WorldCat Record")</f>
        <v>WorldCat Record</v>
      </c>
      <c r="AU870" s="3" t="s">
        <v>10934</v>
      </c>
      <c r="AV870" s="3" t="s">
        <v>10935</v>
      </c>
      <c r="AW870" s="3" t="s">
        <v>10936</v>
      </c>
      <c r="AX870" s="3" t="s">
        <v>10936</v>
      </c>
      <c r="AY870" s="3" t="s">
        <v>10937</v>
      </c>
      <c r="AZ870" s="3" t="s">
        <v>75</v>
      </c>
      <c r="BB870" s="3" t="s">
        <v>10938</v>
      </c>
      <c r="BC870" s="3" t="s">
        <v>10939</v>
      </c>
      <c r="BD870" s="3" t="s">
        <v>10940</v>
      </c>
    </row>
    <row r="871" spans="1:56" ht="48" customHeight="1" x14ac:dyDescent="0.25">
      <c r="A871" s="7" t="s">
        <v>59</v>
      </c>
      <c r="B871" s="2" t="s">
        <v>10941</v>
      </c>
      <c r="C871" s="2" t="s">
        <v>10942</v>
      </c>
      <c r="D871" s="2" t="s">
        <v>10943</v>
      </c>
      <c r="F871" s="3" t="s">
        <v>59</v>
      </c>
      <c r="G871" s="3" t="s">
        <v>60</v>
      </c>
      <c r="H871" s="3" t="s">
        <v>70</v>
      </c>
      <c r="I871" s="3" t="s">
        <v>70</v>
      </c>
      <c r="J871" s="3" t="s">
        <v>61</v>
      </c>
      <c r="K871" s="2" t="s">
        <v>10293</v>
      </c>
      <c r="L871" s="2" t="s">
        <v>10944</v>
      </c>
      <c r="M871" s="3" t="s">
        <v>10945</v>
      </c>
      <c r="O871" s="3" t="s">
        <v>64</v>
      </c>
      <c r="P871" s="3" t="s">
        <v>130</v>
      </c>
      <c r="R871" s="3" t="s">
        <v>67</v>
      </c>
      <c r="S871" s="4">
        <v>6</v>
      </c>
      <c r="T871" s="4">
        <v>13</v>
      </c>
      <c r="U871" s="5" t="s">
        <v>10946</v>
      </c>
      <c r="V871" s="5" t="s">
        <v>10946</v>
      </c>
      <c r="W871" s="5" t="s">
        <v>5061</v>
      </c>
      <c r="X871" s="5" t="s">
        <v>5061</v>
      </c>
      <c r="Y871" s="4">
        <v>1099</v>
      </c>
      <c r="Z871" s="4">
        <v>961</v>
      </c>
      <c r="AA871" s="4">
        <v>1774</v>
      </c>
      <c r="AB871" s="4">
        <v>12</v>
      </c>
      <c r="AC871" s="4">
        <v>18</v>
      </c>
      <c r="AD871" s="4">
        <v>41</v>
      </c>
      <c r="AE871" s="4">
        <v>58</v>
      </c>
      <c r="AF871" s="4">
        <v>14</v>
      </c>
      <c r="AG871" s="4">
        <v>23</v>
      </c>
      <c r="AH871" s="4">
        <v>8</v>
      </c>
      <c r="AI871" s="4">
        <v>10</v>
      </c>
      <c r="AJ871" s="4">
        <v>19</v>
      </c>
      <c r="AK871" s="4">
        <v>25</v>
      </c>
      <c r="AL871" s="4">
        <v>8</v>
      </c>
      <c r="AM871" s="4">
        <v>11</v>
      </c>
      <c r="AN871" s="4">
        <v>1</v>
      </c>
      <c r="AO871" s="4">
        <v>1</v>
      </c>
      <c r="AP871" s="3" t="s">
        <v>59</v>
      </c>
      <c r="AQ871" s="3" t="s">
        <v>59</v>
      </c>
      <c r="AR871" s="6" t="str">
        <f>HYPERLINK("http://catalog.hathitrust.org/Record/001553450","HathiTrust Record")</f>
        <v>HathiTrust Record</v>
      </c>
      <c r="AS871" s="6" t="str">
        <f>HYPERLINK("https://creighton-primo.hosted.exlibrisgroup.com/primo-explore/search?tab=default_tab&amp;search_scope=EVERYTHING&amp;vid=01CRU&amp;lang=en_US&amp;offset=0&amp;query=any,contains,991001788349702656","Catalog Record")</f>
        <v>Catalog Record</v>
      </c>
      <c r="AT871" s="6" t="str">
        <f>HYPERLINK("http://www.worldcat.org/oclc/525839","WorldCat Record")</f>
        <v>WorldCat Record</v>
      </c>
      <c r="AU871" s="3" t="s">
        <v>10947</v>
      </c>
      <c r="AV871" s="3" t="s">
        <v>10948</v>
      </c>
      <c r="AW871" s="3" t="s">
        <v>10949</v>
      </c>
      <c r="AX871" s="3" t="s">
        <v>10949</v>
      </c>
      <c r="AY871" s="3" t="s">
        <v>10950</v>
      </c>
      <c r="AZ871" s="3" t="s">
        <v>75</v>
      </c>
      <c r="BC871" s="3" t="s">
        <v>10951</v>
      </c>
      <c r="BD871" s="3" t="s">
        <v>10952</v>
      </c>
    </row>
    <row r="872" spans="1:56" ht="48" customHeight="1" x14ac:dyDescent="0.25">
      <c r="A872" s="7" t="s">
        <v>59</v>
      </c>
      <c r="B872" s="2" t="s">
        <v>10953</v>
      </c>
      <c r="C872" s="2" t="s">
        <v>10954</v>
      </c>
      <c r="D872" s="2" t="s">
        <v>10955</v>
      </c>
      <c r="F872" s="3" t="s">
        <v>59</v>
      </c>
      <c r="G872" s="3" t="s">
        <v>60</v>
      </c>
      <c r="H872" s="3" t="s">
        <v>59</v>
      </c>
      <c r="I872" s="3" t="s">
        <v>70</v>
      </c>
      <c r="J872" s="3" t="s">
        <v>61</v>
      </c>
      <c r="K872" s="2" t="s">
        <v>10293</v>
      </c>
      <c r="L872" s="2" t="s">
        <v>10956</v>
      </c>
      <c r="M872" s="3" t="s">
        <v>549</v>
      </c>
      <c r="N872" s="2" t="s">
        <v>6080</v>
      </c>
      <c r="O872" s="3" t="s">
        <v>64</v>
      </c>
      <c r="P872" s="3" t="s">
        <v>130</v>
      </c>
      <c r="R872" s="3" t="s">
        <v>67</v>
      </c>
      <c r="S872" s="4">
        <v>6</v>
      </c>
      <c r="T872" s="4">
        <v>6</v>
      </c>
      <c r="U872" s="5" t="s">
        <v>10474</v>
      </c>
      <c r="V872" s="5" t="s">
        <v>10474</v>
      </c>
      <c r="W872" s="5" t="s">
        <v>10957</v>
      </c>
      <c r="X872" s="5" t="s">
        <v>10957</v>
      </c>
      <c r="Y872" s="4">
        <v>797</v>
      </c>
      <c r="Z872" s="4">
        <v>669</v>
      </c>
      <c r="AA872" s="4">
        <v>1774</v>
      </c>
      <c r="AB872" s="4">
        <v>7</v>
      </c>
      <c r="AC872" s="4">
        <v>18</v>
      </c>
      <c r="AD872" s="4">
        <v>19</v>
      </c>
      <c r="AE872" s="4">
        <v>58</v>
      </c>
      <c r="AF872" s="4">
        <v>5</v>
      </c>
      <c r="AG872" s="4">
        <v>23</v>
      </c>
      <c r="AH872" s="4">
        <v>2</v>
      </c>
      <c r="AI872" s="4">
        <v>10</v>
      </c>
      <c r="AJ872" s="4">
        <v>10</v>
      </c>
      <c r="AK872" s="4">
        <v>25</v>
      </c>
      <c r="AL872" s="4">
        <v>4</v>
      </c>
      <c r="AM872" s="4">
        <v>11</v>
      </c>
      <c r="AN872" s="4">
        <v>0</v>
      </c>
      <c r="AO872" s="4">
        <v>1</v>
      </c>
      <c r="AP872" s="3" t="s">
        <v>59</v>
      </c>
      <c r="AQ872" s="3" t="s">
        <v>70</v>
      </c>
      <c r="AR872" s="6" t="str">
        <f>HYPERLINK("http://catalog.hathitrust.org/Record/000706689","HathiTrust Record")</f>
        <v>HathiTrust Record</v>
      </c>
      <c r="AS872" s="6" t="str">
        <f>HYPERLINK("https://creighton-primo.hosted.exlibrisgroup.com/primo-explore/search?tab=default_tab&amp;search_scope=EVERYTHING&amp;vid=01CRU&amp;lang=en_US&amp;offset=0&amp;query=any,contains,991004014319702656","Catalog Record")</f>
        <v>Catalog Record</v>
      </c>
      <c r="AT872" s="6" t="str">
        <f>HYPERLINK("http://www.worldcat.org/oclc/2101821","WorldCat Record")</f>
        <v>WorldCat Record</v>
      </c>
      <c r="AU872" s="3" t="s">
        <v>10947</v>
      </c>
      <c r="AV872" s="3" t="s">
        <v>10958</v>
      </c>
      <c r="AW872" s="3" t="s">
        <v>10959</v>
      </c>
      <c r="AX872" s="3" t="s">
        <v>10959</v>
      </c>
      <c r="AY872" s="3" t="s">
        <v>10960</v>
      </c>
      <c r="AZ872" s="3" t="s">
        <v>75</v>
      </c>
      <c r="BB872" s="3" t="s">
        <v>10961</v>
      </c>
      <c r="BC872" s="3" t="s">
        <v>10962</v>
      </c>
      <c r="BD872" s="3" t="s">
        <v>10963</v>
      </c>
    </row>
    <row r="873" spans="1:56" ht="48" customHeight="1" x14ac:dyDescent="0.25">
      <c r="A873" s="7" t="s">
        <v>59</v>
      </c>
      <c r="B873" s="2" t="s">
        <v>10964</v>
      </c>
      <c r="C873" s="2" t="s">
        <v>10965</v>
      </c>
      <c r="D873" s="2" t="s">
        <v>10966</v>
      </c>
      <c r="E873" s="3" t="s">
        <v>509</v>
      </c>
      <c r="F873" s="3" t="s">
        <v>70</v>
      </c>
      <c r="G873" s="3" t="s">
        <v>60</v>
      </c>
      <c r="H873" s="3" t="s">
        <v>59</v>
      </c>
      <c r="I873" s="3" t="s">
        <v>59</v>
      </c>
      <c r="J873" s="3" t="s">
        <v>61</v>
      </c>
      <c r="L873" s="2" t="s">
        <v>10967</v>
      </c>
      <c r="M873" s="3" t="s">
        <v>485</v>
      </c>
      <c r="O873" s="3" t="s">
        <v>64</v>
      </c>
      <c r="P873" s="3" t="s">
        <v>130</v>
      </c>
      <c r="R873" s="3" t="s">
        <v>67</v>
      </c>
      <c r="S873" s="4">
        <v>7</v>
      </c>
      <c r="T873" s="4">
        <v>19</v>
      </c>
      <c r="U873" s="5" t="s">
        <v>10968</v>
      </c>
      <c r="V873" s="5" t="s">
        <v>10968</v>
      </c>
      <c r="W873" s="5" t="s">
        <v>2950</v>
      </c>
      <c r="X873" s="5" t="s">
        <v>2950</v>
      </c>
      <c r="Y873" s="4">
        <v>540</v>
      </c>
      <c r="Z873" s="4">
        <v>452</v>
      </c>
      <c r="AA873" s="4">
        <v>475</v>
      </c>
      <c r="AB873" s="4">
        <v>5</v>
      </c>
      <c r="AC873" s="4">
        <v>5</v>
      </c>
      <c r="AD873" s="4">
        <v>28</v>
      </c>
      <c r="AE873" s="4">
        <v>28</v>
      </c>
      <c r="AF873" s="4">
        <v>11</v>
      </c>
      <c r="AG873" s="4">
        <v>11</v>
      </c>
      <c r="AH873" s="4">
        <v>7</v>
      </c>
      <c r="AI873" s="4">
        <v>7</v>
      </c>
      <c r="AJ873" s="4">
        <v>12</v>
      </c>
      <c r="AK873" s="4">
        <v>12</v>
      </c>
      <c r="AL873" s="4">
        <v>4</v>
      </c>
      <c r="AM873" s="4">
        <v>4</v>
      </c>
      <c r="AN873" s="4">
        <v>0</v>
      </c>
      <c r="AO873" s="4">
        <v>0</v>
      </c>
      <c r="AP873" s="3" t="s">
        <v>59</v>
      </c>
      <c r="AQ873" s="3" t="s">
        <v>70</v>
      </c>
      <c r="AR873" s="6" t="str">
        <f>HYPERLINK("http://catalog.hathitrust.org/Record/000708336","HathiTrust Record")</f>
        <v>HathiTrust Record</v>
      </c>
      <c r="AS873" s="6" t="str">
        <f>HYPERLINK("https://creighton-primo.hosted.exlibrisgroup.com/primo-explore/search?tab=default_tab&amp;search_scope=EVERYTHING&amp;vid=01CRU&amp;lang=en_US&amp;offset=0&amp;query=any,contains,991005253029702656","Catalog Record")</f>
        <v>Catalog Record</v>
      </c>
      <c r="AT873" s="6" t="str">
        <f>HYPERLINK("http://www.worldcat.org/oclc/5264478","WorldCat Record")</f>
        <v>WorldCat Record</v>
      </c>
      <c r="AU873" s="3" t="s">
        <v>10969</v>
      </c>
      <c r="AV873" s="3" t="s">
        <v>10970</v>
      </c>
      <c r="AW873" s="3" t="s">
        <v>10971</v>
      </c>
      <c r="AX873" s="3" t="s">
        <v>10971</v>
      </c>
      <c r="AY873" s="3" t="s">
        <v>10972</v>
      </c>
      <c r="AZ873" s="3" t="s">
        <v>75</v>
      </c>
      <c r="BB873" s="3" t="s">
        <v>10973</v>
      </c>
      <c r="BC873" s="3" t="s">
        <v>10974</v>
      </c>
      <c r="BD873" s="3" t="s">
        <v>10975</v>
      </c>
    </row>
    <row r="874" spans="1:56" ht="48" customHeight="1" x14ac:dyDescent="0.25">
      <c r="A874" s="7" t="s">
        <v>59</v>
      </c>
      <c r="B874" s="2" t="s">
        <v>10964</v>
      </c>
      <c r="C874" s="2" t="s">
        <v>10965</v>
      </c>
      <c r="D874" s="2" t="s">
        <v>10966</v>
      </c>
      <c r="E874" s="3" t="s">
        <v>159</v>
      </c>
      <c r="F874" s="3" t="s">
        <v>70</v>
      </c>
      <c r="G874" s="3" t="s">
        <v>60</v>
      </c>
      <c r="H874" s="3" t="s">
        <v>59</v>
      </c>
      <c r="I874" s="3" t="s">
        <v>59</v>
      </c>
      <c r="J874" s="3" t="s">
        <v>61</v>
      </c>
      <c r="L874" s="2" t="s">
        <v>10967</v>
      </c>
      <c r="M874" s="3" t="s">
        <v>485</v>
      </c>
      <c r="O874" s="3" t="s">
        <v>64</v>
      </c>
      <c r="P874" s="3" t="s">
        <v>130</v>
      </c>
      <c r="R874" s="3" t="s">
        <v>67</v>
      </c>
      <c r="S874" s="4">
        <v>9</v>
      </c>
      <c r="T874" s="4">
        <v>19</v>
      </c>
      <c r="U874" s="5" t="s">
        <v>10976</v>
      </c>
      <c r="V874" s="5" t="s">
        <v>10968</v>
      </c>
      <c r="W874" s="5" t="s">
        <v>2950</v>
      </c>
      <c r="X874" s="5" t="s">
        <v>2950</v>
      </c>
      <c r="Y874" s="4">
        <v>540</v>
      </c>
      <c r="Z874" s="4">
        <v>452</v>
      </c>
      <c r="AA874" s="4">
        <v>475</v>
      </c>
      <c r="AB874" s="4">
        <v>5</v>
      </c>
      <c r="AC874" s="4">
        <v>5</v>
      </c>
      <c r="AD874" s="4">
        <v>28</v>
      </c>
      <c r="AE874" s="4">
        <v>28</v>
      </c>
      <c r="AF874" s="4">
        <v>11</v>
      </c>
      <c r="AG874" s="4">
        <v>11</v>
      </c>
      <c r="AH874" s="4">
        <v>7</v>
      </c>
      <c r="AI874" s="4">
        <v>7</v>
      </c>
      <c r="AJ874" s="4">
        <v>12</v>
      </c>
      <c r="AK874" s="4">
        <v>12</v>
      </c>
      <c r="AL874" s="4">
        <v>4</v>
      </c>
      <c r="AM874" s="4">
        <v>4</v>
      </c>
      <c r="AN874" s="4">
        <v>0</v>
      </c>
      <c r="AO874" s="4">
        <v>0</v>
      </c>
      <c r="AP874" s="3" t="s">
        <v>59</v>
      </c>
      <c r="AQ874" s="3" t="s">
        <v>70</v>
      </c>
      <c r="AR874" s="6" t="str">
        <f>HYPERLINK("http://catalog.hathitrust.org/Record/000708336","HathiTrust Record")</f>
        <v>HathiTrust Record</v>
      </c>
      <c r="AS874" s="6" t="str">
        <f>HYPERLINK("https://creighton-primo.hosted.exlibrisgroup.com/primo-explore/search?tab=default_tab&amp;search_scope=EVERYTHING&amp;vid=01CRU&amp;lang=en_US&amp;offset=0&amp;query=any,contains,991005253029702656","Catalog Record")</f>
        <v>Catalog Record</v>
      </c>
      <c r="AT874" s="6" t="str">
        <f>HYPERLINK("http://www.worldcat.org/oclc/5264478","WorldCat Record")</f>
        <v>WorldCat Record</v>
      </c>
      <c r="AU874" s="3" t="s">
        <v>10969</v>
      </c>
      <c r="AV874" s="3" t="s">
        <v>10970</v>
      </c>
      <c r="AW874" s="3" t="s">
        <v>10971</v>
      </c>
      <c r="AX874" s="3" t="s">
        <v>10971</v>
      </c>
      <c r="AY874" s="3" t="s">
        <v>10972</v>
      </c>
      <c r="AZ874" s="3" t="s">
        <v>75</v>
      </c>
      <c r="BB874" s="3" t="s">
        <v>10973</v>
      </c>
      <c r="BC874" s="3" t="s">
        <v>10977</v>
      </c>
      <c r="BD874" s="3" t="s">
        <v>10978</v>
      </c>
    </row>
    <row r="875" spans="1:56" ht="48" customHeight="1" x14ac:dyDescent="0.25">
      <c r="A875" s="7" t="s">
        <v>59</v>
      </c>
      <c r="B875" s="2" t="s">
        <v>10964</v>
      </c>
      <c r="C875" s="2" t="s">
        <v>10965</v>
      </c>
      <c r="D875" s="2" t="s">
        <v>10966</v>
      </c>
      <c r="E875" s="3" t="s">
        <v>512</v>
      </c>
      <c r="F875" s="3" t="s">
        <v>70</v>
      </c>
      <c r="G875" s="3" t="s">
        <v>60</v>
      </c>
      <c r="H875" s="3" t="s">
        <v>59</v>
      </c>
      <c r="I875" s="3" t="s">
        <v>59</v>
      </c>
      <c r="J875" s="3" t="s">
        <v>61</v>
      </c>
      <c r="L875" s="2" t="s">
        <v>10967</v>
      </c>
      <c r="M875" s="3" t="s">
        <v>485</v>
      </c>
      <c r="O875" s="3" t="s">
        <v>64</v>
      </c>
      <c r="P875" s="3" t="s">
        <v>130</v>
      </c>
      <c r="R875" s="3" t="s">
        <v>67</v>
      </c>
      <c r="S875" s="4">
        <v>3</v>
      </c>
      <c r="T875" s="4">
        <v>19</v>
      </c>
      <c r="V875" s="5" t="s">
        <v>10968</v>
      </c>
      <c r="W875" s="5" t="s">
        <v>2950</v>
      </c>
      <c r="X875" s="5" t="s">
        <v>2950</v>
      </c>
      <c r="Y875" s="4">
        <v>540</v>
      </c>
      <c r="Z875" s="4">
        <v>452</v>
      </c>
      <c r="AA875" s="4">
        <v>475</v>
      </c>
      <c r="AB875" s="4">
        <v>5</v>
      </c>
      <c r="AC875" s="4">
        <v>5</v>
      </c>
      <c r="AD875" s="4">
        <v>28</v>
      </c>
      <c r="AE875" s="4">
        <v>28</v>
      </c>
      <c r="AF875" s="4">
        <v>11</v>
      </c>
      <c r="AG875" s="4">
        <v>11</v>
      </c>
      <c r="AH875" s="4">
        <v>7</v>
      </c>
      <c r="AI875" s="4">
        <v>7</v>
      </c>
      <c r="AJ875" s="4">
        <v>12</v>
      </c>
      <c r="AK875" s="4">
        <v>12</v>
      </c>
      <c r="AL875" s="4">
        <v>4</v>
      </c>
      <c r="AM875" s="4">
        <v>4</v>
      </c>
      <c r="AN875" s="4">
        <v>0</v>
      </c>
      <c r="AO875" s="4">
        <v>0</v>
      </c>
      <c r="AP875" s="3" t="s">
        <v>59</v>
      </c>
      <c r="AQ875" s="3" t="s">
        <v>70</v>
      </c>
      <c r="AR875" s="6" t="str">
        <f>HYPERLINK("http://catalog.hathitrust.org/Record/000708336","HathiTrust Record")</f>
        <v>HathiTrust Record</v>
      </c>
      <c r="AS875" s="6" t="str">
        <f>HYPERLINK("https://creighton-primo.hosted.exlibrisgroup.com/primo-explore/search?tab=default_tab&amp;search_scope=EVERYTHING&amp;vid=01CRU&amp;lang=en_US&amp;offset=0&amp;query=any,contains,991005253029702656","Catalog Record")</f>
        <v>Catalog Record</v>
      </c>
      <c r="AT875" s="6" t="str">
        <f>HYPERLINK("http://www.worldcat.org/oclc/5264478","WorldCat Record")</f>
        <v>WorldCat Record</v>
      </c>
      <c r="AU875" s="3" t="s">
        <v>10969</v>
      </c>
      <c r="AV875" s="3" t="s">
        <v>10970</v>
      </c>
      <c r="AW875" s="3" t="s">
        <v>10971</v>
      </c>
      <c r="AX875" s="3" t="s">
        <v>10971</v>
      </c>
      <c r="AY875" s="3" t="s">
        <v>10972</v>
      </c>
      <c r="AZ875" s="3" t="s">
        <v>75</v>
      </c>
      <c r="BB875" s="3" t="s">
        <v>10973</v>
      </c>
      <c r="BC875" s="3" t="s">
        <v>10979</v>
      </c>
      <c r="BD875" s="3" t="s">
        <v>10980</v>
      </c>
    </row>
    <row r="876" spans="1:56" ht="48" customHeight="1" x14ac:dyDescent="0.25">
      <c r="A876" s="7" t="s">
        <v>59</v>
      </c>
      <c r="B876" s="2" t="s">
        <v>10981</v>
      </c>
      <c r="C876" s="2" t="s">
        <v>10982</v>
      </c>
      <c r="D876" s="2" t="s">
        <v>10983</v>
      </c>
      <c r="F876" s="3" t="s">
        <v>59</v>
      </c>
      <c r="G876" s="3" t="s">
        <v>60</v>
      </c>
      <c r="H876" s="3" t="s">
        <v>59</v>
      </c>
      <c r="I876" s="3" t="s">
        <v>59</v>
      </c>
      <c r="J876" s="3" t="s">
        <v>61</v>
      </c>
      <c r="L876" s="2" t="s">
        <v>10984</v>
      </c>
      <c r="M876" s="3" t="s">
        <v>443</v>
      </c>
      <c r="N876" s="2" t="s">
        <v>10985</v>
      </c>
      <c r="O876" s="3" t="s">
        <v>64</v>
      </c>
      <c r="P876" s="3" t="s">
        <v>1201</v>
      </c>
      <c r="R876" s="3" t="s">
        <v>67</v>
      </c>
      <c r="S876" s="4">
        <v>2</v>
      </c>
      <c r="T876" s="4">
        <v>2</v>
      </c>
      <c r="U876" s="5" t="s">
        <v>10135</v>
      </c>
      <c r="V876" s="5" t="s">
        <v>10135</v>
      </c>
      <c r="W876" s="5" t="s">
        <v>10986</v>
      </c>
      <c r="X876" s="5" t="s">
        <v>10986</v>
      </c>
      <c r="Y876" s="4">
        <v>405</v>
      </c>
      <c r="Z876" s="4">
        <v>300</v>
      </c>
      <c r="AA876" s="4">
        <v>326</v>
      </c>
      <c r="AB876" s="4">
        <v>3</v>
      </c>
      <c r="AC876" s="4">
        <v>3</v>
      </c>
      <c r="AD876" s="4">
        <v>12</v>
      </c>
      <c r="AE876" s="4">
        <v>12</v>
      </c>
      <c r="AF876" s="4">
        <v>2</v>
      </c>
      <c r="AG876" s="4">
        <v>2</v>
      </c>
      <c r="AH876" s="4">
        <v>3</v>
      </c>
      <c r="AI876" s="4">
        <v>3</v>
      </c>
      <c r="AJ876" s="4">
        <v>6</v>
      </c>
      <c r="AK876" s="4">
        <v>6</v>
      </c>
      <c r="AL876" s="4">
        <v>2</v>
      </c>
      <c r="AM876" s="4">
        <v>2</v>
      </c>
      <c r="AN876" s="4">
        <v>0</v>
      </c>
      <c r="AO876" s="4">
        <v>0</v>
      </c>
      <c r="AP876" s="3" t="s">
        <v>59</v>
      </c>
      <c r="AQ876" s="3" t="s">
        <v>70</v>
      </c>
      <c r="AR876" s="6" t="str">
        <f>HYPERLINK("http://catalog.hathitrust.org/Record/000030084","HathiTrust Record")</f>
        <v>HathiTrust Record</v>
      </c>
      <c r="AS876" s="6" t="str">
        <f>HYPERLINK("https://creighton-primo.hosted.exlibrisgroup.com/primo-explore/search?tab=default_tab&amp;search_scope=EVERYTHING&amp;vid=01CRU&amp;lang=en_US&amp;offset=0&amp;query=any,contains,991003323509702656","Catalog Record")</f>
        <v>Catalog Record</v>
      </c>
      <c r="AT876" s="6" t="str">
        <f>HYPERLINK("http://www.worldcat.org/oclc/852284","WorldCat Record")</f>
        <v>WorldCat Record</v>
      </c>
      <c r="AU876" s="3" t="s">
        <v>10987</v>
      </c>
      <c r="AV876" s="3" t="s">
        <v>10988</v>
      </c>
      <c r="AW876" s="3" t="s">
        <v>10989</v>
      </c>
      <c r="AX876" s="3" t="s">
        <v>10989</v>
      </c>
      <c r="AY876" s="3" t="s">
        <v>10990</v>
      </c>
      <c r="AZ876" s="3" t="s">
        <v>75</v>
      </c>
      <c r="BB876" s="3" t="s">
        <v>10991</v>
      </c>
      <c r="BC876" s="3" t="s">
        <v>10992</v>
      </c>
      <c r="BD876" s="3" t="s">
        <v>10993</v>
      </c>
    </row>
    <row r="877" spans="1:56" ht="48" customHeight="1" x14ac:dyDescent="0.25">
      <c r="A877" s="7" t="s">
        <v>59</v>
      </c>
      <c r="B877" s="2" t="s">
        <v>10994</v>
      </c>
      <c r="C877" s="2" t="s">
        <v>10995</v>
      </c>
      <c r="D877" s="2" t="s">
        <v>10996</v>
      </c>
      <c r="F877" s="3" t="s">
        <v>59</v>
      </c>
      <c r="G877" s="3" t="s">
        <v>60</v>
      </c>
      <c r="H877" s="3" t="s">
        <v>59</v>
      </c>
      <c r="I877" s="3" t="s">
        <v>59</v>
      </c>
      <c r="J877" s="3" t="s">
        <v>61</v>
      </c>
      <c r="L877" s="2" t="s">
        <v>10997</v>
      </c>
      <c r="M877" s="3" t="s">
        <v>348</v>
      </c>
      <c r="O877" s="3" t="s">
        <v>64</v>
      </c>
      <c r="P877" s="3" t="s">
        <v>191</v>
      </c>
      <c r="R877" s="3" t="s">
        <v>67</v>
      </c>
      <c r="S877" s="4">
        <v>20</v>
      </c>
      <c r="T877" s="4">
        <v>20</v>
      </c>
      <c r="U877" s="5" t="s">
        <v>10998</v>
      </c>
      <c r="V877" s="5" t="s">
        <v>10998</v>
      </c>
      <c r="W877" s="5" t="s">
        <v>9717</v>
      </c>
      <c r="X877" s="5" t="s">
        <v>9717</v>
      </c>
      <c r="Y877" s="4">
        <v>198</v>
      </c>
      <c r="Z877" s="4">
        <v>129</v>
      </c>
      <c r="AA877" s="4">
        <v>130</v>
      </c>
      <c r="AB877" s="4">
        <v>3</v>
      </c>
      <c r="AC877" s="4">
        <v>3</v>
      </c>
      <c r="AD877" s="4">
        <v>5</v>
      </c>
      <c r="AE877" s="4">
        <v>5</v>
      </c>
      <c r="AF877" s="4">
        <v>0</v>
      </c>
      <c r="AG877" s="4">
        <v>0</v>
      </c>
      <c r="AH877" s="4">
        <v>2</v>
      </c>
      <c r="AI877" s="4">
        <v>2</v>
      </c>
      <c r="AJ877" s="4">
        <v>2</v>
      </c>
      <c r="AK877" s="4">
        <v>2</v>
      </c>
      <c r="AL877" s="4">
        <v>2</v>
      </c>
      <c r="AM877" s="4">
        <v>2</v>
      </c>
      <c r="AN877" s="4">
        <v>0</v>
      </c>
      <c r="AO877" s="4">
        <v>0</v>
      </c>
      <c r="AP877" s="3" t="s">
        <v>59</v>
      </c>
      <c r="AQ877" s="3" t="s">
        <v>70</v>
      </c>
      <c r="AR877" s="6" t="str">
        <f>HYPERLINK("http://catalog.hathitrust.org/Record/002710513","HathiTrust Record")</f>
        <v>HathiTrust Record</v>
      </c>
      <c r="AS877" s="6" t="str">
        <f>HYPERLINK("https://creighton-primo.hosted.exlibrisgroup.com/primo-explore/search?tab=default_tab&amp;search_scope=EVERYTHING&amp;vid=01CRU&amp;lang=en_US&amp;offset=0&amp;query=any,contains,991002106929702656","Catalog Record")</f>
        <v>Catalog Record</v>
      </c>
      <c r="AT877" s="6" t="str">
        <f>HYPERLINK("http://www.worldcat.org/oclc/27014125","WorldCat Record")</f>
        <v>WorldCat Record</v>
      </c>
      <c r="AU877" s="3" t="s">
        <v>10999</v>
      </c>
      <c r="AV877" s="3" t="s">
        <v>11000</v>
      </c>
      <c r="AW877" s="3" t="s">
        <v>11001</v>
      </c>
      <c r="AX877" s="3" t="s">
        <v>11001</v>
      </c>
      <c r="AY877" s="3" t="s">
        <v>11002</v>
      </c>
      <c r="AZ877" s="3" t="s">
        <v>75</v>
      </c>
      <c r="BB877" s="3" t="s">
        <v>11003</v>
      </c>
      <c r="BC877" s="3" t="s">
        <v>11004</v>
      </c>
      <c r="BD877" s="3" t="s">
        <v>11005</v>
      </c>
    </row>
    <row r="878" spans="1:56" ht="48" customHeight="1" x14ac:dyDescent="0.25">
      <c r="A878" s="7" t="s">
        <v>59</v>
      </c>
      <c r="B878" s="2" t="s">
        <v>11006</v>
      </c>
      <c r="C878" s="2" t="s">
        <v>11007</v>
      </c>
      <c r="D878" s="2" t="s">
        <v>11008</v>
      </c>
      <c r="F878" s="3" t="s">
        <v>59</v>
      </c>
      <c r="G878" s="3" t="s">
        <v>60</v>
      </c>
      <c r="H878" s="3" t="s">
        <v>59</v>
      </c>
      <c r="I878" s="3" t="s">
        <v>59</v>
      </c>
      <c r="J878" s="3" t="s">
        <v>61</v>
      </c>
      <c r="K878" s="2" t="s">
        <v>11009</v>
      </c>
      <c r="L878" s="2" t="s">
        <v>11010</v>
      </c>
      <c r="M878" s="3" t="s">
        <v>219</v>
      </c>
      <c r="N878" s="2" t="s">
        <v>731</v>
      </c>
      <c r="O878" s="3" t="s">
        <v>64</v>
      </c>
      <c r="P878" s="3" t="s">
        <v>176</v>
      </c>
      <c r="R878" s="3" t="s">
        <v>67</v>
      </c>
      <c r="S878" s="4">
        <v>43</v>
      </c>
      <c r="T878" s="4">
        <v>43</v>
      </c>
      <c r="U878" s="5" t="s">
        <v>11011</v>
      </c>
      <c r="V878" s="5" t="s">
        <v>11011</v>
      </c>
      <c r="W878" s="5" t="s">
        <v>221</v>
      </c>
      <c r="X878" s="5" t="s">
        <v>221</v>
      </c>
      <c r="Y878" s="4">
        <v>833</v>
      </c>
      <c r="Z878" s="4">
        <v>789</v>
      </c>
      <c r="AA878" s="4">
        <v>840</v>
      </c>
      <c r="AB878" s="4">
        <v>5</v>
      </c>
      <c r="AC878" s="4">
        <v>5</v>
      </c>
      <c r="AD878" s="4">
        <v>16</v>
      </c>
      <c r="AE878" s="4">
        <v>16</v>
      </c>
      <c r="AF878" s="4">
        <v>5</v>
      </c>
      <c r="AG878" s="4">
        <v>5</v>
      </c>
      <c r="AH878" s="4">
        <v>4</v>
      </c>
      <c r="AI878" s="4">
        <v>4</v>
      </c>
      <c r="AJ878" s="4">
        <v>6</v>
      </c>
      <c r="AK878" s="4">
        <v>6</v>
      </c>
      <c r="AL878" s="4">
        <v>4</v>
      </c>
      <c r="AM878" s="4">
        <v>4</v>
      </c>
      <c r="AN878" s="4">
        <v>0</v>
      </c>
      <c r="AO878" s="4">
        <v>0</v>
      </c>
      <c r="AP878" s="3" t="s">
        <v>59</v>
      </c>
      <c r="AQ878" s="3" t="s">
        <v>70</v>
      </c>
      <c r="AR878" s="6" t="str">
        <f>HYPERLINK("http://catalog.hathitrust.org/Record/004493470","HathiTrust Record")</f>
        <v>HathiTrust Record</v>
      </c>
      <c r="AS878" s="6" t="str">
        <f>HYPERLINK("https://creighton-primo.hosted.exlibrisgroup.com/primo-explore/search?tab=default_tab&amp;search_scope=EVERYTHING&amp;vid=01CRU&amp;lang=en_US&amp;offset=0&amp;query=any,contains,991001616599702656","Catalog Record")</f>
        <v>Catalog Record</v>
      </c>
      <c r="AT878" s="6" t="str">
        <f>HYPERLINK("http://www.worldcat.org/oclc/20796749","WorldCat Record")</f>
        <v>WorldCat Record</v>
      </c>
      <c r="AU878" s="3" t="s">
        <v>11012</v>
      </c>
      <c r="AV878" s="3" t="s">
        <v>11013</v>
      </c>
      <c r="AW878" s="3" t="s">
        <v>11014</v>
      </c>
      <c r="AX878" s="3" t="s">
        <v>11014</v>
      </c>
      <c r="AY878" s="3" t="s">
        <v>11015</v>
      </c>
      <c r="AZ878" s="3" t="s">
        <v>75</v>
      </c>
      <c r="BB878" s="3" t="s">
        <v>11016</v>
      </c>
      <c r="BC878" s="3" t="s">
        <v>11017</v>
      </c>
      <c r="BD878" s="3" t="s">
        <v>11018</v>
      </c>
    </row>
    <row r="879" spans="1:56" ht="48" customHeight="1" x14ac:dyDescent="0.25">
      <c r="A879" s="7" t="s">
        <v>59</v>
      </c>
      <c r="B879" s="2" t="s">
        <v>11019</v>
      </c>
      <c r="C879" s="2" t="s">
        <v>11020</v>
      </c>
      <c r="D879" s="2" t="s">
        <v>11021</v>
      </c>
      <c r="F879" s="3" t="s">
        <v>59</v>
      </c>
      <c r="G879" s="3" t="s">
        <v>60</v>
      </c>
      <c r="H879" s="3" t="s">
        <v>59</v>
      </c>
      <c r="I879" s="3" t="s">
        <v>59</v>
      </c>
      <c r="J879" s="3" t="s">
        <v>61</v>
      </c>
      <c r="K879" s="2" t="s">
        <v>11022</v>
      </c>
      <c r="L879" s="2" t="s">
        <v>11023</v>
      </c>
      <c r="M879" s="3" t="s">
        <v>2962</v>
      </c>
      <c r="O879" s="3" t="s">
        <v>64</v>
      </c>
      <c r="P879" s="3" t="s">
        <v>130</v>
      </c>
      <c r="Q879" s="2" t="s">
        <v>11024</v>
      </c>
      <c r="R879" s="3" t="s">
        <v>67</v>
      </c>
      <c r="S879" s="4">
        <v>1</v>
      </c>
      <c r="T879" s="4">
        <v>1</v>
      </c>
      <c r="U879" s="5" t="s">
        <v>11025</v>
      </c>
      <c r="V879" s="5" t="s">
        <v>11025</v>
      </c>
      <c r="W879" s="5" t="s">
        <v>3767</v>
      </c>
      <c r="X879" s="5" t="s">
        <v>3767</v>
      </c>
      <c r="Y879" s="4">
        <v>678</v>
      </c>
      <c r="Z879" s="4">
        <v>541</v>
      </c>
      <c r="AA879" s="4">
        <v>557</v>
      </c>
      <c r="AB879" s="4">
        <v>4</v>
      </c>
      <c r="AC879" s="4">
        <v>4</v>
      </c>
      <c r="AD879" s="4">
        <v>23</v>
      </c>
      <c r="AE879" s="4">
        <v>24</v>
      </c>
      <c r="AF879" s="4">
        <v>7</v>
      </c>
      <c r="AG879" s="4">
        <v>8</v>
      </c>
      <c r="AH879" s="4">
        <v>5</v>
      </c>
      <c r="AI879" s="4">
        <v>5</v>
      </c>
      <c r="AJ879" s="4">
        <v>14</v>
      </c>
      <c r="AK879" s="4">
        <v>15</v>
      </c>
      <c r="AL879" s="4">
        <v>3</v>
      </c>
      <c r="AM879" s="4">
        <v>3</v>
      </c>
      <c r="AN879" s="4">
        <v>0</v>
      </c>
      <c r="AO879" s="4">
        <v>0</v>
      </c>
      <c r="AP879" s="3" t="s">
        <v>59</v>
      </c>
      <c r="AQ879" s="3" t="s">
        <v>70</v>
      </c>
      <c r="AR879" s="6" t="str">
        <f>HYPERLINK("http://catalog.hathitrust.org/Record/001553459","HathiTrust Record")</f>
        <v>HathiTrust Record</v>
      </c>
      <c r="AS879" s="6" t="str">
        <f>HYPERLINK("https://creighton-primo.hosted.exlibrisgroup.com/primo-explore/search?tab=default_tab&amp;search_scope=EVERYTHING&amp;vid=01CRU&amp;lang=en_US&amp;offset=0&amp;query=any,contains,991002997239702656","Catalog Record")</f>
        <v>Catalog Record</v>
      </c>
      <c r="AT879" s="6" t="str">
        <f>HYPERLINK("http://www.worldcat.org/oclc/565753","WorldCat Record")</f>
        <v>WorldCat Record</v>
      </c>
      <c r="AU879" s="3" t="s">
        <v>11026</v>
      </c>
      <c r="AV879" s="3" t="s">
        <v>11027</v>
      </c>
      <c r="AW879" s="3" t="s">
        <v>11028</v>
      </c>
      <c r="AX879" s="3" t="s">
        <v>11028</v>
      </c>
      <c r="AY879" s="3" t="s">
        <v>11029</v>
      </c>
      <c r="AZ879" s="3" t="s">
        <v>75</v>
      </c>
      <c r="BC879" s="3" t="s">
        <v>11030</v>
      </c>
      <c r="BD879" s="3" t="s">
        <v>11031</v>
      </c>
    </row>
    <row r="880" spans="1:56" ht="48" customHeight="1" x14ac:dyDescent="0.25">
      <c r="A880" s="7" t="s">
        <v>59</v>
      </c>
      <c r="B880" s="2" t="s">
        <v>11032</v>
      </c>
      <c r="C880" s="2" t="s">
        <v>11033</v>
      </c>
      <c r="D880" s="2" t="s">
        <v>11034</v>
      </c>
      <c r="F880" s="3" t="s">
        <v>59</v>
      </c>
      <c r="G880" s="3" t="s">
        <v>60</v>
      </c>
      <c r="H880" s="3" t="s">
        <v>59</v>
      </c>
      <c r="I880" s="3" t="s">
        <v>59</v>
      </c>
      <c r="J880" s="3" t="s">
        <v>61</v>
      </c>
      <c r="K880" s="2" t="s">
        <v>11035</v>
      </c>
      <c r="L880" s="2" t="s">
        <v>7034</v>
      </c>
      <c r="M880" s="3" t="s">
        <v>500</v>
      </c>
      <c r="O880" s="3" t="s">
        <v>64</v>
      </c>
      <c r="P880" s="3" t="s">
        <v>84</v>
      </c>
      <c r="R880" s="3" t="s">
        <v>67</v>
      </c>
      <c r="S880" s="4">
        <v>4</v>
      </c>
      <c r="T880" s="4">
        <v>4</v>
      </c>
      <c r="U880" s="5" t="s">
        <v>11036</v>
      </c>
      <c r="V880" s="5" t="s">
        <v>11036</v>
      </c>
      <c r="W880" s="5" t="s">
        <v>11037</v>
      </c>
      <c r="X880" s="5" t="s">
        <v>11037</v>
      </c>
      <c r="Y880" s="4">
        <v>311</v>
      </c>
      <c r="Z880" s="4">
        <v>206</v>
      </c>
      <c r="AA880" s="4">
        <v>208</v>
      </c>
      <c r="AB880" s="4">
        <v>4</v>
      </c>
      <c r="AC880" s="4">
        <v>4</v>
      </c>
      <c r="AD880" s="4">
        <v>8</v>
      </c>
      <c r="AE880" s="4">
        <v>8</v>
      </c>
      <c r="AF880" s="4">
        <v>3</v>
      </c>
      <c r="AG880" s="4">
        <v>3</v>
      </c>
      <c r="AH880" s="4">
        <v>0</v>
      </c>
      <c r="AI880" s="4">
        <v>0</v>
      </c>
      <c r="AJ880" s="4">
        <v>3</v>
      </c>
      <c r="AK880" s="4">
        <v>3</v>
      </c>
      <c r="AL880" s="4">
        <v>3</v>
      </c>
      <c r="AM880" s="4">
        <v>3</v>
      </c>
      <c r="AN880" s="4">
        <v>0</v>
      </c>
      <c r="AO880" s="4">
        <v>0</v>
      </c>
      <c r="AP880" s="3" t="s">
        <v>59</v>
      </c>
      <c r="AQ880" s="3" t="s">
        <v>70</v>
      </c>
      <c r="AR880" s="6" t="str">
        <f>HYPERLINK("http://catalog.hathitrust.org/Record/001553460","HathiTrust Record")</f>
        <v>HathiTrust Record</v>
      </c>
      <c r="AS880" s="6" t="str">
        <f>HYPERLINK("https://creighton-primo.hosted.exlibrisgroup.com/primo-explore/search?tab=default_tab&amp;search_scope=EVERYTHING&amp;vid=01CRU&amp;lang=en_US&amp;offset=0&amp;query=any,contains,991000795639702656","Catalog Record")</f>
        <v>Catalog Record</v>
      </c>
      <c r="AT880" s="6" t="str">
        <f>HYPERLINK("http://www.worldcat.org/oclc/136891","WorldCat Record")</f>
        <v>WorldCat Record</v>
      </c>
      <c r="AU880" s="3" t="s">
        <v>11038</v>
      </c>
      <c r="AV880" s="3" t="s">
        <v>11039</v>
      </c>
      <c r="AW880" s="3" t="s">
        <v>11040</v>
      </c>
      <c r="AX880" s="3" t="s">
        <v>11040</v>
      </c>
      <c r="AY880" s="3" t="s">
        <v>11041</v>
      </c>
      <c r="AZ880" s="3" t="s">
        <v>75</v>
      </c>
      <c r="BB880" s="3" t="s">
        <v>11042</v>
      </c>
      <c r="BC880" s="3" t="s">
        <v>11043</v>
      </c>
      <c r="BD880" s="3" t="s">
        <v>11044</v>
      </c>
    </row>
    <row r="881" spans="1:56" ht="48" customHeight="1" x14ac:dyDescent="0.25">
      <c r="A881" s="7" t="s">
        <v>59</v>
      </c>
      <c r="B881" s="2" t="s">
        <v>11045</v>
      </c>
      <c r="C881" s="2" t="s">
        <v>11046</v>
      </c>
      <c r="D881" s="2" t="s">
        <v>11047</v>
      </c>
      <c r="F881" s="3" t="s">
        <v>59</v>
      </c>
      <c r="G881" s="3" t="s">
        <v>60</v>
      </c>
      <c r="H881" s="3" t="s">
        <v>59</v>
      </c>
      <c r="I881" s="3" t="s">
        <v>59</v>
      </c>
      <c r="J881" s="3" t="s">
        <v>61</v>
      </c>
      <c r="K881" s="2" t="s">
        <v>11048</v>
      </c>
      <c r="L881" s="2" t="s">
        <v>11049</v>
      </c>
      <c r="M881" s="3" t="s">
        <v>1171</v>
      </c>
      <c r="O881" s="3" t="s">
        <v>64</v>
      </c>
      <c r="P881" s="3" t="s">
        <v>264</v>
      </c>
      <c r="R881" s="3" t="s">
        <v>67</v>
      </c>
      <c r="S881" s="4">
        <v>4</v>
      </c>
      <c r="T881" s="4">
        <v>4</v>
      </c>
      <c r="U881" s="5" t="s">
        <v>11050</v>
      </c>
      <c r="V881" s="5" t="s">
        <v>11050</v>
      </c>
      <c r="W881" s="5" t="s">
        <v>11051</v>
      </c>
      <c r="X881" s="5" t="s">
        <v>11051</v>
      </c>
      <c r="Y881" s="4">
        <v>1041</v>
      </c>
      <c r="Z881" s="4">
        <v>971</v>
      </c>
      <c r="AA881" s="4">
        <v>987</v>
      </c>
      <c r="AB881" s="4">
        <v>5</v>
      </c>
      <c r="AC881" s="4">
        <v>5</v>
      </c>
      <c r="AD881" s="4">
        <v>33</v>
      </c>
      <c r="AE881" s="4">
        <v>33</v>
      </c>
      <c r="AF881" s="4">
        <v>14</v>
      </c>
      <c r="AG881" s="4">
        <v>14</v>
      </c>
      <c r="AH881" s="4">
        <v>6</v>
      </c>
      <c r="AI881" s="4">
        <v>6</v>
      </c>
      <c r="AJ881" s="4">
        <v>16</v>
      </c>
      <c r="AK881" s="4">
        <v>16</v>
      </c>
      <c r="AL881" s="4">
        <v>4</v>
      </c>
      <c r="AM881" s="4">
        <v>4</v>
      </c>
      <c r="AN881" s="4">
        <v>0</v>
      </c>
      <c r="AO881" s="4">
        <v>0</v>
      </c>
      <c r="AP881" s="3" t="s">
        <v>59</v>
      </c>
      <c r="AQ881" s="3" t="s">
        <v>59</v>
      </c>
      <c r="AS881" s="6" t="str">
        <f>HYPERLINK("https://creighton-primo.hosted.exlibrisgroup.com/primo-explore/search?tab=default_tab&amp;search_scope=EVERYTHING&amp;vid=01CRU&amp;lang=en_US&amp;offset=0&amp;query=any,contains,991005212109702656","Catalog Record")</f>
        <v>Catalog Record</v>
      </c>
      <c r="AT881" s="6" t="str">
        <f>HYPERLINK("http://www.worldcat.org/oclc/64510711","WorldCat Record")</f>
        <v>WorldCat Record</v>
      </c>
      <c r="AU881" s="3" t="s">
        <v>11052</v>
      </c>
      <c r="AV881" s="3" t="s">
        <v>11053</v>
      </c>
      <c r="AW881" s="3" t="s">
        <v>11054</v>
      </c>
      <c r="AX881" s="3" t="s">
        <v>11054</v>
      </c>
      <c r="AY881" s="3" t="s">
        <v>11055</v>
      </c>
      <c r="AZ881" s="3" t="s">
        <v>75</v>
      </c>
      <c r="BB881" s="3" t="s">
        <v>11056</v>
      </c>
      <c r="BC881" s="3" t="s">
        <v>11057</v>
      </c>
      <c r="BD881" s="3" t="s">
        <v>11058</v>
      </c>
    </row>
    <row r="882" spans="1:56" ht="48" customHeight="1" x14ac:dyDescent="0.25">
      <c r="A882" s="7" t="s">
        <v>59</v>
      </c>
      <c r="B882" s="2" t="s">
        <v>11059</v>
      </c>
      <c r="C882" s="2" t="s">
        <v>11060</v>
      </c>
      <c r="D882" s="2" t="s">
        <v>11061</v>
      </c>
      <c r="E882" s="3" t="s">
        <v>713</v>
      </c>
      <c r="F882" s="3" t="s">
        <v>70</v>
      </c>
      <c r="G882" s="3" t="s">
        <v>60</v>
      </c>
      <c r="H882" s="3" t="s">
        <v>59</v>
      </c>
      <c r="I882" s="3" t="s">
        <v>59</v>
      </c>
      <c r="J882" s="3" t="s">
        <v>61</v>
      </c>
      <c r="L882" s="2" t="s">
        <v>11062</v>
      </c>
      <c r="M882" s="3" t="s">
        <v>145</v>
      </c>
      <c r="O882" s="3" t="s">
        <v>64</v>
      </c>
      <c r="P882" s="3" t="s">
        <v>130</v>
      </c>
      <c r="R882" s="3" t="s">
        <v>67</v>
      </c>
      <c r="S882" s="4">
        <v>0</v>
      </c>
      <c r="T882" s="4">
        <v>2</v>
      </c>
      <c r="V882" s="5" t="s">
        <v>11063</v>
      </c>
      <c r="W882" s="5" t="s">
        <v>11064</v>
      </c>
      <c r="X882" s="5" t="s">
        <v>2950</v>
      </c>
      <c r="Y882" s="4">
        <v>347</v>
      </c>
      <c r="Z882" s="4">
        <v>270</v>
      </c>
      <c r="AA882" s="4">
        <v>286</v>
      </c>
      <c r="AB882" s="4">
        <v>3</v>
      </c>
      <c r="AC882" s="4">
        <v>3</v>
      </c>
      <c r="AD882" s="4">
        <v>9</v>
      </c>
      <c r="AE882" s="4">
        <v>10</v>
      </c>
      <c r="AF882" s="4">
        <v>2</v>
      </c>
      <c r="AG882" s="4">
        <v>3</v>
      </c>
      <c r="AH882" s="4">
        <v>2</v>
      </c>
      <c r="AI882" s="4">
        <v>2</v>
      </c>
      <c r="AJ882" s="4">
        <v>4</v>
      </c>
      <c r="AK882" s="4">
        <v>5</v>
      </c>
      <c r="AL882" s="4">
        <v>2</v>
      </c>
      <c r="AM882" s="4">
        <v>2</v>
      </c>
      <c r="AN882" s="4">
        <v>0</v>
      </c>
      <c r="AO882" s="4">
        <v>0</v>
      </c>
      <c r="AP882" s="3" t="s">
        <v>59</v>
      </c>
      <c r="AQ882" s="3" t="s">
        <v>70</v>
      </c>
      <c r="AR882" s="6" t="str">
        <f>HYPERLINK("http://catalog.hathitrust.org/Record/000228468","HathiTrust Record")</f>
        <v>HathiTrust Record</v>
      </c>
      <c r="AS882" s="6" t="str">
        <f>HYPERLINK("https://creighton-primo.hosted.exlibrisgroup.com/primo-explore/search?tab=default_tab&amp;search_scope=EVERYTHING&amp;vid=01CRU&amp;lang=en_US&amp;offset=0&amp;query=any,contains,991004487879702656","Catalog Record")</f>
        <v>Catalog Record</v>
      </c>
      <c r="AT882" s="6" t="str">
        <f>HYPERLINK("http://www.worldcat.org/oclc/3649969","WorldCat Record")</f>
        <v>WorldCat Record</v>
      </c>
      <c r="AU882" s="3" t="s">
        <v>11065</v>
      </c>
      <c r="AV882" s="3" t="s">
        <v>11066</v>
      </c>
      <c r="AW882" s="3" t="s">
        <v>11067</v>
      </c>
      <c r="AX882" s="3" t="s">
        <v>11067</v>
      </c>
      <c r="AY882" s="3" t="s">
        <v>11068</v>
      </c>
      <c r="AZ882" s="3" t="s">
        <v>75</v>
      </c>
      <c r="BB882" s="3" t="s">
        <v>11069</v>
      </c>
      <c r="BC882" s="3" t="s">
        <v>11070</v>
      </c>
      <c r="BD882" s="3" t="s">
        <v>11071</v>
      </c>
    </row>
    <row r="883" spans="1:56" ht="48" customHeight="1" x14ac:dyDescent="0.25">
      <c r="A883" s="7" t="s">
        <v>59</v>
      </c>
      <c r="B883" s="2" t="s">
        <v>11059</v>
      </c>
      <c r="C883" s="2" t="s">
        <v>11060</v>
      </c>
      <c r="D883" s="2" t="s">
        <v>11061</v>
      </c>
      <c r="E883" s="3" t="s">
        <v>723</v>
      </c>
      <c r="F883" s="3" t="s">
        <v>70</v>
      </c>
      <c r="G883" s="3" t="s">
        <v>60</v>
      </c>
      <c r="H883" s="3" t="s">
        <v>59</v>
      </c>
      <c r="I883" s="3" t="s">
        <v>59</v>
      </c>
      <c r="J883" s="3" t="s">
        <v>61</v>
      </c>
      <c r="L883" s="2" t="s">
        <v>11062</v>
      </c>
      <c r="M883" s="3" t="s">
        <v>145</v>
      </c>
      <c r="O883" s="3" t="s">
        <v>64</v>
      </c>
      <c r="P883" s="3" t="s">
        <v>130</v>
      </c>
      <c r="R883" s="3" t="s">
        <v>67</v>
      </c>
      <c r="S883" s="4">
        <v>0</v>
      </c>
      <c r="T883" s="4">
        <v>2</v>
      </c>
      <c r="V883" s="5" t="s">
        <v>11063</v>
      </c>
      <c r="W883" s="5" t="s">
        <v>2950</v>
      </c>
      <c r="X883" s="5" t="s">
        <v>2950</v>
      </c>
      <c r="Y883" s="4">
        <v>347</v>
      </c>
      <c r="Z883" s="4">
        <v>270</v>
      </c>
      <c r="AA883" s="4">
        <v>286</v>
      </c>
      <c r="AB883" s="4">
        <v>3</v>
      </c>
      <c r="AC883" s="4">
        <v>3</v>
      </c>
      <c r="AD883" s="4">
        <v>9</v>
      </c>
      <c r="AE883" s="4">
        <v>10</v>
      </c>
      <c r="AF883" s="4">
        <v>2</v>
      </c>
      <c r="AG883" s="4">
        <v>3</v>
      </c>
      <c r="AH883" s="4">
        <v>2</v>
      </c>
      <c r="AI883" s="4">
        <v>2</v>
      </c>
      <c r="AJ883" s="4">
        <v>4</v>
      </c>
      <c r="AK883" s="4">
        <v>5</v>
      </c>
      <c r="AL883" s="4">
        <v>2</v>
      </c>
      <c r="AM883" s="4">
        <v>2</v>
      </c>
      <c r="AN883" s="4">
        <v>0</v>
      </c>
      <c r="AO883" s="4">
        <v>0</v>
      </c>
      <c r="AP883" s="3" t="s">
        <v>59</v>
      </c>
      <c r="AQ883" s="3" t="s">
        <v>70</v>
      </c>
      <c r="AR883" s="6" t="str">
        <f>HYPERLINK("http://catalog.hathitrust.org/Record/000228468","HathiTrust Record")</f>
        <v>HathiTrust Record</v>
      </c>
      <c r="AS883" s="6" t="str">
        <f>HYPERLINK("https://creighton-primo.hosted.exlibrisgroup.com/primo-explore/search?tab=default_tab&amp;search_scope=EVERYTHING&amp;vid=01CRU&amp;lang=en_US&amp;offset=0&amp;query=any,contains,991004487879702656","Catalog Record")</f>
        <v>Catalog Record</v>
      </c>
      <c r="AT883" s="6" t="str">
        <f>HYPERLINK("http://www.worldcat.org/oclc/3649969","WorldCat Record")</f>
        <v>WorldCat Record</v>
      </c>
      <c r="AU883" s="3" t="s">
        <v>11065</v>
      </c>
      <c r="AV883" s="3" t="s">
        <v>11066</v>
      </c>
      <c r="AW883" s="3" t="s">
        <v>11067</v>
      </c>
      <c r="AX883" s="3" t="s">
        <v>11067</v>
      </c>
      <c r="AY883" s="3" t="s">
        <v>11068</v>
      </c>
      <c r="AZ883" s="3" t="s">
        <v>75</v>
      </c>
      <c r="BB883" s="3" t="s">
        <v>11069</v>
      </c>
      <c r="BC883" s="3" t="s">
        <v>11072</v>
      </c>
      <c r="BD883" s="3" t="s">
        <v>11073</v>
      </c>
    </row>
    <row r="884" spans="1:56" ht="48" customHeight="1" x14ac:dyDescent="0.25">
      <c r="A884" s="7" t="s">
        <v>59</v>
      </c>
      <c r="B884" s="2" t="s">
        <v>11059</v>
      </c>
      <c r="C884" s="2" t="s">
        <v>11060</v>
      </c>
      <c r="D884" s="2" t="s">
        <v>11061</v>
      </c>
      <c r="E884" s="3" t="s">
        <v>1470</v>
      </c>
      <c r="F884" s="3" t="s">
        <v>70</v>
      </c>
      <c r="G884" s="3" t="s">
        <v>60</v>
      </c>
      <c r="H884" s="3" t="s">
        <v>59</v>
      </c>
      <c r="I884" s="3" t="s">
        <v>59</v>
      </c>
      <c r="J884" s="3" t="s">
        <v>61</v>
      </c>
      <c r="L884" s="2" t="s">
        <v>11062</v>
      </c>
      <c r="M884" s="3" t="s">
        <v>145</v>
      </c>
      <c r="O884" s="3" t="s">
        <v>64</v>
      </c>
      <c r="P884" s="3" t="s">
        <v>130</v>
      </c>
      <c r="R884" s="3" t="s">
        <v>67</v>
      </c>
      <c r="S884" s="4">
        <v>2</v>
      </c>
      <c r="T884" s="4">
        <v>2</v>
      </c>
      <c r="U884" s="5" t="s">
        <v>11063</v>
      </c>
      <c r="V884" s="5" t="s">
        <v>11063</v>
      </c>
      <c r="W884" s="5" t="s">
        <v>2950</v>
      </c>
      <c r="X884" s="5" t="s">
        <v>2950</v>
      </c>
      <c r="Y884" s="4">
        <v>347</v>
      </c>
      <c r="Z884" s="4">
        <v>270</v>
      </c>
      <c r="AA884" s="4">
        <v>286</v>
      </c>
      <c r="AB884" s="4">
        <v>3</v>
      </c>
      <c r="AC884" s="4">
        <v>3</v>
      </c>
      <c r="AD884" s="4">
        <v>9</v>
      </c>
      <c r="AE884" s="4">
        <v>10</v>
      </c>
      <c r="AF884" s="4">
        <v>2</v>
      </c>
      <c r="AG884" s="4">
        <v>3</v>
      </c>
      <c r="AH884" s="4">
        <v>2</v>
      </c>
      <c r="AI884" s="4">
        <v>2</v>
      </c>
      <c r="AJ884" s="4">
        <v>4</v>
      </c>
      <c r="AK884" s="4">
        <v>5</v>
      </c>
      <c r="AL884" s="4">
        <v>2</v>
      </c>
      <c r="AM884" s="4">
        <v>2</v>
      </c>
      <c r="AN884" s="4">
        <v>0</v>
      </c>
      <c r="AO884" s="4">
        <v>0</v>
      </c>
      <c r="AP884" s="3" t="s">
        <v>59</v>
      </c>
      <c r="AQ884" s="3" t="s">
        <v>70</v>
      </c>
      <c r="AR884" s="6" t="str">
        <f>HYPERLINK("http://catalog.hathitrust.org/Record/000228468","HathiTrust Record")</f>
        <v>HathiTrust Record</v>
      </c>
      <c r="AS884" s="6" t="str">
        <f>HYPERLINK("https://creighton-primo.hosted.exlibrisgroup.com/primo-explore/search?tab=default_tab&amp;search_scope=EVERYTHING&amp;vid=01CRU&amp;lang=en_US&amp;offset=0&amp;query=any,contains,991004487879702656","Catalog Record")</f>
        <v>Catalog Record</v>
      </c>
      <c r="AT884" s="6" t="str">
        <f>HYPERLINK("http://www.worldcat.org/oclc/3649969","WorldCat Record")</f>
        <v>WorldCat Record</v>
      </c>
      <c r="AU884" s="3" t="s">
        <v>11065</v>
      </c>
      <c r="AV884" s="3" t="s">
        <v>11066</v>
      </c>
      <c r="AW884" s="3" t="s">
        <v>11067</v>
      </c>
      <c r="AX884" s="3" t="s">
        <v>11067</v>
      </c>
      <c r="AY884" s="3" t="s">
        <v>11068</v>
      </c>
      <c r="AZ884" s="3" t="s">
        <v>75</v>
      </c>
      <c r="BB884" s="3" t="s">
        <v>11069</v>
      </c>
      <c r="BC884" s="3" t="s">
        <v>11074</v>
      </c>
      <c r="BD884" s="3" t="s">
        <v>11075</v>
      </c>
    </row>
    <row r="885" spans="1:56" ht="48" customHeight="1" x14ac:dyDescent="0.25">
      <c r="A885" s="7" t="s">
        <v>59</v>
      </c>
      <c r="B885" s="2" t="s">
        <v>11076</v>
      </c>
      <c r="C885" s="2" t="s">
        <v>11077</v>
      </c>
      <c r="D885" s="2" t="s">
        <v>11078</v>
      </c>
      <c r="F885" s="3" t="s">
        <v>59</v>
      </c>
      <c r="G885" s="3" t="s">
        <v>60</v>
      </c>
      <c r="H885" s="3" t="s">
        <v>59</v>
      </c>
      <c r="I885" s="3" t="s">
        <v>59</v>
      </c>
      <c r="J885" s="3" t="s">
        <v>61</v>
      </c>
      <c r="K885" s="2" t="s">
        <v>11079</v>
      </c>
      <c r="L885" s="2" t="s">
        <v>5033</v>
      </c>
      <c r="M885" s="3" t="s">
        <v>234</v>
      </c>
      <c r="O885" s="3" t="s">
        <v>64</v>
      </c>
      <c r="P885" s="3" t="s">
        <v>84</v>
      </c>
      <c r="R885" s="3" t="s">
        <v>67</v>
      </c>
      <c r="S885" s="4">
        <v>3</v>
      </c>
      <c r="T885" s="4">
        <v>3</v>
      </c>
      <c r="U885" s="5" t="s">
        <v>11080</v>
      </c>
      <c r="V885" s="5" t="s">
        <v>11080</v>
      </c>
      <c r="W885" s="5" t="s">
        <v>11081</v>
      </c>
      <c r="X885" s="5" t="s">
        <v>11081</v>
      </c>
      <c r="Y885" s="4">
        <v>403</v>
      </c>
      <c r="Z885" s="4">
        <v>259</v>
      </c>
      <c r="AA885" s="4">
        <v>289</v>
      </c>
      <c r="AB885" s="4">
        <v>3</v>
      </c>
      <c r="AC885" s="4">
        <v>3</v>
      </c>
      <c r="AD885" s="4">
        <v>8</v>
      </c>
      <c r="AE885" s="4">
        <v>9</v>
      </c>
      <c r="AF885" s="4">
        <v>1</v>
      </c>
      <c r="AG885" s="4">
        <v>2</v>
      </c>
      <c r="AH885" s="4">
        <v>2</v>
      </c>
      <c r="AI885" s="4">
        <v>2</v>
      </c>
      <c r="AJ885" s="4">
        <v>5</v>
      </c>
      <c r="AK885" s="4">
        <v>5</v>
      </c>
      <c r="AL885" s="4">
        <v>2</v>
      </c>
      <c r="AM885" s="4">
        <v>2</v>
      </c>
      <c r="AN885" s="4">
        <v>0</v>
      </c>
      <c r="AO885" s="4">
        <v>0</v>
      </c>
      <c r="AP885" s="3" t="s">
        <v>59</v>
      </c>
      <c r="AQ885" s="3" t="s">
        <v>59</v>
      </c>
      <c r="AS885" s="6" t="str">
        <f>HYPERLINK("https://creighton-primo.hosted.exlibrisgroup.com/primo-explore/search?tab=default_tab&amp;search_scope=EVERYTHING&amp;vid=01CRU&amp;lang=en_US&amp;offset=0&amp;query=any,contains,991001416249702656","Catalog Record")</f>
        <v>Catalog Record</v>
      </c>
      <c r="AT885" s="6" t="str">
        <f>HYPERLINK("http://www.worldcat.org/oclc/18949186","WorldCat Record")</f>
        <v>WorldCat Record</v>
      </c>
      <c r="AU885" s="3" t="s">
        <v>11082</v>
      </c>
      <c r="AV885" s="3" t="s">
        <v>11083</v>
      </c>
      <c r="AW885" s="3" t="s">
        <v>11084</v>
      </c>
      <c r="AX885" s="3" t="s">
        <v>11084</v>
      </c>
      <c r="AY885" s="3" t="s">
        <v>11085</v>
      </c>
      <c r="AZ885" s="3" t="s">
        <v>75</v>
      </c>
      <c r="BB885" s="3" t="s">
        <v>11086</v>
      </c>
      <c r="BC885" s="3" t="s">
        <v>11087</v>
      </c>
      <c r="BD885" s="3" t="s">
        <v>11088</v>
      </c>
    </row>
    <row r="886" spans="1:56" ht="48" customHeight="1" x14ac:dyDescent="0.25">
      <c r="A886" s="7" t="s">
        <v>59</v>
      </c>
      <c r="B886" s="2" t="s">
        <v>11089</v>
      </c>
      <c r="C886" s="2" t="s">
        <v>11090</v>
      </c>
      <c r="D886" s="2" t="s">
        <v>11091</v>
      </c>
      <c r="F886" s="3" t="s">
        <v>59</v>
      </c>
      <c r="G886" s="3" t="s">
        <v>60</v>
      </c>
      <c r="H886" s="3" t="s">
        <v>59</v>
      </c>
      <c r="I886" s="3" t="s">
        <v>59</v>
      </c>
      <c r="J886" s="3" t="s">
        <v>61</v>
      </c>
      <c r="L886" s="2" t="s">
        <v>11092</v>
      </c>
      <c r="M886" s="3" t="s">
        <v>234</v>
      </c>
      <c r="O886" s="3" t="s">
        <v>64</v>
      </c>
      <c r="P886" s="3" t="s">
        <v>130</v>
      </c>
      <c r="R886" s="3" t="s">
        <v>67</v>
      </c>
      <c r="S886" s="4">
        <v>3</v>
      </c>
      <c r="T886" s="4">
        <v>3</v>
      </c>
      <c r="U886" s="5" t="s">
        <v>11093</v>
      </c>
      <c r="V886" s="5" t="s">
        <v>11093</v>
      </c>
      <c r="W886" s="5" t="s">
        <v>11094</v>
      </c>
      <c r="X886" s="5" t="s">
        <v>11094</v>
      </c>
      <c r="Y886" s="4">
        <v>163</v>
      </c>
      <c r="Z886" s="4">
        <v>127</v>
      </c>
      <c r="AA886" s="4">
        <v>127</v>
      </c>
      <c r="AB886" s="4">
        <v>3</v>
      </c>
      <c r="AC886" s="4">
        <v>3</v>
      </c>
      <c r="AD886" s="4">
        <v>4</v>
      </c>
      <c r="AE886" s="4">
        <v>4</v>
      </c>
      <c r="AF886" s="4">
        <v>0</v>
      </c>
      <c r="AG886" s="4">
        <v>0</v>
      </c>
      <c r="AH886" s="4">
        <v>0</v>
      </c>
      <c r="AI886" s="4">
        <v>0</v>
      </c>
      <c r="AJ886" s="4">
        <v>2</v>
      </c>
      <c r="AK886" s="4">
        <v>2</v>
      </c>
      <c r="AL886" s="4">
        <v>2</v>
      </c>
      <c r="AM886" s="4">
        <v>2</v>
      </c>
      <c r="AN886" s="4">
        <v>0</v>
      </c>
      <c r="AO886" s="4">
        <v>0</v>
      </c>
      <c r="AP886" s="3" t="s">
        <v>59</v>
      </c>
      <c r="AQ886" s="3" t="s">
        <v>59</v>
      </c>
      <c r="AS886" s="6" t="str">
        <f>HYPERLINK("https://creighton-primo.hosted.exlibrisgroup.com/primo-explore/search?tab=default_tab&amp;search_scope=EVERYTHING&amp;vid=01CRU&amp;lang=en_US&amp;offset=0&amp;query=any,contains,991005411889702656","Catalog Record")</f>
        <v>Catalog Record</v>
      </c>
      <c r="AT886" s="6" t="str">
        <f>HYPERLINK("http://www.worldcat.org/oclc/21036775","WorldCat Record")</f>
        <v>WorldCat Record</v>
      </c>
      <c r="AU886" s="3" t="s">
        <v>11095</v>
      </c>
      <c r="AV886" s="3" t="s">
        <v>11096</v>
      </c>
      <c r="AW886" s="3" t="s">
        <v>11097</v>
      </c>
      <c r="AX886" s="3" t="s">
        <v>11097</v>
      </c>
      <c r="AY886" s="3" t="s">
        <v>11098</v>
      </c>
      <c r="AZ886" s="3" t="s">
        <v>75</v>
      </c>
      <c r="BB886" s="3" t="s">
        <v>11099</v>
      </c>
      <c r="BC886" s="3" t="s">
        <v>11100</v>
      </c>
      <c r="BD886" s="3" t="s">
        <v>11101</v>
      </c>
    </row>
    <row r="887" spans="1:56" ht="48" customHeight="1" x14ac:dyDescent="0.25">
      <c r="A887" s="7" t="s">
        <v>59</v>
      </c>
      <c r="B887" s="2" t="s">
        <v>11102</v>
      </c>
      <c r="C887" s="2" t="s">
        <v>11103</v>
      </c>
      <c r="D887" s="2" t="s">
        <v>11104</v>
      </c>
      <c r="F887" s="3" t="s">
        <v>59</v>
      </c>
      <c r="G887" s="3" t="s">
        <v>60</v>
      </c>
      <c r="H887" s="3" t="s">
        <v>59</v>
      </c>
      <c r="I887" s="3" t="s">
        <v>59</v>
      </c>
      <c r="J887" s="3" t="s">
        <v>61</v>
      </c>
      <c r="L887" s="2" t="s">
        <v>1775</v>
      </c>
      <c r="M887" s="3" t="s">
        <v>248</v>
      </c>
      <c r="O887" s="3" t="s">
        <v>64</v>
      </c>
      <c r="P887" s="3" t="s">
        <v>130</v>
      </c>
      <c r="Q887" s="2" t="s">
        <v>11105</v>
      </c>
      <c r="R887" s="3" t="s">
        <v>67</v>
      </c>
      <c r="S887" s="4">
        <v>3</v>
      </c>
      <c r="T887" s="4">
        <v>3</v>
      </c>
      <c r="U887" s="5" t="s">
        <v>11093</v>
      </c>
      <c r="V887" s="5" t="s">
        <v>11093</v>
      </c>
      <c r="W887" s="5" t="s">
        <v>10443</v>
      </c>
      <c r="X887" s="5" t="s">
        <v>10443</v>
      </c>
      <c r="Y887" s="4">
        <v>417</v>
      </c>
      <c r="Z887" s="4">
        <v>316</v>
      </c>
      <c r="AA887" s="4">
        <v>328</v>
      </c>
      <c r="AB887" s="4">
        <v>2</v>
      </c>
      <c r="AC887" s="4">
        <v>2</v>
      </c>
      <c r="AD887" s="4">
        <v>12</v>
      </c>
      <c r="AE887" s="4">
        <v>12</v>
      </c>
      <c r="AF887" s="4">
        <v>2</v>
      </c>
      <c r="AG887" s="4">
        <v>2</v>
      </c>
      <c r="AH887" s="4">
        <v>4</v>
      </c>
      <c r="AI887" s="4">
        <v>4</v>
      </c>
      <c r="AJ887" s="4">
        <v>10</v>
      </c>
      <c r="AK887" s="4">
        <v>10</v>
      </c>
      <c r="AL887" s="4">
        <v>1</v>
      </c>
      <c r="AM887" s="4">
        <v>1</v>
      </c>
      <c r="AN887" s="4">
        <v>0</v>
      </c>
      <c r="AO887" s="4">
        <v>0</v>
      </c>
      <c r="AP887" s="3" t="s">
        <v>59</v>
      </c>
      <c r="AQ887" s="3" t="s">
        <v>70</v>
      </c>
      <c r="AR887" s="6" t="str">
        <f>HYPERLINK("http://catalog.hathitrust.org/Record/000741299","HathiTrust Record")</f>
        <v>HathiTrust Record</v>
      </c>
      <c r="AS887" s="6" t="str">
        <f>HYPERLINK("https://creighton-primo.hosted.exlibrisgroup.com/primo-explore/search?tab=default_tab&amp;search_scope=EVERYTHING&amp;vid=01CRU&amp;lang=en_US&amp;offset=0&amp;query=any,contains,991005020439702656","Catalog Record")</f>
        <v>Catalog Record</v>
      </c>
      <c r="AT887" s="6" t="str">
        <f>HYPERLINK("http://www.worldcat.org/oclc/6649154","WorldCat Record")</f>
        <v>WorldCat Record</v>
      </c>
      <c r="AU887" s="3" t="s">
        <v>11106</v>
      </c>
      <c r="AV887" s="3" t="s">
        <v>11107</v>
      </c>
      <c r="AW887" s="3" t="s">
        <v>11108</v>
      </c>
      <c r="AX887" s="3" t="s">
        <v>11108</v>
      </c>
      <c r="AY887" s="3" t="s">
        <v>11109</v>
      </c>
      <c r="AZ887" s="3" t="s">
        <v>75</v>
      </c>
      <c r="BB887" s="3" t="s">
        <v>11110</v>
      </c>
      <c r="BC887" s="3" t="s">
        <v>11111</v>
      </c>
      <c r="BD887" s="3" t="s">
        <v>11112</v>
      </c>
    </row>
    <row r="888" spans="1:56" ht="48" customHeight="1" x14ac:dyDescent="0.25">
      <c r="A888" s="7" t="s">
        <v>59</v>
      </c>
      <c r="B888" s="2" t="s">
        <v>11113</v>
      </c>
      <c r="C888" s="2" t="s">
        <v>11114</v>
      </c>
      <c r="D888" s="2" t="s">
        <v>11115</v>
      </c>
      <c r="F888" s="3" t="s">
        <v>59</v>
      </c>
      <c r="G888" s="3" t="s">
        <v>60</v>
      </c>
      <c r="H888" s="3" t="s">
        <v>59</v>
      </c>
      <c r="I888" s="3" t="s">
        <v>59</v>
      </c>
      <c r="J888" s="3" t="s">
        <v>61</v>
      </c>
      <c r="L888" s="2" t="s">
        <v>11116</v>
      </c>
      <c r="M888" s="3" t="s">
        <v>363</v>
      </c>
      <c r="O888" s="3" t="s">
        <v>64</v>
      </c>
      <c r="P888" s="3" t="s">
        <v>84</v>
      </c>
      <c r="Q888" s="2" t="s">
        <v>10816</v>
      </c>
      <c r="R888" s="3" t="s">
        <v>67</v>
      </c>
      <c r="S888" s="4">
        <v>28</v>
      </c>
      <c r="T888" s="4">
        <v>28</v>
      </c>
      <c r="U888" s="5" t="s">
        <v>11036</v>
      </c>
      <c r="V888" s="5" t="s">
        <v>11036</v>
      </c>
      <c r="W888" s="5" t="s">
        <v>11117</v>
      </c>
      <c r="X888" s="5" t="s">
        <v>11117</v>
      </c>
      <c r="Y888" s="4">
        <v>438</v>
      </c>
      <c r="Z888" s="4">
        <v>322</v>
      </c>
      <c r="AA888" s="4">
        <v>324</v>
      </c>
      <c r="AB888" s="4">
        <v>3</v>
      </c>
      <c r="AC888" s="4">
        <v>3</v>
      </c>
      <c r="AD888" s="4">
        <v>15</v>
      </c>
      <c r="AE888" s="4">
        <v>15</v>
      </c>
      <c r="AF888" s="4">
        <v>3</v>
      </c>
      <c r="AG888" s="4">
        <v>3</v>
      </c>
      <c r="AH888" s="4">
        <v>4</v>
      </c>
      <c r="AI888" s="4">
        <v>4</v>
      </c>
      <c r="AJ888" s="4">
        <v>8</v>
      </c>
      <c r="AK888" s="4">
        <v>8</v>
      </c>
      <c r="AL888" s="4">
        <v>2</v>
      </c>
      <c r="AM888" s="4">
        <v>2</v>
      </c>
      <c r="AN888" s="4">
        <v>0</v>
      </c>
      <c r="AO888" s="4">
        <v>0</v>
      </c>
      <c r="AP888" s="3" t="s">
        <v>59</v>
      </c>
      <c r="AQ888" s="3" t="s">
        <v>70</v>
      </c>
      <c r="AR888" s="6" t="str">
        <f>HYPERLINK("http://catalog.hathitrust.org/Record/007469927","HathiTrust Record")</f>
        <v>HathiTrust Record</v>
      </c>
      <c r="AS888" s="6" t="str">
        <f>HYPERLINK("https://creighton-primo.hosted.exlibrisgroup.com/primo-explore/search?tab=default_tab&amp;search_scope=EVERYTHING&amp;vid=01CRU&amp;lang=en_US&amp;offset=0&amp;query=any,contains,991005388209702656","Catalog Record")</f>
        <v>Catalog Record</v>
      </c>
      <c r="AT888" s="6" t="str">
        <f>HYPERLINK("http://www.worldcat.org/oclc/7795289","WorldCat Record")</f>
        <v>WorldCat Record</v>
      </c>
      <c r="AU888" s="3" t="s">
        <v>11118</v>
      </c>
      <c r="AV888" s="3" t="s">
        <v>11119</v>
      </c>
      <c r="AW888" s="3" t="s">
        <v>11120</v>
      </c>
      <c r="AX888" s="3" t="s">
        <v>11120</v>
      </c>
      <c r="AY888" s="3" t="s">
        <v>11121</v>
      </c>
      <c r="AZ888" s="3" t="s">
        <v>75</v>
      </c>
      <c r="BB888" s="3" t="s">
        <v>11122</v>
      </c>
      <c r="BC888" s="3" t="s">
        <v>11123</v>
      </c>
      <c r="BD888" s="3" t="s">
        <v>11124</v>
      </c>
    </row>
    <row r="889" spans="1:56" ht="48" customHeight="1" x14ac:dyDescent="0.25">
      <c r="A889" s="7" t="s">
        <v>59</v>
      </c>
      <c r="B889" s="2" t="s">
        <v>11125</v>
      </c>
      <c r="C889" s="2" t="s">
        <v>11126</v>
      </c>
      <c r="D889" s="2" t="s">
        <v>11127</v>
      </c>
      <c r="F889" s="3" t="s">
        <v>59</v>
      </c>
      <c r="G889" s="3" t="s">
        <v>60</v>
      </c>
      <c r="H889" s="3" t="s">
        <v>59</v>
      </c>
      <c r="I889" s="3" t="s">
        <v>59</v>
      </c>
      <c r="J889" s="3" t="s">
        <v>61</v>
      </c>
      <c r="L889" s="2" t="s">
        <v>11128</v>
      </c>
      <c r="M889" s="3" t="s">
        <v>1351</v>
      </c>
      <c r="O889" s="3" t="s">
        <v>64</v>
      </c>
      <c r="P889" s="3" t="s">
        <v>264</v>
      </c>
      <c r="R889" s="3" t="s">
        <v>67</v>
      </c>
      <c r="S889" s="4">
        <v>2</v>
      </c>
      <c r="T889" s="4">
        <v>2</v>
      </c>
      <c r="U889" s="5" t="s">
        <v>11129</v>
      </c>
      <c r="V889" s="5" t="s">
        <v>11129</v>
      </c>
      <c r="W889" s="5" t="s">
        <v>11130</v>
      </c>
      <c r="X889" s="5" t="s">
        <v>11130</v>
      </c>
      <c r="Y889" s="4">
        <v>644</v>
      </c>
      <c r="Z889" s="4">
        <v>517</v>
      </c>
      <c r="AA889" s="4">
        <v>519</v>
      </c>
      <c r="AB889" s="4">
        <v>2</v>
      </c>
      <c r="AC889" s="4">
        <v>2</v>
      </c>
      <c r="AD889" s="4">
        <v>23</v>
      </c>
      <c r="AE889" s="4">
        <v>23</v>
      </c>
      <c r="AF889" s="4">
        <v>9</v>
      </c>
      <c r="AG889" s="4">
        <v>9</v>
      </c>
      <c r="AH889" s="4">
        <v>5</v>
      </c>
      <c r="AI889" s="4">
        <v>5</v>
      </c>
      <c r="AJ889" s="4">
        <v>13</v>
      </c>
      <c r="AK889" s="4">
        <v>13</v>
      </c>
      <c r="AL889" s="4">
        <v>1</v>
      </c>
      <c r="AM889" s="4">
        <v>1</v>
      </c>
      <c r="AN889" s="4">
        <v>0</v>
      </c>
      <c r="AO889" s="4">
        <v>0</v>
      </c>
      <c r="AP889" s="3" t="s">
        <v>59</v>
      </c>
      <c r="AQ889" s="3" t="s">
        <v>59</v>
      </c>
      <c r="AS889" s="6" t="str">
        <f>HYPERLINK("https://creighton-primo.hosted.exlibrisgroup.com/primo-explore/search?tab=default_tab&amp;search_scope=EVERYTHING&amp;vid=01CRU&amp;lang=en_US&amp;offset=0&amp;query=any,contains,991004540499702656","Catalog Record")</f>
        <v>Catalog Record</v>
      </c>
      <c r="AT889" s="6" t="str">
        <f>HYPERLINK("http://www.worldcat.org/oclc/51764526","WorldCat Record")</f>
        <v>WorldCat Record</v>
      </c>
      <c r="AU889" s="3" t="s">
        <v>11131</v>
      </c>
      <c r="AV889" s="3" t="s">
        <v>11132</v>
      </c>
      <c r="AW889" s="3" t="s">
        <v>11133</v>
      </c>
      <c r="AX889" s="3" t="s">
        <v>11133</v>
      </c>
      <c r="AY889" s="3" t="s">
        <v>11134</v>
      </c>
      <c r="AZ889" s="3" t="s">
        <v>75</v>
      </c>
      <c r="BB889" s="3" t="s">
        <v>11135</v>
      </c>
      <c r="BC889" s="3" t="s">
        <v>11136</v>
      </c>
      <c r="BD889" s="3" t="s">
        <v>11137</v>
      </c>
    </row>
    <row r="890" spans="1:56" ht="48" customHeight="1" x14ac:dyDescent="0.25">
      <c r="A890" s="7" t="s">
        <v>59</v>
      </c>
      <c r="B890" s="2" t="s">
        <v>11138</v>
      </c>
      <c r="C890" s="2" t="s">
        <v>11139</v>
      </c>
      <c r="D890" s="2" t="s">
        <v>11140</v>
      </c>
      <c r="F890" s="3" t="s">
        <v>59</v>
      </c>
      <c r="G890" s="3" t="s">
        <v>60</v>
      </c>
      <c r="H890" s="3" t="s">
        <v>59</v>
      </c>
      <c r="I890" s="3" t="s">
        <v>59</v>
      </c>
      <c r="J890" s="3" t="s">
        <v>61</v>
      </c>
      <c r="K890" s="2" t="s">
        <v>11141</v>
      </c>
      <c r="L890" s="2" t="s">
        <v>11142</v>
      </c>
      <c r="M890" s="3" t="s">
        <v>590</v>
      </c>
      <c r="O890" s="3" t="s">
        <v>64</v>
      </c>
      <c r="P890" s="3" t="s">
        <v>130</v>
      </c>
      <c r="R890" s="3" t="s">
        <v>67</v>
      </c>
      <c r="S890" s="4">
        <v>2</v>
      </c>
      <c r="T890" s="4">
        <v>2</v>
      </c>
      <c r="U890" s="5" t="s">
        <v>11143</v>
      </c>
      <c r="V890" s="5" t="s">
        <v>11143</v>
      </c>
      <c r="W890" s="5" t="s">
        <v>11144</v>
      </c>
      <c r="X890" s="5" t="s">
        <v>11144</v>
      </c>
      <c r="Y890" s="4">
        <v>369</v>
      </c>
      <c r="Z890" s="4">
        <v>252</v>
      </c>
      <c r="AA890" s="4">
        <v>270</v>
      </c>
      <c r="AB890" s="4">
        <v>4</v>
      </c>
      <c r="AC890" s="4">
        <v>4</v>
      </c>
      <c r="AD890" s="4">
        <v>10</v>
      </c>
      <c r="AE890" s="4">
        <v>11</v>
      </c>
      <c r="AF890" s="4">
        <v>2</v>
      </c>
      <c r="AG890" s="4">
        <v>3</v>
      </c>
      <c r="AH890" s="4">
        <v>2</v>
      </c>
      <c r="AI890" s="4">
        <v>2</v>
      </c>
      <c r="AJ890" s="4">
        <v>4</v>
      </c>
      <c r="AK890" s="4">
        <v>5</v>
      </c>
      <c r="AL890" s="4">
        <v>3</v>
      </c>
      <c r="AM890" s="4">
        <v>3</v>
      </c>
      <c r="AN890" s="4">
        <v>0</v>
      </c>
      <c r="AO890" s="4">
        <v>0</v>
      </c>
      <c r="AP890" s="3" t="s">
        <v>59</v>
      </c>
      <c r="AQ890" s="3" t="s">
        <v>70</v>
      </c>
      <c r="AR890" s="6" t="str">
        <f>HYPERLINK("http://catalog.hathitrust.org/Record/000870087","HathiTrust Record")</f>
        <v>HathiTrust Record</v>
      </c>
      <c r="AS890" s="6" t="str">
        <f>HYPERLINK("https://creighton-primo.hosted.exlibrisgroup.com/primo-explore/search?tab=default_tab&amp;search_scope=EVERYTHING&amp;vid=01CRU&amp;lang=en_US&amp;offset=0&amp;query=any,contains,991005408059702656","Catalog Record")</f>
        <v>Catalog Record</v>
      </c>
      <c r="AT890" s="6" t="str">
        <f>HYPERLINK("http://www.worldcat.org/oclc/16226837","WorldCat Record")</f>
        <v>WorldCat Record</v>
      </c>
      <c r="AU890" s="3" t="s">
        <v>11145</v>
      </c>
      <c r="AV890" s="3" t="s">
        <v>11146</v>
      </c>
      <c r="AW890" s="3" t="s">
        <v>11147</v>
      </c>
      <c r="AX890" s="3" t="s">
        <v>11147</v>
      </c>
      <c r="AY890" s="3" t="s">
        <v>11148</v>
      </c>
      <c r="AZ890" s="3" t="s">
        <v>75</v>
      </c>
      <c r="BB890" s="3" t="s">
        <v>11149</v>
      </c>
      <c r="BC890" s="3" t="s">
        <v>11150</v>
      </c>
      <c r="BD890" s="3" t="s">
        <v>11151</v>
      </c>
    </row>
    <row r="891" spans="1:56" ht="48" customHeight="1" x14ac:dyDescent="0.25">
      <c r="A891" s="7" t="s">
        <v>59</v>
      </c>
      <c r="B891" s="2" t="s">
        <v>11152</v>
      </c>
      <c r="C891" s="2" t="s">
        <v>11153</v>
      </c>
      <c r="D891" s="2" t="s">
        <v>11154</v>
      </c>
      <c r="F891" s="3" t="s">
        <v>59</v>
      </c>
      <c r="G891" s="3" t="s">
        <v>60</v>
      </c>
      <c r="H891" s="3" t="s">
        <v>59</v>
      </c>
      <c r="I891" s="3" t="s">
        <v>59</v>
      </c>
      <c r="J891" s="3" t="s">
        <v>61</v>
      </c>
      <c r="K891" s="2" t="s">
        <v>11155</v>
      </c>
      <c r="L891" s="2" t="s">
        <v>11156</v>
      </c>
      <c r="M891" s="3" t="s">
        <v>443</v>
      </c>
      <c r="O891" s="3" t="s">
        <v>64</v>
      </c>
      <c r="P891" s="3" t="s">
        <v>84</v>
      </c>
      <c r="R891" s="3" t="s">
        <v>67</v>
      </c>
      <c r="S891" s="4">
        <v>4</v>
      </c>
      <c r="T891" s="4">
        <v>4</v>
      </c>
      <c r="U891" s="5" t="s">
        <v>11157</v>
      </c>
      <c r="V891" s="5" t="s">
        <v>11157</v>
      </c>
      <c r="W891" s="5" t="s">
        <v>1704</v>
      </c>
      <c r="X891" s="5" t="s">
        <v>1704</v>
      </c>
      <c r="Y891" s="4">
        <v>370</v>
      </c>
      <c r="Z891" s="4">
        <v>270</v>
      </c>
      <c r="AA891" s="4">
        <v>290</v>
      </c>
      <c r="AB891" s="4">
        <v>2</v>
      </c>
      <c r="AC891" s="4">
        <v>2</v>
      </c>
      <c r="AD891" s="4">
        <v>8</v>
      </c>
      <c r="AE891" s="4">
        <v>9</v>
      </c>
      <c r="AF891" s="4">
        <v>3</v>
      </c>
      <c r="AG891" s="4">
        <v>4</v>
      </c>
      <c r="AH891" s="4">
        <v>2</v>
      </c>
      <c r="AI891" s="4">
        <v>2</v>
      </c>
      <c r="AJ891" s="4">
        <v>3</v>
      </c>
      <c r="AK891" s="4">
        <v>4</v>
      </c>
      <c r="AL891" s="4">
        <v>1</v>
      </c>
      <c r="AM891" s="4">
        <v>1</v>
      </c>
      <c r="AN891" s="4">
        <v>0</v>
      </c>
      <c r="AO891" s="4">
        <v>0</v>
      </c>
      <c r="AP891" s="3" t="s">
        <v>59</v>
      </c>
      <c r="AQ891" s="3" t="s">
        <v>70</v>
      </c>
      <c r="AR891" s="6" t="str">
        <f>HYPERLINK("http://catalog.hathitrust.org/Record/001553487","HathiTrust Record")</f>
        <v>HathiTrust Record</v>
      </c>
      <c r="AS891" s="6" t="str">
        <f>HYPERLINK("https://creighton-primo.hosted.exlibrisgroup.com/primo-explore/search?tab=default_tab&amp;search_scope=EVERYTHING&amp;vid=01CRU&amp;lang=en_US&amp;offset=0&amp;query=any,contains,991003320989702656","Catalog Record")</f>
        <v>Catalog Record</v>
      </c>
      <c r="AT891" s="6" t="str">
        <f>HYPERLINK("http://www.worldcat.org/oclc/848797","WorldCat Record")</f>
        <v>WorldCat Record</v>
      </c>
      <c r="AU891" s="3" t="s">
        <v>11158</v>
      </c>
      <c r="AV891" s="3" t="s">
        <v>11159</v>
      </c>
      <c r="AW891" s="3" t="s">
        <v>11160</v>
      </c>
      <c r="AX891" s="3" t="s">
        <v>11160</v>
      </c>
      <c r="AY891" s="3" t="s">
        <v>11161</v>
      </c>
      <c r="AZ891" s="3" t="s">
        <v>75</v>
      </c>
      <c r="BB891" s="3" t="s">
        <v>11162</v>
      </c>
      <c r="BC891" s="3" t="s">
        <v>11163</v>
      </c>
      <c r="BD891" s="3" t="s">
        <v>11164</v>
      </c>
    </row>
    <row r="892" spans="1:56" ht="48" customHeight="1" x14ac:dyDescent="0.25">
      <c r="A892" s="7" t="s">
        <v>59</v>
      </c>
      <c r="B892" s="2" t="s">
        <v>11165</v>
      </c>
      <c r="C892" s="2" t="s">
        <v>11166</v>
      </c>
      <c r="D892" s="2" t="s">
        <v>11167</v>
      </c>
      <c r="F892" s="3" t="s">
        <v>59</v>
      </c>
      <c r="G892" s="3" t="s">
        <v>60</v>
      </c>
      <c r="H892" s="3" t="s">
        <v>70</v>
      </c>
      <c r="I892" s="3" t="s">
        <v>59</v>
      </c>
      <c r="J892" s="3" t="s">
        <v>61</v>
      </c>
      <c r="K892" s="2" t="s">
        <v>11168</v>
      </c>
      <c r="L892" s="2" t="s">
        <v>11169</v>
      </c>
      <c r="M892" s="3" t="s">
        <v>363</v>
      </c>
      <c r="O892" s="3" t="s">
        <v>64</v>
      </c>
      <c r="P892" s="3" t="s">
        <v>264</v>
      </c>
      <c r="R892" s="3" t="s">
        <v>67</v>
      </c>
      <c r="S892" s="4">
        <v>4</v>
      </c>
      <c r="T892" s="4">
        <v>24</v>
      </c>
      <c r="U892" s="5" t="s">
        <v>11143</v>
      </c>
      <c r="V892" s="5" t="s">
        <v>11143</v>
      </c>
      <c r="W892" s="5" t="s">
        <v>11144</v>
      </c>
      <c r="X892" s="5" t="s">
        <v>11144</v>
      </c>
      <c r="Y892" s="4">
        <v>833</v>
      </c>
      <c r="Z892" s="4">
        <v>664</v>
      </c>
      <c r="AA892" s="4">
        <v>672</v>
      </c>
      <c r="AB892" s="4">
        <v>5</v>
      </c>
      <c r="AC892" s="4">
        <v>5</v>
      </c>
      <c r="AD892" s="4">
        <v>27</v>
      </c>
      <c r="AE892" s="4">
        <v>27</v>
      </c>
      <c r="AF892" s="4">
        <v>10</v>
      </c>
      <c r="AG892" s="4">
        <v>10</v>
      </c>
      <c r="AH892" s="4">
        <v>3</v>
      </c>
      <c r="AI892" s="4">
        <v>3</v>
      </c>
      <c r="AJ892" s="4">
        <v>18</v>
      </c>
      <c r="AK892" s="4">
        <v>18</v>
      </c>
      <c r="AL892" s="4">
        <v>3</v>
      </c>
      <c r="AM892" s="4">
        <v>3</v>
      </c>
      <c r="AN892" s="4">
        <v>0</v>
      </c>
      <c r="AO892" s="4">
        <v>0</v>
      </c>
      <c r="AP892" s="3" t="s">
        <v>59</v>
      </c>
      <c r="AQ892" s="3" t="s">
        <v>70</v>
      </c>
      <c r="AR892" s="6" t="str">
        <f>HYPERLINK("http://catalog.hathitrust.org/Record/000191211","HathiTrust Record")</f>
        <v>HathiTrust Record</v>
      </c>
      <c r="AS892" s="6" t="str">
        <f>HYPERLINK("https://creighton-primo.hosted.exlibrisgroup.com/primo-explore/search?tab=default_tab&amp;search_scope=EVERYTHING&amp;vid=01CRU&amp;lang=en_US&amp;offset=0&amp;query=any,contains,991001771569702656","Catalog Record")</f>
        <v>Catalog Record</v>
      </c>
      <c r="AT892" s="6" t="str">
        <f>HYPERLINK("http://www.worldcat.org/oclc/7735341","WorldCat Record")</f>
        <v>WorldCat Record</v>
      </c>
      <c r="AU892" s="3" t="s">
        <v>11170</v>
      </c>
      <c r="AV892" s="3" t="s">
        <v>11171</v>
      </c>
      <c r="AW892" s="3" t="s">
        <v>11172</v>
      </c>
      <c r="AX892" s="3" t="s">
        <v>11172</v>
      </c>
      <c r="AY892" s="3" t="s">
        <v>11173</v>
      </c>
      <c r="AZ892" s="3" t="s">
        <v>75</v>
      </c>
      <c r="BB892" s="3" t="s">
        <v>11174</v>
      </c>
      <c r="BC892" s="3" t="s">
        <v>11175</v>
      </c>
      <c r="BD892" s="3" t="s">
        <v>11176</v>
      </c>
    </row>
    <row r="893" spans="1:56" ht="48" customHeight="1" x14ac:dyDescent="0.25">
      <c r="A893" s="7" t="s">
        <v>59</v>
      </c>
      <c r="B893" s="2" t="s">
        <v>11177</v>
      </c>
      <c r="C893" s="2" t="s">
        <v>11178</v>
      </c>
      <c r="D893" s="2" t="s">
        <v>11179</v>
      </c>
      <c r="F893" s="3" t="s">
        <v>59</v>
      </c>
      <c r="G893" s="3" t="s">
        <v>60</v>
      </c>
      <c r="H893" s="3" t="s">
        <v>59</v>
      </c>
      <c r="I893" s="3" t="s">
        <v>70</v>
      </c>
      <c r="J893" s="3" t="s">
        <v>61</v>
      </c>
      <c r="K893" s="2" t="s">
        <v>11180</v>
      </c>
      <c r="L893" s="2" t="s">
        <v>11181</v>
      </c>
      <c r="M893" s="3" t="s">
        <v>2680</v>
      </c>
      <c r="O893" s="3" t="s">
        <v>64</v>
      </c>
      <c r="P893" s="3" t="s">
        <v>191</v>
      </c>
      <c r="R893" s="3" t="s">
        <v>67</v>
      </c>
      <c r="S893" s="4">
        <v>2</v>
      </c>
      <c r="T893" s="4">
        <v>2</v>
      </c>
      <c r="U893" s="5" t="s">
        <v>11182</v>
      </c>
      <c r="V893" s="5" t="s">
        <v>11182</v>
      </c>
      <c r="W893" s="5" t="s">
        <v>11183</v>
      </c>
      <c r="X893" s="5" t="s">
        <v>11183</v>
      </c>
      <c r="Y893" s="4">
        <v>241</v>
      </c>
      <c r="Z893" s="4">
        <v>177</v>
      </c>
      <c r="AA893" s="4">
        <v>318</v>
      </c>
      <c r="AB893" s="4">
        <v>2</v>
      </c>
      <c r="AC893" s="4">
        <v>3</v>
      </c>
      <c r="AD893" s="4">
        <v>8</v>
      </c>
      <c r="AE893" s="4">
        <v>12</v>
      </c>
      <c r="AF893" s="4">
        <v>2</v>
      </c>
      <c r="AG893" s="4">
        <v>3</v>
      </c>
      <c r="AH893" s="4">
        <v>3</v>
      </c>
      <c r="AI893" s="4">
        <v>5</v>
      </c>
      <c r="AJ893" s="4">
        <v>5</v>
      </c>
      <c r="AK893" s="4">
        <v>8</v>
      </c>
      <c r="AL893" s="4">
        <v>1</v>
      </c>
      <c r="AM893" s="4">
        <v>1</v>
      </c>
      <c r="AN893" s="4">
        <v>0</v>
      </c>
      <c r="AO893" s="4">
        <v>0</v>
      </c>
      <c r="AP893" s="3" t="s">
        <v>59</v>
      </c>
      <c r="AQ893" s="3" t="s">
        <v>59</v>
      </c>
      <c r="AS893" s="6" t="str">
        <f>HYPERLINK("https://creighton-primo.hosted.exlibrisgroup.com/primo-explore/search?tab=default_tab&amp;search_scope=EVERYTHING&amp;vid=01CRU&amp;lang=en_US&amp;offset=0&amp;query=any,contains,991003277119702656","Catalog Record")</f>
        <v>Catalog Record</v>
      </c>
      <c r="AT893" s="6" t="str">
        <f>HYPERLINK("http://www.worldcat.org/oclc/42683383","WorldCat Record")</f>
        <v>WorldCat Record</v>
      </c>
      <c r="AU893" s="3" t="s">
        <v>11184</v>
      </c>
      <c r="AV893" s="3" t="s">
        <v>11185</v>
      </c>
      <c r="AW893" s="3" t="s">
        <v>11186</v>
      </c>
      <c r="AX893" s="3" t="s">
        <v>11186</v>
      </c>
      <c r="AY893" s="3" t="s">
        <v>11187</v>
      </c>
      <c r="AZ893" s="3" t="s">
        <v>75</v>
      </c>
      <c r="BB893" s="3" t="s">
        <v>11188</v>
      </c>
      <c r="BC893" s="3" t="s">
        <v>11189</v>
      </c>
      <c r="BD893" s="3" t="s">
        <v>11190</v>
      </c>
    </row>
    <row r="894" spans="1:56" ht="48" customHeight="1" x14ac:dyDescent="0.25">
      <c r="A894" s="7" t="s">
        <v>59</v>
      </c>
      <c r="B894" s="2" t="s">
        <v>11191</v>
      </c>
      <c r="C894" s="2" t="s">
        <v>11192</v>
      </c>
      <c r="D894" s="2" t="s">
        <v>11193</v>
      </c>
      <c r="F894" s="3" t="s">
        <v>59</v>
      </c>
      <c r="G894" s="3" t="s">
        <v>60</v>
      </c>
      <c r="H894" s="3" t="s">
        <v>59</v>
      </c>
      <c r="I894" s="3" t="s">
        <v>59</v>
      </c>
      <c r="J894" s="3" t="s">
        <v>61</v>
      </c>
      <c r="K894" s="2" t="s">
        <v>11194</v>
      </c>
      <c r="L894" s="2" t="s">
        <v>11195</v>
      </c>
      <c r="M894" s="3" t="s">
        <v>485</v>
      </c>
      <c r="O894" s="3" t="s">
        <v>64</v>
      </c>
      <c r="P894" s="3" t="s">
        <v>130</v>
      </c>
      <c r="Q894" s="2" t="s">
        <v>11196</v>
      </c>
      <c r="R894" s="3" t="s">
        <v>67</v>
      </c>
      <c r="S894" s="4">
        <v>3</v>
      </c>
      <c r="T894" s="4">
        <v>3</v>
      </c>
      <c r="U894" s="5" t="s">
        <v>11157</v>
      </c>
      <c r="V894" s="5" t="s">
        <v>11157</v>
      </c>
      <c r="W894" s="5" t="s">
        <v>1903</v>
      </c>
      <c r="X894" s="5" t="s">
        <v>1903</v>
      </c>
      <c r="Y894" s="4">
        <v>373</v>
      </c>
      <c r="Z894" s="4">
        <v>272</v>
      </c>
      <c r="AA894" s="4">
        <v>286</v>
      </c>
      <c r="AB894" s="4">
        <v>2</v>
      </c>
      <c r="AC894" s="4">
        <v>2</v>
      </c>
      <c r="AD894" s="4">
        <v>10</v>
      </c>
      <c r="AE894" s="4">
        <v>11</v>
      </c>
      <c r="AF894" s="4">
        <v>2</v>
      </c>
      <c r="AG894" s="4">
        <v>3</v>
      </c>
      <c r="AH894" s="4">
        <v>2</v>
      </c>
      <c r="AI894" s="4">
        <v>2</v>
      </c>
      <c r="AJ894" s="4">
        <v>8</v>
      </c>
      <c r="AK894" s="4">
        <v>9</v>
      </c>
      <c r="AL894" s="4">
        <v>1</v>
      </c>
      <c r="AM894" s="4">
        <v>1</v>
      </c>
      <c r="AN894" s="4">
        <v>0</v>
      </c>
      <c r="AO894" s="4">
        <v>0</v>
      </c>
      <c r="AP894" s="3" t="s">
        <v>59</v>
      </c>
      <c r="AQ894" s="3" t="s">
        <v>70</v>
      </c>
      <c r="AR894" s="6" t="str">
        <f>HYPERLINK("http://catalog.hathitrust.org/Record/000256800","HathiTrust Record")</f>
        <v>HathiTrust Record</v>
      </c>
      <c r="AS894" s="6" t="str">
        <f>HYPERLINK("https://creighton-primo.hosted.exlibrisgroup.com/primo-explore/search?tab=default_tab&amp;search_scope=EVERYTHING&amp;vid=01CRU&amp;lang=en_US&amp;offset=0&amp;query=any,contains,991005257559702656","Catalog Record")</f>
        <v>Catalog Record</v>
      </c>
      <c r="AT894" s="6" t="str">
        <f>HYPERLINK("http://www.worldcat.org/oclc/4498107","WorldCat Record")</f>
        <v>WorldCat Record</v>
      </c>
      <c r="AU894" s="3" t="s">
        <v>11197</v>
      </c>
      <c r="AV894" s="3" t="s">
        <v>11198</v>
      </c>
      <c r="AW894" s="3" t="s">
        <v>11199</v>
      </c>
      <c r="AX894" s="3" t="s">
        <v>11199</v>
      </c>
      <c r="AY894" s="3" t="s">
        <v>11200</v>
      </c>
      <c r="AZ894" s="3" t="s">
        <v>75</v>
      </c>
      <c r="BC894" s="3" t="s">
        <v>11201</v>
      </c>
      <c r="BD894" s="3" t="s">
        <v>11202</v>
      </c>
    </row>
    <row r="895" spans="1:56" ht="48" customHeight="1" x14ac:dyDescent="0.25">
      <c r="A895" s="7" t="s">
        <v>59</v>
      </c>
      <c r="B895" s="2" t="s">
        <v>11203</v>
      </c>
      <c r="C895" s="2" t="s">
        <v>11204</v>
      </c>
      <c r="D895" s="2" t="s">
        <v>11205</v>
      </c>
      <c r="F895" s="3" t="s">
        <v>59</v>
      </c>
      <c r="G895" s="3" t="s">
        <v>60</v>
      </c>
      <c r="H895" s="3" t="s">
        <v>59</v>
      </c>
      <c r="I895" s="3" t="s">
        <v>59</v>
      </c>
      <c r="J895" s="3" t="s">
        <v>61</v>
      </c>
      <c r="K895" s="2" t="s">
        <v>11206</v>
      </c>
      <c r="L895" s="2" t="s">
        <v>11207</v>
      </c>
      <c r="M895" s="3" t="s">
        <v>3113</v>
      </c>
      <c r="O895" s="3" t="s">
        <v>64</v>
      </c>
      <c r="P895" s="3" t="s">
        <v>130</v>
      </c>
      <c r="R895" s="3" t="s">
        <v>67</v>
      </c>
      <c r="S895" s="4">
        <v>4</v>
      </c>
      <c r="T895" s="4">
        <v>4</v>
      </c>
      <c r="U895" s="5" t="s">
        <v>11208</v>
      </c>
      <c r="V895" s="5" t="s">
        <v>11208</v>
      </c>
      <c r="W895" s="5" t="s">
        <v>11209</v>
      </c>
      <c r="X895" s="5" t="s">
        <v>11209</v>
      </c>
      <c r="Y895" s="4">
        <v>676</v>
      </c>
      <c r="Z895" s="4">
        <v>624</v>
      </c>
      <c r="AA895" s="4">
        <v>629</v>
      </c>
      <c r="AB895" s="4">
        <v>7</v>
      </c>
      <c r="AC895" s="4">
        <v>7</v>
      </c>
      <c r="AD895" s="4">
        <v>26</v>
      </c>
      <c r="AE895" s="4">
        <v>26</v>
      </c>
      <c r="AF895" s="4">
        <v>13</v>
      </c>
      <c r="AG895" s="4">
        <v>13</v>
      </c>
      <c r="AH895" s="4">
        <v>4</v>
      </c>
      <c r="AI895" s="4">
        <v>4</v>
      </c>
      <c r="AJ895" s="4">
        <v>11</v>
      </c>
      <c r="AK895" s="4">
        <v>11</v>
      </c>
      <c r="AL895" s="4">
        <v>5</v>
      </c>
      <c r="AM895" s="4">
        <v>5</v>
      </c>
      <c r="AN895" s="4">
        <v>0</v>
      </c>
      <c r="AO895" s="4">
        <v>0</v>
      </c>
      <c r="AP895" s="3" t="s">
        <v>59</v>
      </c>
      <c r="AQ895" s="3" t="s">
        <v>59</v>
      </c>
      <c r="AS895" s="6" t="str">
        <f>HYPERLINK("https://creighton-primo.hosted.exlibrisgroup.com/primo-explore/search?tab=default_tab&amp;search_scope=EVERYTHING&amp;vid=01CRU&amp;lang=en_US&amp;offset=0&amp;query=any,contains,991003934729702656","Catalog Record")</f>
        <v>Catalog Record</v>
      </c>
      <c r="AT895" s="6" t="str">
        <f>HYPERLINK("http://www.worldcat.org/oclc/47844385","WorldCat Record")</f>
        <v>WorldCat Record</v>
      </c>
      <c r="AU895" s="3" t="s">
        <v>11210</v>
      </c>
      <c r="AV895" s="3" t="s">
        <v>11211</v>
      </c>
      <c r="AW895" s="3" t="s">
        <v>11212</v>
      </c>
      <c r="AX895" s="3" t="s">
        <v>11212</v>
      </c>
      <c r="AY895" s="3" t="s">
        <v>11213</v>
      </c>
      <c r="AZ895" s="3" t="s">
        <v>75</v>
      </c>
      <c r="BB895" s="3" t="s">
        <v>11214</v>
      </c>
      <c r="BC895" s="3" t="s">
        <v>11215</v>
      </c>
      <c r="BD895" s="3" t="s">
        <v>11216</v>
      </c>
    </row>
    <row r="896" spans="1:56" ht="48" customHeight="1" x14ac:dyDescent="0.25">
      <c r="A896" s="7" t="s">
        <v>59</v>
      </c>
      <c r="B896" s="2" t="s">
        <v>11217</v>
      </c>
      <c r="C896" s="2" t="s">
        <v>11218</v>
      </c>
      <c r="D896" s="2" t="s">
        <v>11219</v>
      </c>
      <c r="F896" s="3" t="s">
        <v>59</v>
      </c>
      <c r="G896" s="3" t="s">
        <v>60</v>
      </c>
      <c r="H896" s="3" t="s">
        <v>59</v>
      </c>
      <c r="I896" s="3" t="s">
        <v>59</v>
      </c>
      <c r="J896" s="3" t="s">
        <v>61</v>
      </c>
      <c r="K896" s="2" t="s">
        <v>11220</v>
      </c>
      <c r="L896" s="2" t="s">
        <v>11221</v>
      </c>
      <c r="M896" s="3" t="s">
        <v>219</v>
      </c>
      <c r="O896" s="3" t="s">
        <v>64</v>
      </c>
      <c r="P896" s="3" t="s">
        <v>674</v>
      </c>
      <c r="Q896" s="2" t="s">
        <v>11222</v>
      </c>
      <c r="R896" s="3" t="s">
        <v>67</v>
      </c>
      <c r="S896" s="4">
        <v>5</v>
      </c>
      <c r="T896" s="4">
        <v>5</v>
      </c>
      <c r="U896" s="5" t="s">
        <v>11223</v>
      </c>
      <c r="V896" s="5" t="s">
        <v>11223</v>
      </c>
      <c r="W896" s="5" t="s">
        <v>3911</v>
      </c>
      <c r="X896" s="5" t="s">
        <v>3911</v>
      </c>
      <c r="Y896" s="4">
        <v>509</v>
      </c>
      <c r="Z896" s="4">
        <v>417</v>
      </c>
      <c r="AA896" s="4">
        <v>441</v>
      </c>
      <c r="AB896" s="4">
        <v>4</v>
      </c>
      <c r="AC896" s="4">
        <v>4</v>
      </c>
      <c r="AD896" s="4">
        <v>18</v>
      </c>
      <c r="AE896" s="4">
        <v>19</v>
      </c>
      <c r="AF896" s="4">
        <v>4</v>
      </c>
      <c r="AG896" s="4">
        <v>5</v>
      </c>
      <c r="AH896" s="4">
        <v>5</v>
      </c>
      <c r="AI896" s="4">
        <v>5</v>
      </c>
      <c r="AJ896" s="4">
        <v>11</v>
      </c>
      <c r="AK896" s="4">
        <v>11</v>
      </c>
      <c r="AL896" s="4">
        <v>3</v>
      </c>
      <c r="AM896" s="4">
        <v>3</v>
      </c>
      <c r="AN896" s="4">
        <v>0</v>
      </c>
      <c r="AO896" s="4">
        <v>0</v>
      </c>
      <c r="AP896" s="3" t="s">
        <v>59</v>
      </c>
      <c r="AQ896" s="3" t="s">
        <v>59</v>
      </c>
      <c r="AS896" s="6" t="str">
        <f>HYPERLINK("https://creighton-primo.hosted.exlibrisgroup.com/primo-explore/search?tab=default_tab&amp;search_scope=EVERYTHING&amp;vid=01CRU&amp;lang=en_US&amp;offset=0&amp;query=any,contains,991001752519702656","Catalog Record")</f>
        <v>Catalog Record</v>
      </c>
      <c r="AT896" s="6" t="str">
        <f>HYPERLINK("http://www.worldcat.org/oclc/22184003","WorldCat Record")</f>
        <v>WorldCat Record</v>
      </c>
      <c r="AU896" s="3" t="s">
        <v>11224</v>
      </c>
      <c r="AV896" s="3" t="s">
        <v>11225</v>
      </c>
      <c r="AW896" s="3" t="s">
        <v>11226</v>
      </c>
      <c r="AX896" s="3" t="s">
        <v>11226</v>
      </c>
      <c r="AY896" s="3" t="s">
        <v>11227</v>
      </c>
      <c r="AZ896" s="3" t="s">
        <v>75</v>
      </c>
      <c r="BB896" s="3" t="s">
        <v>11228</v>
      </c>
      <c r="BC896" s="3" t="s">
        <v>11229</v>
      </c>
      <c r="BD896" s="3" t="s">
        <v>11230</v>
      </c>
    </row>
    <row r="897" spans="1:56" ht="48" customHeight="1" x14ac:dyDescent="0.25">
      <c r="A897" s="7" t="s">
        <v>59</v>
      </c>
      <c r="B897" s="2" t="s">
        <v>11231</v>
      </c>
      <c r="C897" s="2" t="s">
        <v>11232</v>
      </c>
      <c r="D897" s="2" t="s">
        <v>11233</v>
      </c>
      <c r="F897" s="3" t="s">
        <v>59</v>
      </c>
      <c r="G897" s="3" t="s">
        <v>60</v>
      </c>
      <c r="H897" s="3" t="s">
        <v>70</v>
      </c>
      <c r="I897" s="3" t="s">
        <v>59</v>
      </c>
      <c r="J897" s="3" t="s">
        <v>61</v>
      </c>
      <c r="K897" s="2" t="s">
        <v>11048</v>
      </c>
      <c r="L897" s="2" t="s">
        <v>11234</v>
      </c>
      <c r="M897" s="3" t="s">
        <v>1817</v>
      </c>
      <c r="O897" s="3" t="s">
        <v>64</v>
      </c>
      <c r="P897" s="3" t="s">
        <v>264</v>
      </c>
      <c r="R897" s="3" t="s">
        <v>67</v>
      </c>
      <c r="S897" s="4">
        <v>3</v>
      </c>
      <c r="T897" s="4">
        <v>3</v>
      </c>
      <c r="U897" s="5" t="s">
        <v>1600</v>
      </c>
      <c r="V897" s="5" t="s">
        <v>1600</v>
      </c>
      <c r="W897" s="5" t="s">
        <v>6043</v>
      </c>
      <c r="X897" s="5" t="s">
        <v>11235</v>
      </c>
      <c r="Y897" s="4">
        <v>983</v>
      </c>
      <c r="Z897" s="4">
        <v>931</v>
      </c>
      <c r="AA897" s="4">
        <v>1441</v>
      </c>
      <c r="AB897" s="4">
        <v>6</v>
      </c>
      <c r="AC897" s="4">
        <v>31</v>
      </c>
      <c r="AD897" s="4">
        <v>25</v>
      </c>
      <c r="AE897" s="4">
        <v>36</v>
      </c>
      <c r="AF897" s="4">
        <v>12</v>
      </c>
      <c r="AG897" s="4">
        <v>15</v>
      </c>
      <c r="AH897" s="4">
        <v>4</v>
      </c>
      <c r="AI897" s="4">
        <v>4</v>
      </c>
      <c r="AJ897" s="4">
        <v>12</v>
      </c>
      <c r="AK897" s="4">
        <v>13</v>
      </c>
      <c r="AL897" s="4">
        <v>3</v>
      </c>
      <c r="AM897" s="4">
        <v>10</v>
      </c>
      <c r="AN897" s="4">
        <v>0</v>
      </c>
      <c r="AO897" s="4">
        <v>0</v>
      </c>
      <c r="AP897" s="3" t="s">
        <v>59</v>
      </c>
      <c r="AQ897" s="3" t="s">
        <v>59</v>
      </c>
      <c r="AS897" s="6" t="str">
        <f>HYPERLINK("https://creighton-primo.hosted.exlibrisgroup.com/primo-explore/search?tab=default_tab&amp;search_scope=EVERYTHING&amp;vid=01CRU&amp;lang=en_US&amp;offset=0&amp;query=any,contains,991001723179702656","Catalog Record")</f>
        <v>Catalog Record</v>
      </c>
      <c r="AT897" s="6" t="str">
        <f>HYPERLINK("http://www.worldcat.org/oclc/51171732","WorldCat Record")</f>
        <v>WorldCat Record</v>
      </c>
      <c r="AU897" s="3" t="s">
        <v>11236</v>
      </c>
      <c r="AV897" s="3" t="s">
        <v>11237</v>
      </c>
      <c r="AW897" s="3" t="s">
        <v>11238</v>
      </c>
      <c r="AX897" s="3" t="s">
        <v>11238</v>
      </c>
      <c r="AY897" s="3" t="s">
        <v>11239</v>
      </c>
      <c r="AZ897" s="3" t="s">
        <v>75</v>
      </c>
      <c r="BB897" s="3" t="s">
        <v>11240</v>
      </c>
      <c r="BC897" s="3" t="s">
        <v>11241</v>
      </c>
      <c r="BD897" s="3" t="s">
        <v>11242</v>
      </c>
    </row>
    <row r="898" spans="1:56" ht="48" customHeight="1" x14ac:dyDescent="0.25">
      <c r="A898" s="7" t="s">
        <v>59</v>
      </c>
      <c r="B898" s="2" t="s">
        <v>11243</v>
      </c>
      <c r="C898" s="2" t="s">
        <v>11244</v>
      </c>
      <c r="D898" s="2" t="s">
        <v>11245</v>
      </c>
      <c r="F898" s="3" t="s">
        <v>59</v>
      </c>
      <c r="G898" s="3" t="s">
        <v>60</v>
      </c>
      <c r="H898" s="3" t="s">
        <v>59</v>
      </c>
      <c r="I898" s="3" t="s">
        <v>59</v>
      </c>
      <c r="J898" s="3" t="s">
        <v>61</v>
      </c>
      <c r="K898" s="2" t="s">
        <v>11246</v>
      </c>
      <c r="L898" s="2" t="s">
        <v>11247</v>
      </c>
      <c r="M898" s="3" t="s">
        <v>348</v>
      </c>
      <c r="O898" s="3" t="s">
        <v>64</v>
      </c>
      <c r="P898" s="3" t="s">
        <v>130</v>
      </c>
      <c r="R898" s="3" t="s">
        <v>67</v>
      </c>
      <c r="S898" s="4">
        <v>2</v>
      </c>
      <c r="T898" s="4">
        <v>2</v>
      </c>
      <c r="U898" s="5" t="s">
        <v>11248</v>
      </c>
      <c r="V898" s="5" t="s">
        <v>11248</v>
      </c>
      <c r="W898" s="5" t="s">
        <v>9818</v>
      </c>
      <c r="X898" s="5" t="s">
        <v>9818</v>
      </c>
      <c r="Y898" s="4">
        <v>339</v>
      </c>
      <c r="Z898" s="4">
        <v>256</v>
      </c>
      <c r="AA898" s="4">
        <v>263</v>
      </c>
      <c r="AB898" s="4">
        <v>3</v>
      </c>
      <c r="AC898" s="4">
        <v>3</v>
      </c>
      <c r="AD898" s="4">
        <v>12</v>
      </c>
      <c r="AE898" s="4">
        <v>12</v>
      </c>
      <c r="AF898" s="4">
        <v>2</v>
      </c>
      <c r="AG898" s="4">
        <v>2</v>
      </c>
      <c r="AH898" s="4">
        <v>5</v>
      </c>
      <c r="AI898" s="4">
        <v>5</v>
      </c>
      <c r="AJ898" s="4">
        <v>6</v>
      </c>
      <c r="AK898" s="4">
        <v>6</v>
      </c>
      <c r="AL898" s="4">
        <v>2</v>
      </c>
      <c r="AM898" s="4">
        <v>2</v>
      </c>
      <c r="AN898" s="4">
        <v>0</v>
      </c>
      <c r="AO898" s="4">
        <v>0</v>
      </c>
      <c r="AP898" s="3" t="s">
        <v>59</v>
      </c>
      <c r="AQ898" s="3" t="s">
        <v>70</v>
      </c>
      <c r="AR898" s="6" t="str">
        <f>HYPERLINK("http://catalog.hathitrust.org/Record/002714407","HathiTrust Record")</f>
        <v>HathiTrust Record</v>
      </c>
      <c r="AS898" s="6" t="str">
        <f>HYPERLINK("https://creighton-primo.hosted.exlibrisgroup.com/primo-explore/search?tab=default_tab&amp;search_scope=EVERYTHING&amp;vid=01CRU&amp;lang=en_US&amp;offset=0&amp;query=any,contains,991002110189702656","Catalog Record")</f>
        <v>Catalog Record</v>
      </c>
      <c r="AT898" s="6" t="str">
        <f>HYPERLINK("http://www.worldcat.org/oclc/27036070","WorldCat Record")</f>
        <v>WorldCat Record</v>
      </c>
      <c r="AU898" s="3" t="s">
        <v>11249</v>
      </c>
      <c r="AV898" s="3" t="s">
        <v>11250</v>
      </c>
      <c r="AW898" s="3" t="s">
        <v>11251</v>
      </c>
      <c r="AX898" s="3" t="s">
        <v>11251</v>
      </c>
      <c r="AY898" s="3" t="s">
        <v>11252</v>
      </c>
      <c r="AZ898" s="3" t="s">
        <v>75</v>
      </c>
      <c r="BB898" s="3" t="s">
        <v>11253</v>
      </c>
      <c r="BC898" s="3" t="s">
        <v>11254</v>
      </c>
      <c r="BD898" s="3" t="s">
        <v>11255</v>
      </c>
    </row>
    <row r="899" spans="1:56" ht="48" customHeight="1" x14ac:dyDescent="0.25">
      <c r="A899" s="7" t="s">
        <v>59</v>
      </c>
      <c r="B899" s="2" t="s">
        <v>11256</v>
      </c>
      <c r="C899" s="2" t="s">
        <v>11257</v>
      </c>
      <c r="D899" s="2" t="s">
        <v>11258</v>
      </c>
      <c r="F899" s="3" t="s">
        <v>59</v>
      </c>
      <c r="G899" s="3" t="s">
        <v>60</v>
      </c>
      <c r="H899" s="3" t="s">
        <v>59</v>
      </c>
      <c r="I899" s="3" t="s">
        <v>59</v>
      </c>
      <c r="J899" s="3" t="s">
        <v>61</v>
      </c>
      <c r="L899" s="2" t="s">
        <v>11259</v>
      </c>
      <c r="M899" s="3" t="s">
        <v>63</v>
      </c>
      <c r="O899" s="3" t="s">
        <v>64</v>
      </c>
      <c r="P899" s="3" t="s">
        <v>115</v>
      </c>
      <c r="Q899" s="2" t="s">
        <v>11260</v>
      </c>
      <c r="R899" s="3" t="s">
        <v>67</v>
      </c>
      <c r="S899" s="4">
        <v>3</v>
      </c>
      <c r="T899" s="4">
        <v>3</v>
      </c>
      <c r="U899" s="5" t="s">
        <v>11261</v>
      </c>
      <c r="V899" s="5" t="s">
        <v>11261</v>
      </c>
      <c r="W899" s="5" t="s">
        <v>11262</v>
      </c>
      <c r="X899" s="5" t="s">
        <v>11262</v>
      </c>
      <c r="Y899" s="4">
        <v>374</v>
      </c>
      <c r="Z899" s="4">
        <v>325</v>
      </c>
      <c r="AA899" s="4">
        <v>332</v>
      </c>
      <c r="AB899" s="4">
        <v>3</v>
      </c>
      <c r="AC899" s="4">
        <v>3</v>
      </c>
      <c r="AD899" s="4">
        <v>10</v>
      </c>
      <c r="AE899" s="4">
        <v>10</v>
      </c>
      <c r="AF899" s="4">
        <v>1</v>
      </c>
      <c r="AG899" s="4">
        <v>1</v>
      </c>
      <c r="AH899" s="4">
        <v>3</v>
      </c>
      <c r="AI899" s="4">
        <v>3</v>
      </c>
      <c r="AJ899" s="4">
        <v>5</v>
      </c>
      <c r="AK899" s="4">
        <v>5</v>
      </c>
      <c r="AL899" s="4">
        <v>2</v>
      </c>
      <c r="AM899" s="4">
        <v>2</v>
      </c>
      <c r="AN899" s="4">
        <v>0</v>
      </c>
      <c r="AO899" s="4">
        <v>0</v>
      </c>
      <c r="AP899" s="3" t="s">
        <v>59</v>
      </c>
      <c r="AQ899" s="3" t="s">
        <v>70</v>
      </c>
      <c r="AR899" s="6" t="str">
        <f>HYPERLINK("http://catalog.hathitrust.org/Record/000726612","HathiTrust Record")</f>
        <v>HathiTrust Record</v>
      </c>
      <c r="AS899" s="6" t="str">
        <f>HYPERLINK("https://creighton-primo.hosted.exlibrisgroup.com/primo-explore/search?tab=default_tab&amp;search_scope=EVERYTHING&amp;vid=01CRU&amp;lang=en_US&amp;offset=0&amp;query=any,contains,991004269619702656","Catalog Record")</f>
        <v>Catalog Record</v>
      </c>
      <c r="AT899" s="6" t="str">
        <f>HYPERLINK("http://www.worldcat.org/oclc/2874801","WorldCat Record")</f>
        <v>WorldCat Record</v>
      </c>
      <c r="AU899" s="3" t="s">
        <v>11263</v>
      </c>
      <c r="AV899" s="3" t="s">
        <v>11264</v>
      </c>
      <c r="AW899" s="3" t="s">
        <v>11265</v>
      </c>
      <c r="AX899" s="3" t="s">
        <v>11265</v>
      </c>
      <c r="AY899" s="3" t="s">
        <v>11266</v>
      </c>
      <c r="AZ899" s="3" t="s">
        <v>75</v>
      </c>
      <c r="BB899" s="3" t="s">
        <v>11267</v>
      </c>
      <c r="BC899" s="3" t="s">
        <v>11268</v>
      </c>
      <c r="BD899" s="3" t="s">
        <v>11269</v>
      </c>
    </row>
    <row r="900" spans="1:56" ht="48" customHeight="1" x14ac:dyDescent="0.25">
      <c r="A900" s="7" t="s">
        <v>59</v>
      </c>
      <c r="B900" s="2" t="s">
        <v>11270</v>
      </c>
      <c r="C900" s="2" t="s">
        <v>11271</v>
      </c>
      <c r="D900" s="2" t="s">
        <v>11272</v>
      </c>
      <c r="F900" s="3" t="s">
        <v>59</v>
      </c>
      <c r="G900" s="3" t="s">
        <v>60</v>
      </c>
      <c r="H900" s="3" t="s">
        <v>59</v>
      </c>
      <c r="I900" s="3" t="s">
        <v>59</v>
      </c>
      <c r="J900" s="3" t="s">
        <v>61</v>
      </c>
      <c r="L900" s="2" t="s">
        <v>1738</v>
      </c>
      <c r="M900" s="3" t="s">
        <v>145</v>
      </c>
      <c r="O900" s="3" t="s">
        <v>64</v>
      </c>
      <c r="P900" s="3" t="s">
        <v>130</v>
      </c>
      <c r="Q900" s="2" t="s">
        <v>11273</v>
      </c>
      <c r="R900" s="3" t="s">
        <v>67</v>
      </c>
      <c r="S900" s="4">
        <v>1</v>
      </c>
      <c r="T900" s="4">
        <v>1</v>
      </c>
      <c r="U900" s="5" t="s">
        <v>11143</v>
      </c>
      <c r="V900" s="5" t="s">
        <v>11143</v>
      </c>
      <c r="W900" s="5" t="s">
        <v>11274</v>
      </c>
      <c r="X900" s="5" t="s">
        <v>11274</v>
      </c>
      <c r="Y900" s="4">
        <v>319</v>
      </c>
      <c r="Z900" s="4">
        <v>250</v>
      </c>
      <c r="AA900" s="4">
        <v>270</v>
      </c>
      <c r="AB900" s="4">
        <v>2</v>
      </c>
      <c r="AC900" s="4">
        <v>2</v>
      </c>
      <c r="AD900" s="4">
        <v>7</v>
      </c>
      <c r="AE900" s="4">
        <v>8</v>
      </c>
      <c r="AF900" s="4">
        <v>2</v>
      </c>
      <c r="AG900" s="4">
        <v>3</v>
      </c>
      <c r="AH900" s="4">
        <v>4</v>
      </c>
      <c r="AI900" s="4">
        <v>4</v>
      </c>
      <c r="AJ900" s="4">
        <v>3</v>
      </c>
      <c r="AK900" s="4">
        <v>4</v>
      </c>
      <c r="AL900" s="4">
        <v>1</v>
      </c>
      <c r="AM900" s="4">
        <v>1</v>
      </c>
      <c r="AN900" s="4">
        <v>0</v>
      </c>
      <c r="AO900" s="4">
        <v>0</v>
      </c>
      <c r="AP900" s="3" t="s">
        <v>59</v>
      </c>
      <c r="AQ900" s="3" t="s">
        <v>70</v>
      </c>
      <c r="AR900" s="6" t="str">
        <f>HYPERLINK("http://catalog.hathitrust.org/Record/000176785","HathiTrust Record")</f>
        <v>HathiTrust Record</v>
      </c>
      <c r="AS900" s="6" t="str">
        <f>HYPERLINK("https://creighton-primo.hosted.exlibrisgroup.com/primo-explore/search?tab=default_tab&amp;search_scope=EVERYTHING&amp;vid=01CRU&amp;lang=en_US&amp;offset=0&amp;query=any,contains,991005371969702656","Catalog Record")</f>
        <v>Catalog Record</v>
      </c>
      <c r="AT900" s="6" t="str">
        <f>HYPERLINK("http://www.worldcat.org/oclc/4004808","WorldCat Record")</f>
        <v>WorldCat Record</v>
      </c>
      <c r="AU900" s="3" t="s">
        <v>11275</v>
      </c>
      <c r="AV900" s="3" t="s">
        <v>11276</v>
      </c>
      <c r="AW900" s="3" t="s">
        <v>11277</v>
      </c>
      <c r="AX900" s="3" t="s">
        <v>11277</v>
      </c>
      <c r="AY900" s="3" t="s">
        <v>11278</v>
      </c>
      <c r="AZ900" s="3" t="s">
        <v>75</v>
      </c>
      <c r="BB900" s="3" t="s">
        <v>11279</v>
      </c>
      <c r="BC900" s="3" t="s">
        <v>11280</v>
      </c>
      <c r="BD900" s="3" t="s">
        <v>11281</v>
      </c>
    </row>
    <row r="901" spans="1:56" ht="48" customHeight="1" x14ac:dyDescent="0.25">
      <c r="A901" s="7" t="s">
        <v>59</v>
      </c>
      <c r="B901" s="2" t="s">
        <v>11282</v>
      </c>
      <c r="C901" s="2" t="s">
        <v>11283</v>
      </c>
      <c r="D901" s="2" t="s">
        <v>11284</v>
      </c>
      <c r="F901" s="3" t="s">
        <v>59</v>
      </c>
      <c r="G901" s="3" t="s">
        <v>60</v>
      </c>
      <c r="H901" s="3" t="s">
        <v>59</v>
      </c>
      <c r="I901" s="3" t="s">
        <v>59</v>
      </c>
      <c r="J901" s="3" t="s">
        <v>61</v>
      </c>
      <c r="L901" s="2" t="s">
        <v>11285</v>
      </c>
      <c r="M901" s="3" t="s">
        <v>333</v>
      </c>
      <c r="O901" s="3" t="s">
        <v>64</v>
      </c>
      <c r="P901" s="3" t="s">
        <v>84</v>
      </c>
      <c r="Q901" s="2" t="s">
        <v>10816</v>
      </c>
      <c r="R901" s="3" t="s">
        <v>67</v>
      </c>
      <c r="S901" s="4">
        <v>3</v>
      </c>
      <c r="T901" s="4">
        <v>3</v>
      </c>
      <c r="U901" s="5" t="s">
        <v>11286</v>
      </c>
      <c r="V901" s="5" t="s">
        <v>11286</v>
      </c>
      <c r="W901" s="5" t="s">
        <v>11287</v>
      </c>
      <c r="X901" s="5" t="s">
        <v>11287</v>
      </c>
      <c r="Y901" s="4">
        <v>551</v>
      </c>
      <c r="Z901" s="4">
        <v>415</v>
      </c>
      <c r="AA901" s="4">
        <v>418</v>
      </c>
      <c r="AB901" s="4">
        <v>6</v>
      </c>
      <c r="AC901" s="4">
        <v>6</v>
      </c>
      <c r="AD901" s="4">
        <v>19</v>
      </c>
      <c r="AE901" s="4">
        <v>19</v>
      </c>
      <c r="AF901" s="4">
        <v>6</v>
      </c>
      <c r="AG901" s="4">
        <v>6</v>
      </c>
      <c r="AH901" s="4">
        <v>5</v>
      </c>
      <c r="AI901" s="4">
        <v>5</v>
      </c>
      <c r="AJ901" s="4">
        <v>10</v>
      </c>
      <c r="AK901" s="4">
        <v>10</v>
      </c>
      <c r="AL901" s="4">
        <v>5</v>
      </c>
      <c r="AM901" s="4">
        <v>5</v>
      </c>
      <c r="AN901" s="4">
        <v>0</v>
      </c>
      <c r="AO901" s="4">
        <v>0</v>
      </c>
      <c r="AP901" s="3" t="s">
        <v>59</v>
      </c>
      <c r="AQ901" s="3" t="s">
        <v>70</v>
      </c>
      <c r="AR901" s="6" t="str">
        <f>HYPERLINK("http://catalog.hathitrust.org/Record/000424964","HathiTrust Record")</f>
        <v>HathiTrust Record</v>
      </c>
      <c r="AS901" s="6" t="str">
        <f>HYPERLINK("https://creighton-primo.hosted.exlibrisgroup.com/primo-explore/search?tab=default_tab&amp;search_scope=EVERYTHING&amp;vid=01CRU&amp;lang=en_US&amp;offset=0&amp;query=any,contains,991000574769702656","Catalog Record")</f>
        <v>Catalog Record</v>
      </c>
      <c r="AT901" s="6" t="str">
        <f>HYPERLINK("http://www.worldcat.org/oclc/11676806","WorldCat Record")</f>
        <v>WorldCat Record</v>
      </c>
      <c r="AU901" s="3" t="s">
        <v>11288</v>
      </c>
      <c r="AV901" s="3" t="s">
        <v>11289</v>
      </c>
      <c r="AW901" s="3" t="s">
        <v>11290</v>
      </c>
      <c r="AX901" s="3" t="s">
        <v>11290</v>
      </c>
      <c r="AY901" s="3" t="s">
        <v>11291</v>
      </c>
      <c r="AZ901" s="3" t="s">
        <v>75</v>
      </c>
      <c r="BB901" s="3" t="s">
        <v>11292</v>
      </c>
      <c r="BC901" s="3" t="s">
        <v>11293</v>
      </c>
      <c r="BD901" s="3" t="s">
        <v>11294</v>
      </c>
    </row>
    <row r="902" spans="1:56" ht="48" customHeight="1" x14ac:dyDescent="0.25">
      <c r="A902" s="7" t="s">
        <v>59</v>
      </c>
      <c r="B902" s="2" t="s">
        <v>11295</v>
      </c>
      <c r="C902" s="2" t="s">
        <v>11296</v>
      </c>
      <c r="D902" s="2" t="s">
        <v>11297</v>
      </c>
      <c r="F902" s="3" t="s">
        <v>59</v>
      </c>
      <c r="G902" s="3" t="s">
        <v>60</v>
      </c>
      <c r="H902" s="3" t="s">
        <v>59</v>
      </c>
      <c r="I902" s="3" t="s">
        <v>59</v>
      </c>
      <c r="J902" s="3" t="s">
        <v>61</v>
      </c>
      <c r="K902" s="2" t="s">
        <v>11298</v>
      </c>
      <c r="L902" s="2" t="s">
        <v>6197</v>
      </c>
      <c r="M902" s="3" t="s">
        <v>363</v>
      </c>
      <c r="N902" s="2" t="s">
        <v>114</v>
      </c>
      <c r="O902" s="3" t="s">
        <v>64</v>
      </c>
      <c r="P902" s="3" t="s">
        <v>130</v>
      </c>
      <c r="R902" s="3" t="s">
        <v>67</v>
      </c>
      <c r="S902" s="4">
        <v>6</v>
      </c>
      <c r="T902" s="4">
        <v>6</v>
      </c>
      <c r="U902" s="5" t="s">
        <v>11286</v>
      </c>
      <c r="V902" s="5" t="s">
        <v>11286</v>
      </c>
      <c r="W902" s="5" t="s">
        <v>1523</v>
      </c>
      <c r="X902" s="5" t="s">
        <v>1523</v>
      </c>
      <c r="Y902" s="4">
        <v>192</v>
      </c>
      <c r="Z902" s="4">
        <v>152</v>
      </c>
      <c r="AA902" s="4">
        <v>468</v>
      </c>
      <c r="AB902" s="4">
        <v>3</v>
      </c>
      <c r="AC902" s="4">
        <v>5</v>
      </c>
      <c r="AD902" s="4">
        <v>7</v>
      </c>
      <c r="AE902" s="4">
        <v>19</v>
      </c>
      <c r="AF902" s="4">
        <v>5</v>
      </c>
      <c r="AG902" s="4">
        <v>9</v>
      </c>
      <c r="AH902" s="4">
        <v>0</v>
      </c>
      <c r="AI902" s="4">
        <v>2</v>
      </c>
      <c r="AJ902" s="4">
        <v>2</v>
      </c>
      <c r="AK902" s="4">
        <v>9</v>
      </c>
      <c r="AL902" s="4">
        <v>1</v>
      </c>
      <c r="AM902" s="4">
        <v>3</v>
      </c>
      <c r="AN902" s="4">
        <v>0</v>
      </c>
      <c r="AO902" s="4">
        <v>0</v>
      </c>
      <c r="AP902" s="3" t="s">
        <v>59</v>
      </c>
      <c r="AQ902" s="3" t="s">
        <v>70</v>
      </c>
      <c r="AR902" s="6" t="str">
        <f>HYPERLINK("http://catalog.hathitrust.org/Record/009916783","HathiTrust Record")</f>
        <v>HathiTrust Record</v>
      </c>
      <c r="AS902" s="6" t="str">
        <f>HYPERLINK("https://creighton-primo.hosted.exlibrisgroup.com/primo-explore/search?tab=default_tab&amp;search_scope=EVERYTHING&amp;vid=01CRU&amp;lang=en_US&amp;offset=0&amp;query=any,contains,991005147059702656","Catalog Record")</f>
        <v>Catalog Record</v>
      </c>
      <c r="AT902" s="6" t="str">
        <f>HYPERLINK("http://www.worldcat.org/oclc/7672061","WorldCat Record")</f>
        <v>WorldCat Record</v>
      </c>
      <c r="AU902" s="3" t="s">
        <v>11299</v>
      </c>
      <c r="AV902" s="3" t="s">
        <v>11300</v>
      </c>
      <c r="AW902" s="3" t="s">
        <v>11301</v>
      </c>
      <c r="AX902" s="3" t="s">
        <v>11301</v>
      </c>
      <c r="AY902" s="3" t="s">
        <v>11302</v>
      </c>
      <c r="AZ902" s="3" t="s">
        <v>75</v>
      </c>
      <c r="BB902" s="3" t="s">
        <v>11303</v>
      </c>
      <c r="BC902" s="3" t="s">
        <v>11304</v>
      </c>
      <c r="BD902" s="3" t="s">
        <v>11305</v>
      </c>
    </row>
    <row r="903" spans="1:56" ht="48" customHeight="1" x14ac:dyDescent="0.25">
      <c r="A903" s="7" t="s">
        <v>59</v>
      </c>
      <c r="B903" s="2" t="s">
        <v>11306</v>
      </c>
      <c r="C903" s="2" t="s">
        <v>11307</v>
      </c>
      <c r="D903" s="2" t="s">
        <v>11308</v>
      </c>
      <c r="F903" s="3" t="s">
        <v>59</v>
      </c>
      <c r="G903" s="3" t="s">
        <v>60</v>
      </c>
      <c r="H903" s="3" t="s">
        <v>59</v>
      </c>
      <c r="I903" s="3" t="s">
        <v>59</v>
      </c>
      <c r="J903" s="3" t="s">
        <v>61</v>
      </c>
      <c r="K903" s="2" t="s">
        <v>11309</v>
      </c>
      <c r="L903" s="2" t="s">
        <v>11310</v>
      </c>
      <c r="M903" s="3" t="s">
        <v>83</v>
      </c>
      <c r="O903" s="3" t="s">
        <v>64</v>
      </c>
      <c r="P903" s="3" t="s">
        <v>130</v>
      </c>
      <c r="R903" s="3" t="s">
        <v>67</v>
      </c>
      <c r="S903" s="4">
        <v>9</v>
      </c>
      <c r="T903" s="4">
        <v>9</v>
      </c>
      <c r="U903" s="5" t="s">
        <v>11311</v>
      </c>
      <c r="V903" s="5" t="s">
        <v>11311</v>
      </c>
      <c r="W903" s="5" t="s">
        <v>11312</v>
      </c>
      <c r="X903" s="5" t="s">
        <v>11312</v>
      </c>
      <c r="Y903" s="4">
        <v>1030</v>
      </c>
      <c r="Z903" s="4">
        <v>877</v>
      </c>
      <c r="AA903" s="4">
        <v>1427</v>
      </c>
      <c r="AB903" s="4">
        <v>5</v>
      </c>
      <c r="AC903" s="4">
        <v>6</v>
      </c>
      <c r="AD903" s="4">
        <v>27</v>
      </c>
      <c r="AE903" s="4">
        <v>32</v>
      </c>
      <c r="AF903" s="4">
        <v>12</v>
      </c>
      <c r="AG903" s="4">
        <v>16</v>
      </c>
      <c r="AH903" s="4">
        <v>7</v>
      </c>
      <c r="AI903" s="4">
        <v>7</v>
      </c>
      <c r="AJ903" s="4">
        <v>10</v>
      </c>
      <c r="AK903" s="4">
        <v>11</v>
      </c>
      <c r="AL903" s="4">
        <v>4</v>
      </c>
      <c r="AM903" s="4">
        <v>5</v>
      </c>
      <c r="AN903" s="4">
        <v>0</v>
      </c>
      <c r="AO903" s="4">
        <v>0</v>
      </c>
      <c r="AP903" s="3" t="s">
        <v>59</v>
      </c>
      <c r="AQ903" s="3" t="s">
        <v>59</v>
      </c>
      <c r="AS903" s="6" t="str">
        <f>HYPERLINK("https://creighton-primo.hosted.exlibrisgroup.com/primo-explore/search?tab=default_tab&amp;search_scope=EVERYTHING&amp;vid=01CRU&amp;lang=en_US&amp;offset=0&amp;query=any,contains,991002764979702656","Catalog Record")</f>
        <v>Catalog Record</v>
      </c>
      <c r="AT903" s="6" t="str">
        <f>HYPERLINK("http://www.worldcat.org/oclc/36283982","WorldCat Record")</f>
        <v>WorldCat Record</v>
      </c>
      <c r="AU903" s="3" t="s">
        <v>11313</v>
      </c>
      <c r="AV903" s="3" t="s">
        <v>11314</v>
      </c>
      <c r="AW903" s="3" t="s">
        <v>11315</v>
      </c>
      <c r="AX903" s="3" t="s">
        <v>11315</v>
      </c>
      <c r="AY903" s="3" t="s">
        <v>11316</v>
      </c>
      <c r="AZ903" s="3" t="s">
        <v>75</v>
      </c>
      <c r="BB903" s="3" t="s">
        <v>11317</v>
      </c>
      <c r="BC903" s="3" t="s">
        <v>11318</v>
      </c>
      <c r="BD903" s="3" t="s">
        <v>11319</v>
      </c>
    </row>
    <row r="904" spans="1:56" ht="48" customHeight="1" x14ac:dyDescent="0.25">
      <c r="A904" s="7" t="s">
        <v>59</v>
      </c>
      <c r="B904" s="2" t="s">
        <v>11320</v>
      </c>
      <c r="C904" s="2" t="s">
        <v>11321</v>
      </c>
      <c r="D904" s="2" t="s">
        <v>11322</v>
      </c>
      <c r="F904" s="3" t="s">
        <v>59</v>
      </c>
      <c r="G904" s="3" t="s">
        <v>60</v>
      </c>
      <c r="H904" s="3" t="s">
        <v>59</v>
      </c>
      <c r="I904" s="3" t="s">
        <v>59</v>
      </c>
      <c r="J904" s="3" t="s">
        <v>61</v>
      </c>
      <c r="K904" s="2" t="s">
        <v>11323</v>
      </c>
      <c r="L904" s="2" t="s">
        <v>11324</v>
      </c>
      <c r="M904" s="3" t="s">
        <v>897</v>
      </c>
      <c r="O904" s="3" t="s">
        <v>64</v>
      </c>
      <c r="P904" s="3" t="s">
        <v>176</v>
      </c>
      <c r="R904" s="3" t="s">
        <v>67</v>
      </c>
      <c r="S904" s="4">
        <v>10</v>
      </c>
      <c r="T904" s="4">
        <v>10</v>
      </c>
      <c r="U904" s="5" t="s">
        <v>11223</v>
      </c>
      <c r="V904" s="5" t="s">
        <v>11223</v>
      </c>
      <c r="W904" s="5" t="s">
        <v>11325</v>
      </c>
      <c r="X904" s="5" t="s">
        <v>11325</v>
      </c>
      <c r="Y904" s="4">
        <v>374</v>
      </c>
      <c r="Z904" s="4">
        <v>298</v>
      </c>
      <c r="AA904" s="4">
        <v>332</v>
      </c>
      <c r="AB904" s="4">
        <v>4</v>
      </c>
      <c r="AC904" s="4">
        <v>4</v>
      </c>
      <c r="AD904" s="4">
        <v>14</v>
      </c>
      <c r="AE904" s="4">
        <v>15</v>
      </c>
      <c r="AF904" s="4">
        <v>6</v>
      </c>
      <c r="AG904" s="4">
        <v>6</v>
      </c>
      <c r="AH904" s="4">
        <v>4</v>
      </c>
      <c r="AI904" s="4">
        <v>5</v>
      </c>
      <c r="AJ904" s="4">
        <v>5</v>
      </c>
      <c r="AK904" s="4">
        <v>5</v>
      </c>
      <c r="AL904" s="4">
        <v>3</v>
      </c>
      <c r="AM904" s="4">
        <v>3</v>
      </c>
      <c r="AN904" s="4">
        <v>0</v>
      </c>
      <c r="AO904" s="4">
        <v>0</v>
      </c>
      <c r="AP904" s="3" t="s">
        <v>59</v>
      </c>
      <c r="AQ904" s="3" t="s">
        <v>70</v>
      </c>
      <c r="AR904" s="6" t="str">
        <f>HYPERLINK("http://catalog.hathitrust.org/Record/002450285","HathiTrust Record")</f>
        <v>HathiTrust Record</v>
      </c>
      <c r="AS904" s="6" t="str">
        <f>HYPERLINK("https://creighton-primo.hosted.exlibrisgroup.com/primo-explore/search?tab=default_tab&amp;search_scope=EVERYTHING&amp;vid=01CRU&amp;lang=en_US&amp;offset=0&amp;query=any,contains,991001790429702656","Catalog Record")</f>
        <v>Catalog Record</v>
      </c>
      <c r="AT904" s="6" t="str">
        <f>HYPERLINK("http://www.worldcat.org/oclc/22542921","WorldCat Record")</f>
        <v>WorldCat Record</v>
      </c>
      <c r="AU904" s="3" t="s">
        <v>11326</v>
      </c>
      <c r="AV904" s="3" t="s">
        <v>11327</v>
      </c>
      <c r="AW904" s="3" t="s">
        <v>11328</v>
      </c>
      <c r="AX904" s="3" t="s">
        <v>11328</v>
      </c>
      <c r="AY904" s="3" t="s">
        <v>11329</v>
      </c>
      <c r="AZ904" s="3" t="s">
        <v>75</v>
      </c>
      <c r="BB904" s="3" t="s">
        <v>11330</v>
      </c>
      <c r="BC904" s="3" t="s">
        <v>11331</v>
      </c>
      <c r="BD904" s="3" t="s">
        <v>11332</v>
      </c>
    </row>
    <row r="905" spans="1:56" ht="48" customHeight="1" x14ac:dyDescent="0.25">
      <c r="A905" s="7" t="s">
        <v>59</v>
      </c>
      <c r="B905" s="2" t="s">
        <v>11333</v>
      </c>
      <c r="C905" s="2" t="s">
        <v>11334</v>
      </c>
      <c r="D905" s="2" t="s">
        <v>11335</v>
      </c>
      <c r="F905" s="3" t="s">
        <v>59</v>
      </c>
      <c r="G905" s="3" t="s">
        <v>60</v>
      </c>
      <c r="H905" s="3" t="s">
        <v>59</v>
      </c>
      <c r="I905" s="3" t="s">
        <v>59</v>
      </c>
      <c r="J905" s="3" t="s">
        <v>61</v>
      </c>
      <c r="L905" s="2" t="s">
        <v>3803</v>
      </c>
      <c r="M905" s="3" t="s">
        <v>519</v>
      </c>
      <c r="O905" s="3" t="s">
        <v>64</v>
      </c>
      <c r="P905" s="3" t="s">
        <v>130</v>
      </c>
      <c r="R905" s="3" t="s">
        <v>67</v>
      </c>
      <c r="S905" s="4">
        <v>6</v>
      </c>
      <c r="T905" s="4">
        <v>6</v>
      </c>
      <c r="U905" s="5" t="s">
        <v>11336</v>
      </c>
      <c r="V905" s="5" t="s">
        <v>11336</v>
      </c>
      <c r="W905" s="5" t="s">
        <v>8467</v>
      </c>
      <c r="X905" s="5" t="s">
        <v>8467</v>
      </c>
      <c r="Y905" s="4">
        <v>392</v>
      </c>
      <c r="Z905" s="4">
        <v>313</v>
      </c>
      <c r="AA905" s="4">
        <v>319</v>
      </c>
      <c r="AB905" s="4">
        <v>3</v>
      </c>
      <c r="AC905" s="4">
        <v>3</v>
      </c>
      <c r="AD905" s="4">
        <v>12</v>
      </c>
      <c r="AE905" s="4">
        <v>12</v>
      </c>
      <c r="AF905" s="4">
        <v>3</v>
      </c>
      <c r="AG905" s="4">
        <v>3</v>
      </c>
      <c r="AH905" s="4">
        <v>3</v>
      </c>
      <c r="AI905" s="4">
        <v>3</v>
      </c>
      <c r="AJ905" s="4">
        <v>8</v>
      </c>
      <c r="AK905" s="4">
        <v>8</v>
      </c>
      <c r="AL905" s="4">
        <v>2</v>
      </c>
      <c r="AM905" s="4">
        <v>2</v>
      </c>
      <c r="AN905" s="4">
        <v>0</v>
      </c>
      <c r="AO905" s="4">
        <v>0</v>
      </c>
      <c r="AP905" s="3" t="s">
        <v>59</v>
      </c>
      <c r="AQ905" s="3" t="s">
        <v>70</v>
      </c>
      <c r="AR905" s="6" t="str">
        <f>HYPERLINK("http://catalog.hathitrust.org/Record/002872923","HathiTrust Record")</f>
        <v>HathiTrust Record</v>
      </c>
      <c r="AS905" s="6" t="str">
        <f>HYPERLINK("https://creighton-primo.hosted.exlibrisgroup.com/primo-explore/search?tab=default_tab&amp;search_scope=EVERYTHING&amp;vid=01CRU&amp;lang=en_US&amp;offset=0&amp;query=any,contains,991002189239702656","Catalog Record")</f>
        <v>Catalog Record</v>
      </c>
      <c r="AT905" s="6" t="str">
        <f>HYPERLINK("http://www.worldcat.org/oclc/28180779","WorldCat Record")</f>
        <v>WorldCat Record</v>
      </c>
      <c r="AU905" s="3" t="s">
        <v>11337</v>
      </c>
      <c r="AV905" s="3" t="s">
        <v>11338</v>
      </c>
      <c r="AW905" s="3" t="s">
        <v>11339</v>
      </c>
      <c r="AX905" s="3" t="s">
        <v>11339</v>
      </c>
      <c r="AY905" s="3" t="s">
        <v>11340</v>
      </c>
      <c r="AZ905" s="3" t="s">
        <v>75</v>
      </c>
      <c r="BB905" s="3" t="s">
        <v>11341</v>
      </c>
      <c r="BC905" s="3" t="s">
        <v>11342</v>
      </c>
      <c r="BD905" s="3" t="s">
        <v>11343</v>
      </c>
    </row>
    <row r="906" spans="1:56" ht="48" customHeight="1" x14ac:dyDescent="0.25">
      <c r="A906" s="7" t="s">
        <v>59</v>
      </c>
      <c r="B906" s="2" t="s">
        <v>11344</v>
      </c>
      <c r="C906" s="2" t="s">
        <v>11345</v>
      </c>
      <c r="D906" s="2" t="s">
        <v>11346</v>
      </c>
      <c r="F906" s="3" t="s">
        <v>59</v>
      </c>
      <c r="G906" s="3" t="s">
        <v>60</v>
      </c>
      <c r="H906" s="3" t="s">
        <v>59</v>
      </c>
      <c r="I906" s="3" t="s">
        <v>59</v>
      </c>
      <c r="J906" s="3" t="s">
        <v>61</v>
      </c>
      <c r="L906" s="2" t="s">
        <v>1738</v>
      </c>
      <c r="M906" s="3" t="s">
        <v>145</v>
      </c>
      <c r="O906" s="3" t="s">
        <v>64</v>
      </c>
      <c r="P906" s="3" t="s">
        <v>130</v>
      </c>
      <c r="R906" s="3" t="s">
        <v>67</v>
      </c>
      <c r="S906" s="4">
        <v>3</v>
      </c>
      <c r="T906" s="4">
        <v>3</v>
      </c>
      <c r="U906" s="5" t="s">
        <v>11347</v>
      </c>
      <c r="V906" s="5" t="s">
        <v>11347</v>
      </c>
      <c r="W906" s="5" t="s">
        <v>11287</v>
      </c>
      <c r="X906" s="5" t="s">
        <v>11287</v>
      </c>
      <c r="Y906" s="4">
        <v>762</v>
      </c>
      <c r="Z906" s="4">
        <v>638</v>
      </c>
      <c r="AA906" s="4">
        <v>663</v>
      </c>
      <c r="AB906" s="4">
        <v>7</v>
      </c>
      <c r="AC906" s="4">
        <v>7</v>
      </c>
      <c r="AD906" s="4">
        <v>25</v>
      </c>
      <c r="AE906" s="4">
        <v>26</v>
      </c>
      <c r="AF906" s="4">
        <v>8</v>
      </c>
      <c r="AG906" s="4">
        <v>9</v>
      </c>
      <c r="AH906" s="4">
        <v>6</v>
      </c>
      <c r="AI906" s="4">
        <v>6</v>
      </c>
      <c r="AJ906" s="4">
        <v>12</v>
      </c>
      <c r="AK906" s="4">
        <v>13</v>
      </c>
      <c r="AL906" s="4">
        <v>6</v>
      </c>
      <c r="AM906" s="4">
        <v>6</v>
      </c>
      <c r="AN906" s="4">
        <v>0</v>
      </c>
      <c r="AO906" s="4">
        <v>0</v>
      </c>
      <c r="AP906" s="3" t="s">
        <v>59</v>
      </c>
      <c r="AQ906" s="3" t="s">
        <v>70</v>
      </c>
      <c r="AR906" s="6" t="str">
        <f>HYPERLINK("http://catalog.hathitrust.org/Record/000106994","HathiTrust Record")</f>
        <v>HathiTrust Record</v>
      </c>
      <c r="AS906" s="6" t="str">
        <f>HYPERLINK("https://creighton-primo.hosted.exlibrisgroup.com/primo-explore/search?tab=default_tab&amp;search_scope=EVERYTHING&amp;vid=01CRU&amp;lang=en_US&amp;offset=0&amp;query=any,contains,991004566579702656","Catalog Record")</f>
        <v>Catalog Record</v>
      </c>
      <c r="AT906" s="6" t="str">
        <f>HYPERLINK("http://www.worldcat.org/oclc/4004639","WorldCat Record")</f>
        <v>WorldCat Record</v>
      </c>
      <c r="AU906" s="3" t="s">
        <v>11348</v>
      </c>
      <c r="AV906" s="3" t="s">
        <v>11349</v>
      </c>
      <c r="AW906" s="3" t="s">
        <v>11350</v>
      </c>
      <c r="AX906" s="3" t="s">
        <v>11350</v>
      </c>
      <c r="AY906" s="3" t="s">
        <v>11351</v>
      </c>
      <c r="AZ906" s="3" t="s">
        <v>75</v>
      </c>
      <c r="BB906" s="3" t="s">
        <v>1743</v>
      </c>
      <c r="BC906" s="3" t="s">
        <v>11352</v>
      </c>
      <c r="BD906" s="3" t="s">
        <v>11353</v>
      </c>
    </row>
    <row r="907" spans="1:56" ht="48" customHeight="1" x14ac:dyDescent="0.25">
      <c r="A907" s="7" t="s">
        <v>59</v>
      </c>
      <c r="B907" s="2" t="s">
        <v>11354</v>
      </c>
      <c r="C907" s="2" t="s">
        <v>11355</v>
      </c>
      <c r="D907" s="2" t="s">
        <v>11356</v>
      </c>
      <c r="F907" s="3" t="s">
        <v>59</v>
      </c>
      <c r="G907" s="3" t="s">
        <v>60</v>
      </c>
      <c r="H907" s="3" t="s">
        <v>59</v>
      </c>
      <c r="I907" s="3" t="s">
        <v>59</v>
      </c>
      <c r="J907" s="3" t="s">
        <v>61</v>
      </c>
      <c r="K907" s="2" t="s">
        <v>11357</v>
      </c>
      <c r="L907" s="2" t="s">
        <v>11358</v>
      </c>
      <c r="M907" s="3" t="s">
        <v>161</v>
      </c>
      <c r="O907" s="3" t="s">
        <v>64</v>
      </c>
      <c r="P907" s="3" t="s">
        <v>1186</v>
      </c>
      <c r="Q907" s="2" t="s">
        <v>11359</v>
      </c>
      <c r="R907" s="3" t="s">
        <v>67</v>
      </c>
      <c r="S907" s="4">
        <v>9</v>
      </c>
      <c r="T907" s="4">
        <v>9</v>
      </c>
      <c r="U907" s="5" t="s">
        <v>11360</v>
      </c>
      <c r="V907" s="5" t="s">
        <v>11360</v>
      </c>
      <c r="W907" s="5" t="s">
        <v>11361</v>
      </c>
      <c r="X907" s="5" t="s">
        <v>11361</v>
      </c>
      <c r="Y907" s="4">
        <v>236</v>
      </c>
      <c r="Z907" s="4">
        <v>199</v>
      </c>
      <c r="AA907" s="4">
        <v>714</v>
      </c>
      <c r="AB907" s="4">
        <v>2</v>
      </c>
      <c r="AC907" s="4">
        <v>6</v>
      </c>
      <c r="AD907" s="4">
        <v>4</v>
      </c>
      <c r="AE907" s="4">
        <v>31</v>
      </c>
      <c r="AF907" s="4">
        <v>1</v>
      </c>
      <c r="AG907" s="4">
        <v>12</v>
      </c>
      <c r="AH907" s="4">
        <v>1</v>
      </c>
      <c r="AI907" s="4">
        <v>8</v>
      </c>
      <c r="AJ907" s="4">
        <v>1</v>
      </c>
      <c r="AK907" s="4">
        <v>11</v>
      </c>
      <c r="AL907" s="4">
        <v>1</v>
      </c>
      <c r="AM907" s="4">
        <v>5</v>
      </c>
      <c r="AN907" s="4">
        <v>0</v>
      </c>
      <c r="AO907" s="4">
        <v>1</v>
      </c>
      <c r="AP907" s="3" t="s">
        <v>59</v>
      </c>
      <c r="AQ907" s="3" t="s">
        <v>70</v>
      </c>
      <c r="AR907" s="6" t="str">
        <f>HYPERLINK("http://catalog.hathitrust.org/Record/000138360","HathiTrust Record")</f>
        <v>HathiTrust Record</v>
      </c>
      <c r="AS907" s="6" t="str">
        <f>HYPERLINK("https://creighton-primo.hosted.exlibrisgroup.com/primo-explore/search?tab=default_tab&amp;search_scope=EVERYTHING&amp;vid=01CRU&amp;lang=en_US&amp;offset=0&amp;query=any,contains,991005043069702656","Catalog Record")</f>
        <v>Catalog Record</v>
      </c>
      <c r="AT907" s="6" t="str">
        <f>HYPERLINK("http://www.worldcat.org/oclc/6813198","WorldCat Record")</f>
        <v>WorldCat Record</v>
      </c>
      <c r="AU907" s="3" t="s">
        <v>11362</v>
      </c>
      <c r="AV907" s="3" t="s">
        <v>11363</v>
      </c>
      <c r="AW907" s="3" t="s">
        <v>11364</v>
      </c>
      <c r="AX907" s="3" t="s">
        <v>11364</v>
      </c>
      <c r="AY907" s="3" t="s">
        <v>11365</v>
      </c>
      <c r="AZ907" s="3" t="s">
        <v>75</v>
      </c>
      <c r="BC907" s="3" t="s">
        <v>11366</v>
      </c>
      <c r="BD907" s="3" t="s">
        <v>11367</v>
      </c>
    </row>
    <row r="908" spans="1:56" ht="48" customHeight="1" x14ac:dyDescent="0.25">
      <c r="A908" s="7" t="s">
        <v>59</v>
      </c>
      <c r="B908" s="2" t="s">
        <v>11368</v>
      </c>
      <c r="C908" s="2" t="s">
        <v>11369</v>
      </c>
      <c r="D908" s="2" t="s">
        <v>11370</v>
      </c>
      <c r="F908" s="3" t="s">
        <v>59</v>
      </c>
      <c r="G908" s="3" t="s">
        <v>60</v>
      </c>
      <c r="H908" s="3" t="s">
        <v>70</v>
      </c>
      <c r="I908" s="3" t="s">
        <v>59</v>
      </c>
      <c r="J908" s="3" t="s">
        <v>61</v>
      </c>
      <c r="L908" s="2" t="s">
        <v>11371</v>
      </c>
      <c r="M908" s="3" t="s">
        <v>248</v>
      </c>
      <c r="O908" s="3" t="s">
        <v>64</v>
      </c>
      <c r="P908" s="3" t="s">
        <v>191</v>
      </c>
      <c r="Q908" s="2" t="s">
        <v>11372</v>
      </c>
      <c r="R908" s="3" t="s">
        <v>67</v>
      </c>
      <c r="S908" s="4">
        <v>3</v>
      </c>
      <c r="T908" s="4">
        <v>3</v>
      </c>
      <c r="U908" s="5" t="s">
        <v>11373</v>
      </c>
      <c r="V908" s="5" t="s">
        <v>11373</v>
      </c>
      <c r="W908" s="5" t="s">
        <v>148</v>
      </c>
      <c r="X908" s="5" t="s">
        <v>148</v>
      </c>
      <c r="Y908" s="4">
        <v>316</v>
      </c>
      <c r="Z908" s="4">
        <v>261</v>
      </c>
      <c r="AA908" s="4">
        <v>264</v>
      </c>
      <c r="AB908" s="4">
        <v>3</v>
      </c>
      <c r="AC908" s="4">
        <v>3</v>
      </c>
      <c r="AD908" s="4">
        <v>10</v>
      </c>
      <c r="AE908" s="4">
        <v>10</v>
      </c>
      <c r="AF908" s="4">
        <v>3</v>
      </c>
      <c r="AG908" s="4">
        <v>3</v>
      </c>
      <c r="AH908" s="4">
        <v>1</v>
      </c>
      <c r="AI908" s="4">
        <v>1</v>
      </c>
      <c r="AJ908" s="4">
        <v>8</v>
      </c>
      <c r="AK908" s="4">
        <v>8</v>
      </c>
      <c r="AL908" s="4">
        <v>1</v>
      </c>
      <c r="AM908" s="4">
        <v>1</v>
      </c>
      <c r="AN908" s="4">
        <v>0</v>
      </c>
      <c r="AO908" s="4">
        <v>0</v>
      </c>
      <c r="AP908" s="3" t="s">
        <v>59</v>
      </c>
      <c r="AQ908" s="3" t="s">
        <v>70</v>
      </c>
      <c r="AR908" s="6" t="str">
        <f>HYPERLINK("http://catalog.hathitrust.org/Record/000181279","HathiTrust Record")</f>
        <v>HathiTrust Record</v>
      </c>
      <c r="AS908" s="6" t="str">
        <f>HYPERLINK("https://creighton-primo.hosted.exlibrisgroup.com/primo-explore/search?tab=default_tab&amp;search_scope=EVERYTHING&amp;vid=01CRU&amp;lang=en_US&amp;offset=0&amp;query=any,contains,991005040319702656","Catalog Record")</f>
        <v>Catalog Record</v>
      </c>
      <c r="AT908" s="6" t="str">
        <f>HYPERLINK("http://www.worldcat.org/oclc/6789975","WorldCat Record")</f>
        <v>WorldCat Record</v>
      </c>
      <c r="AU908" s="3" t="s">
        <v>11374</v>
      </c>
      <c r="AV908" s="3" t="s">
        <v>11375</v>
      </c>
      <c r="AW908" s="3" t="s">
        <v>11376</v>
      </c>
      <c r="AX908" s="3" t="s">
        <v>11376</v>
      </c>
      <c r="AY908" s="3" t="s">
        <v>11377</v>
      </c>
      <c r="AZ908" s="3" t="s">
        <v>75</v>
      </c>
      <c r="BB908" s="3" t="s">
        <v>11378</v>
      </c>
      <c r="BC908" s="3" t="s">
        <v>11379</v>
      </c>
      <c r="BD908" s="3" t="s">
        <v>11380</v>
      </c>
    </row>
    <row r="909" spans="1:56" ht="48" customHeight="1" x14ac:dyDescent="0.25">
      <c r="A909" s="7" t="s">
        <v>59</v>
      </c>
      <c r="B909" s="2" t="s">
        <v>11381</v>
      </c>
      <c r="C909" s="2" t="s">
        <v>11382</v>
      </c>
      <c r="D909" s="2" t="s">
        <v>11383</v>
      </c>
      <c r="F909" s="3" t="s">
        <v>59</v>
      </c>
      <c r="G909" s="3" t="s">
        <v>60</v>
      </c>
      <c r="H909" s="3" t="s">
        <v>59</v>
      </c>
      <c r="I909" s="3" t="s">
        <v>59</v>
      </c>
      <c r="J909" s="3" t="s">
        <v>61</v>
      </c>
      <c r="K909" s="2" t="s">
        <v>11384</v>
      </c>
      <c r="L909" s="2" t="s">
        <v>11385</v>
      </c>
      <c r="M909" s="3" t="s">
        <v>376</v>
      </c>
      <c r="O909" s="3" t="s">
        <v>64</v>
      </c>
      <c r="P909" s="3" t="s">
        <v>84</v>
      </c>
      <c r="Q909" s="2" t="s">
        <v>11386</v>
      </c>
      <c r="R909" s="3" t="s">
        <v>67</v>
      </c>
      <c r="S909" s="4">
        <v>2</v>
      </c>
      <c r="T909" s="4">
        <v>2</v>
      </c>
      <c r="U909" s="5" t="s">
        <v>9475</v>
      </c>
      <c r="V909" s="5" t="s">
        <v>9475</v>
      </c>
      <c r="W909" s="5" t="s">
        <v>11387</v>
      </c>
      <c r="X909" s="5" t="s">
        <v>11387</v>
      </c>
      <c r="Y909" s="4">
        <v>384</v>
      </c>
      <c r="Z909" s="4">
        <v>278</v>
      </c>
      <c r="AA909" s="4">
        <v>280</v>
      </c>
      <c r="AB909" s="4">
        <v>5</v>
      </c>
      <c r="AC909" s="4">
        <v>5</v>
      </c>
      <c r="AD909" s="4">
        <v>11</v>
      </c>
      <c r="AE909" s="4">
        <v>11</v>
      </c>
      <c r="AF909" s="4">
        <v>4</v>
      </c>
      <c r="AG909" s="4">
        <v>4</v>
      </c>
      <c r="AH909" s="4">
        <v>3</v>
      </c>
      <c r="AI909" s="4">
        <v>3</v>
      </c>
      <c r="AJ909" s="4">
        <v>3</v>
      </c>
      <c r="AK909" s="4">
        <v>3</v>
      </c>
      <c r="AL909" s="4">
        <v>3</v>
      </c>
      <c r="AM909" s="4">
        <v>3</v>
      </c>
      <c r="AN909" s="4">
        <v>0</v>
      </c>
      <c r="AO909" s="4">
        <v>0</v>
      </c>
      <c r="AP909" s="3" t="s">
        <v>59</v>
      </c>
      <c r="AQ909" s="3" t="s">
        <v>70</v>
      </c>
      <c r="AR909" s="6" t="str">
        <f>HYPERLINK("http://catalog.hathitrust.org/Record/001553505","HathiTrust Record")</f>
        <v>HathiTrust Record</v>
      </c>
      <c r="AS909" s="6" t="str">
        <f>HYPERLINK("https://creighton-primo.hosted.exlibrisgroup.com/primo-explore/search?tab=default_tab&amp;search_scope=EVERYTHING&amp;vid=01CRU&amp;lang=en_US&amp;offset=0&amp;query=any,contains,991003056279702656","Catalog Record")</f>
        <v>Catalog Record</v>
      </c>
      <c r="AT909" s="6" t="str">
        <f>HYPERLINK("http://www.worldcat.org/oclc/614469","WorldCat Record")</f>
        <v>WorldCat Record</v>
      </c>
      <c r="AU909" s="3" t="s">
        <v>11388</v>
      </c>
      <c r="AV909" s="3" t="s">
        <v>11389</v>
      </c>
      <c r="AW909" s="3" t="s">
        <v>11390</v>
      </c>
      <c r="AX909" s="3" t="s">
        <v>11390</v>
      </c>
      <c r="AY909" s="3" t="s">
        <v>11391</v>
      </c>
      <c r="AZ909" s="3" t="s">
        <v>75</v>
      </c>
      <c r="BB909" s="3" t="s">
        <v>11392</v>
      </c>
      <c r="BC909" s="3" t="s">
        <v>11393</v>
      </c>
      <c r="BD909" s="3" t="s">
        <v>11394</v>
      </c>
    </row>
    <row r="910" spans="1:56" ht="48" customHeight="1" x14ac:dyDescent="0.25">
      <c r="A910" s="7" t="s">
        <v>59</v>
      </c>
      <c r="B910" s="2" t="s">
        <v>11395</v>
      </c>
      <c r="C910" s="2" t="s">
        <v>11396</v>
      </c>
      <c r="D910" s="2" t="s">
        <v>11397</v>
      </c>
      <c r="F910" s="3" t="s">
        <v>59</v>
      </c>
      <c r="G910" s="3" t="s">
        <v>60</v>
      </c>
      <c r="H910" s="3" t="s">
        <v>70</v>
      </c>
      <c r="I910" s="3" t="s">
        <v>59</v>
      </c>
      <c r="J910" s="3" t="s">
        <v>61</v>
      </c>
      <c r="K910" s="2" t="s">
        <v>11398</v>
      </c>
      <c r="L910" s="2" t="s">
        <v>11399</v>
      </c>
      <c r="M910" s="3" t="s">
        <v>485</v>
      </c>
      <c r="O910" s="3" t="s">
        <v>64</v>
      </c>
      <c r="P910" s="3" t="s">
        <v>130</v>
      </c>
      <c r="R910" s="3" t="s">
        <v>67</v>
      </c>
      <c r="S910" s="4">
        <v>3</v>
      </c>
      <c r="T910" s="4">
        <v>4</v>
      </c>
      <c r="U910" s="5" t="s">
        <v>11400</v>
      </c>
      <c r="V910" s="5" t="s">
        <v>11401</v>
      </c>
      <c r="W910" s="5" t="s">
        <v>148</v>
      </c>
      <c r="X910" s="5" t="s">
        <v>148</v>
      </c>
      <c r="Y910" s="4">
        <v>379</v>
      </c>
      <c r="Z910" s="4">
        <v>332</v>
      </c>
      <c r="AA910" s="4">
        <v>499</v>
      </c>
      <c r="AB910" s="4">
        <v>3</v>
      </c>
      <c r="AC910" s="4">
        <v>4</v>
      </c>
      <c r="AD910" s="4">
        <v>8</v>
      </c>
      <c r="AE910" s="4">
        <v>16</v>
      </c>
      <c r="AF910" s="4">
        <v>4</v>
      </c>
      <c r="AG910" s="4">
        <v>8</v>
      </c>
      <c r="AH910" s="4">
        <v>2</v>
      </c>
      <c r="AI910" s="4">
        <v>3</v>
      </c>
      <c r="AJ910" s="4">
        <v>5</v>
      </c>
      <c r="AK910" s="4">
        <v>8</v>
      </c>
      <c r="AL910" s="4">
        <v>1</v>
      </c>
      <c r="AM910" s="4">
        <v>2</v>
      </c>
      <c r="AN910" s="4">
        <v>0</v>
      </c>
      <c r="AO910" s="4">
        <v>0</v>
      </c>
      <c r="AP910" s="3" t="s">
        <v>59</v>
      </c>
      <c r="AQ910" s="3" t="s">
        <v>70</v>
      </c>
      <c r="AR910" s="6" t="str">
        <f>HYPERLINK("http://catalog.hathitrust.org/Record/000175449","HathiTrust Record")</f>
        <v>HathiTrust Record</v>
      </c>
      <c r="AS910" s="6" t="str">
        <f>HYPERLINK("https://creighton-primo.hosted.exlibrisgroup.com/primo-explore/search?tab=default_tab&amp;search_scope=EVERYTHING&amp;vid=01CRU&amp;lang=en_US&amp;offset=0&amp;query=any,contains,991001758179702656","Catalog Record")</f>
        <v>Catalog Record</v>
      </c>
      <c r="AT910" s="6" t="str">
        <f>HYPERLINK("http://www.worldcat.org/oclc/3966144","WorldCat Record")</f>
        <v>WorldCat Record</v>
      </c>
      <c r="AU910" s="3" t="s">
        <v>11402</v>
      </c>
      <c r="AV910" s="3" t="s">
        <v>11403</v>
      </c>
      <c r="AW910" s="3" t="s">
        <v>11404</v>
      </c>
      <c r="AX910" s="3" t="s">
        <v>11404</v>
      </c>
      <c r="AY910" s="3" t="s">
        <v>11405</v>
      </c>
      <c r="AZ910" s="3" t="s">
        <v>75</v>
      </c>
      <c r="BB910" s="3" t="s">
        <v>11406</v>
      </c>
      <c r="BC910" s="3" t="s">
        <v>11407</v>
      </c>
      <c r="BD910" s="3" t="s">
        <v>11408</v>
      </c>
    </row>
    <row r="911" spans="1:56" ht="48" customHeight="1" x14ac:dyDescent="0.25">
      <c r="A911" s="7" t="s">
        <v>59</v>
      </c>
      <c r="B911" s="2" t="s">
        <v>11409</v>
      </c>
      <c r="C911" s="2" t="s">
        <v>11410</v>
      </c>
      <c r="D911" s="2" t="s">
        <v>11411</v>
      </c>
      <c r="F911" s="3" t="s">
        <v>59</v>
      </c>
      <c r="G911" s="3" t="s">
        <v>60</v>
      </c>
      <c r="H911" s="3" t="s">
        <v>70</v>
      </c>
      <c r="I911" s="3" t="s">
        <v>59</v>
      </c>
      <c r="J911" s="3" t="s">
        <v>61</v>
      </c>
      <c r="K911" s="2" t="s">
        <v>11412</v>
      </c>
      <c r="L911" s="2" t="s">
        <v>11413</v>
      </c>
      <c r="M911" s="3" t="s">
        <v>590</v>
      </c>
      <c r="O911" s="3" t="s">
        <v>64</v>
      </c>
      <c r="P911" s="3" t="s">
        <v>130</v>
      </c>
      <c r="R911" s="3" t="s">
        <v>67</v>
      </c>
      <c r="S911" s="4">
        <v>1</v>
      </c>
      <c r="T911" s="4">
        <v>8</v>
      </c>
      <c r="U911" s="5" t="s">
        <v>11414</v>
      </c>
      <c r="V911" s="5" t="s">
        <v>11414</v>
      </c>
      <c r="W911" s="5" t="s">
        <v>10443</v>
      </c>
      <c r="X911" s="5" t="s">
        <v>11415</v>
      </c>
      <c r="Y911" s="4">
        <v>236</v>
      </c>
      <c r="Z911" s="4">
        <v>181</v>
      </c>
      <c r="AA911" s="4">
        <v>183</v>
      </c>
      <c r="AB911" s="4">
        <v>2</v>
      </c>
      <c r="AC911" s="4">
        <v>2</v>
      </c>
      <c r="AD911" s="4">
        <v>3</v>
      </c>
      <c r="AE911" s="4">
        <v>3</v>
      </c>
      <c r="AF911" s="4">
        <v>0</v>
      </c>
      <c r="AG911" s="4">
        <v>0</v>
      </c>
      <c r="AH911" s="4">
        <v>2</v>
      </c>
      <c r="AI911" s="4">
        <v>2</v>
      </c>
      <c r="AJ911" s="4">
        <v>2</v>
      </c>
      <c r="AK911" s="4">
        <v>2</v>
      </c>
      <c r="AL911" s="4">
        <v>0</v>
      </c>
      <c r="AM911" s="4">
        <v>0</v>
      </c>
      <c r="AN911" s="4">
        <v>0</v>
      </c>
      <c r="AO911" s="4">
        <v>0</v>
      </c>
      <c r="AP911" s="3" t="s">
        <v>59</v>
      </c>
      <c r="AQ911" s="3" t="s">
        <v>70</v>
      </c>
      <c r="AR911" s="6" t="str">
        <f>HYPERLINK("http://catalog.hathitrust.org/Record/000906507","HathiTrust Record")</f>
        <v>HathiTrust Record</v>
      </c>
      <c r="AS911" s="6" t="str">
        <f>HYPERLINK("https://creighton-primo.hosted.exlibrisgroup.com/primo-explore/search?tab=default_tab&amp;search_scope=EVERYTHING&amp;vid=01CRU&amp;lang=en_US&amp;offset=0&amp;query=any,contains,991001796599702656","Catalog Record")</f>
        <v>Catalog Record</v>
      </c>
      <c r="AT911" s="6" t="str">
        <f>HYPERLINK("http://www.worldcat.org/oclc/16276212","WorldCat Record")</f>
        <v>WorldCat Record</v>
      </c>
      <c r="AU911" s="3" t="s">
        <v>11416</v>
      </c>
      <c r="AV911" s="3" t="s">
        <v>11417</v>
      </c>
      <c r="AW911" s="3" t="s">
        <v>11418</v>
      </c>
      <c r="AX911" s="3" t="s">
        <v>11418</v>
      </c>
      <c r="AY911" s="3" t="s">
        <v>11419</v>
      </c>
      <c r="AZ911" s="3" t="s">
        <v>75</v>
      </c>
      <c r="BB911" s="3" t="s">
        <v>11420</v>
      </c>
      <c r="BC911" s="3" t="s">
        <v>11421</v>
      </c>
      <c r="BD911" s="3" t="s">
        <v>11422</v>
      </c>
    </row>
    <row r="912" spans="1:56" ht="48" customHeight="1" x14ac:dyDescent="0.25">
      <c r="A912" s="7" t="s">
        <v>59</v>
      </c>
      <c r="B912" s="2" t="s">
        <v>11423</v>
      </c>
      <c r="C912" s="2" t="s">
        <v>11424</v>
      </c>
      <c r="D912" s="2" t="s">
        <v>11425</v>
      </c>
      <c r="F912" s="3" t="s">
        <v>59</v>
      </c>
      <c r="G912" s="3" t="s">
        <v>60</v>
      </c>
      <c r="H912" s="3" t="s">
        <v>59</v>
      </c>
      <c r="I912" s="3" t="s">
        <v>59</v>
      </c>
      <c r="J912" s="3" t="s">
        <v>61</v>
      </c>
      <c r="K912" s="2" t="s">
        <v>11426</v>
      </c>
      <c r="L912" s="2" t="s">
        <v>11427</v>
      </c>
      <c r="M912" s="3" t="s">
        <v>519</v>
      </c>
      <c r="O912" s="3" t="s">
        <v>64</v>
      </c>
      <c r="P912" s="3" t="s">
        <v>130</v>
      </c>
      <c r="R912" s="3" t="s">
        <v>67</v>
      </c>
      <c r="S912" s="4">
        <v>11</v>
      </c>
      <c r="T912" s="4">
        <v>11</v>
      </c>
      <c r="U912" s="5" t="s">
        <v>11428</v>
      </c>
      <c r="V912" s="5" t="s">
        <v>11428</v>
      </c>
      <c r="W912" s="5" t="s">
        <v>11429</v>
      </c>
      <c r="X912" s="5" t="s">
        <v>11429</v>
      </c>
      <c r="Y912" s="4">
        <v>462</v>
      </c>
      <c r="Z912" s="4">
        <v>396</v>
      </c>
      <c r="AA912" s="4">
        <v>457</v>
      </c>
      <c r="AB912" s="4">
        <v>4</v>
      </c>
      <c r="AC912" s="4">
        <v>4</v>
      </c>
      <c r="AD912" s="4">
        <v>18</v>
      </c>
      <c r="AE912" s="4">
        <v>21</v>
      </c>
      <c r="AF912" s="4">
        <v>8</v>
      </c>
      <c r="AG912" s="4">
        <v>11</v>
      </c>
      <c r="AH912" s="4">
        <v>1</v>
      </c>
      <c r="AI912" s="4">
        <v>1</v>
      </c>
      <c r="AJ912" s="4">
        <v>10</v>
      </c>
      <c r="AK912" s="4">
        <v>11</v>
      </c>
      <c r="AL912" s="4">
        <v>3</v>
      </c>
      <c r="AM912" s="4">
        <v>3</v>
      </c>
      <c r="AN912" s="4">
        <v>0</v>
      </c>
      <c r="AO912" s="4">
        <v>0</v>
      </c>
      <c r="AP912" s="3" t="s">
        <v>59</v>
      </c>
      <c r="AQ912" s="3" t="s">
        <v>70</v>
      </c>
      <c r="AR912" s="6" t="str">
        <f>HYPERLINK("http://catalog.hathitrust.org/Record/002732273","HathiTrust Record")</f>
        <v>HathiTrust Record</v>
      </c>
      <c r="AS912" s="6" t="str">
        <f>HYPERLINK("https://creighton-primo.hosted.exlibrisgroup.com/primo-explore/search?tab=default_tab&amp;search_scope=EVERYTHING&amp;vid=01CRU&amp;lang=en_US&amp;offset=0&amp;query=any,contains,991002160729702656","Catalog Record")</f>
        <v>Catalog Record</v>
      </c>
      <c r="AT912" s="6" t="str">
        <f>HYPERLINK("http://www.worldcat.org/oclc/27813634","WorldCat Record")</f>
        <v>WorldCat Record</v>
      </c>
      <c r="AU912" s="3" t="s">
        <v>11430</v>
      </c>
      <c r="AV912" s="3" t="s">
        <v>11431</v>
      </c>
      <c r="AW912" s="3" t="s">
        <v>11432</v>
      </c>
      <c r="AX912" s="3" t="s">
        <v>11432</v>
      </c>
      <c r="AY912" s="3" t="s">
        <v>11433</v>
      </c>
      <c r="AZ912" s="3" t="s">
        <v>75</v>
      </c>
      <c r="BB912" s="3" t="s">
        <v>11434</v>
      </c>
      <c r="BC912" s="3" t="s">
        <v>11435</v>
      </c>
      <c r="BD912" s="3" t="s">
        <v>11436</v>
      </c>
    </row>
    <row r="913" spans="1:56" ht="48" customHeight="1" x14ac:dyDescent="0.25">
      <c r="A913" s="7" t="s">
        <v>59</v>
      </c>
      <c r="B913" s="2" t="s">
        <v>11437</v>
      </c>
      <c r="C913" s="2" t="s">
        <v>11438</v>
      </c>
      <c r="D913" s="2" t="s">
        <v>11439</v>
      </c>
      <c r="F913" s="3" t="s">
        <v>59</v>
      </c>
      <c r="G913" s="3" t="s">
        <v>60</v>
      </c>
      <c r="H913" s="3" t="s">
        <v>59</v>
      </c>
      <c r="I913" s="3" t="s">
        <v>59</v>
      </c>
      <c r="J913" s="3" t="s">
        <v>61</v>
      </c>
      <c r="L913" s="2" t="s">
        <v>11440</v>
      </c>
      <c r="M913" s="3" t="s">
        <v>590</v>
      </c>
      <c r="O913" s="3" t="s">
        <v>64</v>
      </c>
      <c r="P913" s="3" t="s">
        <v>2826</v>
      </c>
      <c r="R913" s="3" t="s">
        <v>67</v>
      </c>
      <c r="S913" s="4">
        <v>6</v>
      </c>
      <c r="T913" s="4">
        <v>6</v>
      </c>
      <c r="U913" s="5" t="s">
        <v>11441</v>
      </c>
      <c r="V913" s="5" t="s">
        <v>11441</v>
      </c>
      <c r="W913" s="5" t="s">
        <v>148</v>
      </c>
      <c r="X913" s="5" t="s">
        <v>148</v>
      </c>
      <c r="Y913" s="4">
        <v>87</v>
      </c>
      <c r="Z913" s="4">
        <v>46</v>
      </c>
      <c r="AA913" s="4">
        <v>58</v>
      </c>
      <c r="AB913" s="4">
        <v>1</v>
      </c>
      <c r="AC913" s="4">
        <v>1</v>
      </c>
      <c r="AD913" s="4">
        <v>0</v>
      </c>
      <c r="AE913" s="4">
        <v>1</v>
      </c>
      <c r="AF913" s="4">
        <v>0</v>
      </c>
      <c r="AG913" s="4">
        <v>1</v>
      </c>
      <c r="AH913" s="4">
        <v>0</v>
      </c>
      <c r="AI913" s="4">
        <v>0</v>
      </c>
      <c r="AJ913" s="4">
        <v>0</v>
      </c>
      <c r="AK913" s="4">
        <v>1</v>
      </c>
      <c r="AL913" s="4">
        <v>0</v>
      </c>
      <c r="AM913" s="4">
        <v>0</v>
      </c>
      <c r="AN913" s="4">
        <v>0</v>
      </c>
      <c r="AO913" s="4">
        <v>0</v>
      </c>
      <c r="AP913" s="3" t="s">
        <v>59</v>
      </c>
      <c r="AQ913" s="3" t="s">
        <v>70</v>
      </c>
      <c r="AR913" s="6" t="str">
        <f>HYPERLINK("http://catalog.hathitrust.org/Record/001297929","HathiTrust Record")</f>
        <v>HathiTrust Record</v>
      </c>
      <c r="AS913" s="6" t="str">
        <f>HYPERLINK("https://creighton-primo.hosted.exlibrisgroup.com/primo-explore/search?tab=default_tab&amp;search_scope=EVERYTHING&amp;vid=01CRU&amp;lang=en_US&amp;offset=0&amp;query=any,contains,991001110989702656","Catalog Record")</f>
        <v>Catalog Record</v>
      </c>
      <c r="AT913" s="6" t="str">
        <f>HYPERLINK("http://www.worldcat.org/oclc/18951185","WorldCat Record")</f>
        <v>WorldCat Record</v>
      </c>
      <c r="AU913" s="3" t="s">
        <v>11442</v>
      </c>
      <c r="AV913" s="3" t="s">
        <v>11443</v>
      </c>
      <c r="AW913" s="3" t="s">
        <v>11444</v>
      </c>
      <c r="AX913" s="3" t="s">
        <v>11444</v>
      </c>
      <c r="AY913" s="3" t="s">
        <v>11445</v>
      </c>
      <c r="AZ913" s="3" t="s">
        <v>75</v>
      </c>
      <c r="BB913" s="3" t="s">
        <v>11446</v>
      </c>
      <c r="BC913" s="3" t="s">
        <v>11447</v>
      </c>
      <c r="BD913" s="3" t="s">
        <v>11448</v>
      </c>
    </row>
    <row r="914" spans="1:56" ht="48" customHeight="1" x14ac:dyDescent="0.25">
      <c r="A914" s="7" t="s">
        <v>59</v>
      </c>
      <c r="B914" s="2" t="s">
        <v>11449</v>
      </c>
      <c r="C914" s="2" t="s">
        <v>11450</v>
      </c>
      <c r="D914" s="2" t="s">
        <v>11451</v>
      </c>
      <c r="F914" s="3" t="s">
        <v>59</v>
      </c>
      <c r="G914" s="3" t="s">
        <v>60</v>
      </c>
      <c r="H914" s="3" t="s">
        <v>70</v>
      </c>
      <c r="I914" s="3" t="s">
        <v>59</v>
      </c>
      <c r="J914" s="3" t="s">
        <v>61</v>
      </c>
      <c r="K914" s="2" t="s">
        <v>11452</v>
      </c>
      <c r="L914" s="2" t="s">
        <v>6069</v>
      </c>
      <c r="M914" s="3" t="s">
        <v>248</v>
      </c>
      <c r="O914" s="3" t="s">
        <v>64</v>
      </c>
      <c r="P914" s="3" t="s">
        <v>176</v>
      </c>
      <c r="R914" s="3" t="s">
        <v>67</v>
      </c>
      <c r="S914" s="4">
        <v>1</v>
      </c>
      <c r="T914" s="4">
        <v>1</v>
      </c>
      <c r="U914" s="5" t="s">
        <v>7345</v>
      </c>
      <c r="V914" s="5" t="s">
        <v>7345</v>
      </c>
      <c r="W914" s="5" t="s">
        <v>148</v>
      </c>
      <c r="X914" s="5" t="s">
        <v>148</v>
      </c>
      <c r="Y914" s="4">
        <v>631</v>
      </c>
      <c r="Z914" s="4">
        <v>529</v>
      </c>
      <c r="AA914" s="4">
        <v>538</v>
      </c>
      <c r="AB914" s="4">
        <v>5</v>
      </c>
      <c r="AC914" s="4">
        <v>5</v>
      </c>
      <c r="AD914" s="4">
        <v>26</v>
      </c>
      <c r="AE914" s="4">
        <v>26</v>
      </c>
      <c r="AF914" s="4">
        <v>11</v>
      </c>
      <c r="AG914" s="4">
        <v>11</v>
      </c>
      <c r="AH914" s="4">
        <v>4</v>
      </c>
      <c r="AI914" s="4">
        <v>4</v>
      </c>
      <c r="AJ914" s="4">
        <v>18</v>
      </c>
      <c r="AK914" s="4">
        <v>18</v>
      </c>
      <c r="AL914" s="4">
        <v>3</v>
      </c>
      <c r="AM914" s="4">
        <v>3</v>
      </c>
      <c r="AN914" s="4">
        <v>0</v>
      </c>
      <c r="AO914" s="4">
        <v>0</v>
      </c>
      <c r="AP914" s="3" t="s">
        <v>59</v>
      </c>
      <c r="AQ914" s="3" t="s">
        <v>59</v>
      </c>
      <c r="AS914" s="6" t="str">
        <f>HYPERLINK("https://creighton-primo.hosted.exlibrisgroup.com/primo-explore/search?tab=default_tab&amp;search_scope=EVERYTHING&amp;vid=01CRU&amp;lang=en_US&amp;offset=0&amp;query=any,contains,991005099039702656","Catalog Record")</f>
        <v>Catalog Record</v>
      </c>
      <c r="AT914" s="6" t="str">
        <f>HYPERLINK("http://www.worldcat.org/oclc/7278520","WorldCat Record")</f>
        <v>WorldCat Record</v>
      </c>
      <c r="AU914" s="3" t="s">
        <v>11453</v>
      </c>
      <c r="AV914" s="3" t="s">
        <v>11454</v>
      </c>
      <c r="AW914" s="3" t="s">
        <v>11455</v>
      </c>
      <c r="AX914" s="3" t="s">
        <v>11455</v>
      </c>
      <c r="AY914" s="3" t="s">
        <v>11456</v>
      </c>
      <c r="AZ914" s="3" t="s">
        <v>75</v>
      </c>
      <c r="BB914" s="3" t="s">
        <v>11457</v>
      </c>
      <c r="BC914" s="3" t="s">
        <v>11458</v>
      </c>
      <c r="BD914" s="3" t="s">
        <v>11459</v>
      </c>
    </row>
    <row r="915" spans="1:56" ht="48" customHeight="1" x14ac:dyDescent="0.25">
      <c r="A915" s="7" t="s">
        <v>59</v>
      </c>
      <c r="B915" s="2" t="s">
        <v>11460</v>
      </c>
      <c r="C915" s="2" t="s">
        <v>11461</v>
      </c>
      <c r="D915" s="2" t="s">
        <v>11462</v>
      </c>
      <c r="F915" s="3" t="s">
        <v>59</v>
      </c>
      <c r="G915" s="3" t="s">
        <v>60</v>
      </c>
      <c r="H915" s="3" t="s">
        <v>59</v>
      </c>
      <c r="I915" s="3" t="s">
        <v>59</v>
      </c>
      <c r="J915" s="3" t="s">
        <v>61</v>
      </c>
      <c r="L915" s="2" t="s">
        <v>11463</v>
      </c>
      <c r="M915" s="3" t="s">
        <v>219</v>
      </c>
      <c r="O915" s="3" t="s">
        <v>64</v>
      </c>
      <c r="P915" s="3" t="s">
        <v>912</v>
      </c>
      <c r="R915" s="3" t="s">
        <v>67</v>
      </c>
      <c r="S915" s="4">
        <v>10</v>
      </c>
      <c r="T915" s="4">
        <v>10</v>
      </c>
      <c r="U915" s="5" t="s">
        <v>11464</v>
      </c>
      <c r="V915" s="5" t="s">
        <v>11464</v>
      </c>
      <c r="W915" s="5" t="s">
        <v>11465</v>
      </c>
      <c r="X915" s="5" t="s">
        <v>11465</v>
      </c>
      <c r="Y915" s="4">
        <v>146</v>
      </c>
      <c r="Z915" s="4">
        <v>124</v>
      </c>
      <c r="AA915" s="4">
        <v>126</v>
      </c>
      <c r="AB915" s="4">
        <v>2</v>
      </c>
      <c r="AC915" s="4">
        <v>2</v>
      </c>
      <c r="AD915" s="4">
        <v>5</v>
      </c>
      <c r="AE915" s="4">
        <v>5</v>
      </c>
      <c r="AF915" s="4">
        <v>2</v>
      </c>
      <c r="AG915" s="4">
        <v>2</v>
      </c>
      <c r="AH915" s="4">
        <v>1</v>
      </c>
      <c r="AI915" s="4">
        <v>1</v>
      </c>
      <c r="AJ915" s="4">
        <v>1</v>
      </c>
      <c r="AK915" s="4">
        <v>1</v>
      </c>
      <c r="AL915" s="4">
        <v>1</v>
      </c>
      <c r="AM915" s="4">
        <v>1</v>
      </c>
      <c r="AN915" s="4">
        <v>0</v>
      </c>
      <c r="AO915" s="4">
        <v>0</v>
      </c>
      <c r="AP915" s="3" t="s">
        <v>59</v>
      </c>
      <c r="AQ915" s="3" t="s">
        <v>59</v>
      </c>
      <c r="AS915" s="6" t="str">
        <f>HYPERLINK("https://creighton-primo.hosted.exlibrisgroup.com/primo-explore/search?tab=default_tab&amp;search_scope=EVERYTHING&amp;vid=01CRU&amp;lang=en_US&amp;offset=0&amp;query=any,contains,991001643359702656","Catalog Record")</f>
        <v>Catalog Record</v>
      </c>
      <c r="AT915" s="6" t="str">
        <f>HYPERLINK("http://www.worldcat.org/oclc/21038639","WorldCat Record")</f>
        <v>WorldCat Record</v>
      </c>
      <c r="AU915" s="3" t="s">
        <v>11466</v>
      </c>
      <c r="AV915" s="3" t="s">
        <v>11467</v>
      </c>
      <c r="AW915" s="3" t="s">
        <v>11468</v>
      </c>
      <c r="AX915" s="3" t="s">
        <v>11468</v>
      </c>
      <c r="AY915" s="3" t="s">
        <v>11469</v>
      </c>
      <c r="AZ915" s="3" t="s">
        <v>75</v>
      </c>
      <c r="BB915" s="3" t="s">
        <v>11470</v>
      </c>
      <c r="BC915" s="3" t="s">
        <v>11471</v>
      </c>
      <c r="BD915" s="3" t="s">
        <v>11472</v>
      </c>
    </row>
    <row r="916" spans="1:56" ht="48" customHeight="1" x14ac:dyDescent="0.25">
      <c r="A916" s="7" t="s">
        <v>59</v>
      </c>
      <c r="B916" s="2" t="s">
        <v>11473</v>
      </c>
      <c r="C916" s="2" t="s">
        <v>11474</v>
      </c>
      <c r="D916" s="2" t="s">
        <v>11475</v>
      </c>
      <c r="F916" s="3" t="s">
        <v>59</v>
      </c>
      <c r="G916" s="3" t="s">
        <v>60</v>
      </c>
      <c r="H916" s="3" t="s">
        <v>59</v>
      </c>
      <c r="I916" s="3" t="s">
        <v>59</v>
      </c>
      <c r="J916" s="3" t="s">
        <v>61</v>
      </c>
      <c r="K916" s="2" t="s">
        <v>11476</v>
      </c>
      <c r="L916" s="2" t="s">
        <v>11477</v>
      </c>
      <c r="M916" s="3" t="s">
        <v>11478</v>
      </c>
      <c r="O916" s="3" t="s">
        <v>64</v>
      </c>
      <c r="P916" s="3" t="s">
        <v>278</v>
      </c>
      <c r="R916" s="3" t="s">
        <v>67</v>
      </c>
      <c r="S916" s="4">
        <v>5</v>
      </c>
      <c r="T916" s="4">
        <v>5</v>
      </c>
      <c r="U916" s="5" t="s">
        <v>11479</v>
      </c>
      <c r="V916" s="5" t="s">
        <v>11479</v>
      </c>
      <c r="W916" s="5" t="s">
        <v>11480</v>
      </c>
      <c r="X916" s="5" t="s">
        <v>11480</v>
      </c>
      <c r="Y916" s="4">
        <v>51</v>
      </c>
      <c r="Z916" s="4">
        <v>46</v>
      </c>
      <c r="AA916" s="4">
        <v>448</v>
      </c>
      <c r="AB916" s="4">
        <v>1</v>
      </c>
      <c r="AC916" s="4">
        <v>7</v>
      </c>
      <c r="AD916" s="4">
        <v>3</v>
      </c>
      <c r="AE916" s="4">
        <v>26</v>
      </c>
      <c r="AF916" s="4">
        <v>1</v>
      </c>
      <c r="AG916" s="4">
        <v>9</v>
      </c>
      <c r="AH916" s="4">
        <v>0</v>
      </c>
      <c r="AI916" s="4">
        <v>6</v>
      </c>
      <c r="AJ916" s="4">
        <v>3</v>
      </c>
      <c r="AK916" s="4">
        <v>12</v>
      </c>
      <c r="AL916" s="4">
        <v>0</v>
      </c>
      <c r="AM916" s="4">
        <v>5</v>
      </c>
      <c r="AN916" s="4">
        <v>0</v>
      </c>
      <c r="AO916" s="4">
        <v>0</v>
      </c>
      <c r="AP916" s="3" t="s">
        <v>59</v>
      </c>
      <c r="AQ916" s="3" t="s">
        <v>59</v>
      </c>
      <c r="AS916" s="6" t="str">
        <f>HYPERLINK("https://creighton-primo.hosted.exlibrisgroup.com/primo-explore/search?tab=default_tab&amp;search_scope=EVERYTHING&amp;vid=01CRU&amp;lang=en_US&amp;offset=0&amp;query=any,contains,991004763909702656","Catalog Record")</f>
        <v>Catalog Record</v>
      </c>
      <c r="AT916" s="6" t="str">
        <f>HYPERLINK("http://www.worldcat.org/oclc/5020509","WorldCat Record")</f>
        <v>WorldCat Record</v>
      </c>
      <c r="AU916" s="3" t="s">
        <v>11481</v>
      </c>
      <c r="AV916" s="3" t="s">
        <v>11482</v>
      </c>
      <c r="AW916" s="3" t="s">
        <v>11483</v>
      </c>
      <c r="AX916" s="3" t="s">
        <v>11483</v>
      </c>
      <c r="AY916" s="3" t="s">
        <v>11484</v>
      </c>
      <c r="AZ916" s="3" t="s">
        <v>75</v>
      </c>
      <c r="BC916" s="3" t="s">
        <v>11485</v>
      </c>
      <c r="BD916" s="3" t="s">
        <v>11486</v>
      </c>
    </row>
    <row r="917" spans="1:56" ht="48" customHeight="1" x14ac:dyDescent="0.25">
      <c r="A917" s="7" t="s">
        <v>59</v>
      </c>
      <c r="B917" s="2" t="s">
        <v>11487</v>
      </c>
      <c r="C917" s="2" t="s">
        <v>11488</v>
      </c>
      <c r="D917" s="2" t="s">
        <v>11489</v>
      </c>
      <c r="F917" s="3" t="s">
        <v>59</v>
      </c>
      <c r="G917" s="3" t="s">
        <v>60</v>
      </c>
      <c r="H917" s="3" t="s">
        <v>59</v>
      </c>
      <c r="I917" s="3" t="s">
        <v>59</v>
      </c>
      <c r="J917" s="3" t="s">
        <v>61</v>
      </c>
      <c r="K917" s="2" t="s">
        <v>11490</v>
      </c>
      <c r="L917" s="2" t="s">
        <v>8139</v>
      </c>
      <c r="M917" s="3" t="s">
        <v>604</v>
      </c>
      <c r="O917" s="3" t="s">
        <v>64</v>
      </c>
      <c r="P917" s="3" t="s">
        <v>84</v>
      </c>
      <c r="Q917" s="2" t="s">
        <v>11491</v>
      </c>
      <c r="R917" s="3" t="s">
        <v>67</v>
      </c>
      <c r="S917" s="4">
        <v>13</v>
      </c>
      <c r="T917" s="4">
        <v>13</v>
      </c>
      <c r="U917" s="5" t="s">
        <v>11492</v>
      </c>
      <c r="V917" s="5" t="s">
        <v>11492</v>
      </c>
      <c r="W917" s="5" t="s">
        <v>11493</v>
      </c>
      <c r="X917" s="5" t="s">
        <v>11493</v>
      </c>
      <c r="Y917" s="4">
        <v>441</v>
      </c>
      <c r="Z917" s="4">
        <v>327</v>
      </c>
      <c r="AA917" s="4">
        <v>343</v>
      </c>
      <c r="AB917" s="4">
        <v>4</v>
      </c>
      <c r="AC917" s="4">
        <v>4</v>
      </c>
      <c r="AD917" s="4">
        <v>16</v>
      </c>
      <c r="AE917" s="4">
        <v>17</v>
      </c>
      <c r="AF917" s="4">
        <v>5</v>
      </c>
      <c r="AG917" s="4">
        <v>6</v>
      </c>
      <c r="AH917" s="4">
        <v>3</v>
      </c>
      <c r="AI917" s="4">
        <v>3</v>
      </c>
      <c r="AJ917" s="4">
        <v>7</v>
      </c>
      <c r="AK917" s="4">
        <v>8</v>
      </c>
      <c r="AL917" s="4">
        <v>3</v>
      </c>
      <c r="AM917" s="4">
        <v>3</v>
      </c>
      <c r="AN917" s="4">
        <v>0</v>
      </c>
      <c r="AO917" s="4">
        <v>0</v>
      </c>
      <c r="AP917" s="3" t="s">
        <v>59</v>
      </c>
      <c r="AQ917" s="3" t="s">
        <v>59</v>
      </c>
      <c r="AS917" s="6" t="str">
        <f>HYPERLINK("https://creighton-primo.hosted.exlibrisgroup.com/primo-explore/search?tab=default_tab&amp;search_scope=EVERYTHING&amp;vid=01CRU&amp;lang=en_US&amp;offset=0&amp;query=any,contains,991002318259702656","Catalog Record")</f>
        <v>Catalog Record</v>
      </c>
      <c r="AT917" s="6" t="str">
        <f>HYPERLINK("http://www.worldcat.org/oclc/30074869","WorldCat Record")</f>
        <v>WorldCat Record</v>
      </c>
      <c r="AU917" s="3" t="s">
        <v>11494</v>
      </c>
      <c r="AV917" s="3" t="s">
        <v>11495</v>
      </c>
      <c r="AW917" s="3" t="s">
        <v>11496</v>
      </c>
      <c r="AX917" s="3" t="s">
        <v>11496</v>
      </c>
      <c r="AY917" s="3" t="s">
        <v>11497</v>
      </c>
      <c r="AZ917" s="3" t="s">
        <v>75</v>
      </c>
      <c r="BB917" s="3" t="s">
        <v>11498</v>
      </c>
      <c r="BC917" s="3" t="s">
        <v>11499</v>
      </c>
      <c r="BD917" s="3" t="s">
        <v>11500</v>
      </c>
    </row>
    <row r="918" spans="1:56" ht="48" customHeight="1" x14ac:dyDescent="0.25">
      <c r="A918" s="7" t="s">
        <v>59</v>
      </c>
      <c r="B918" s="2" t="s">
        <v>11501</v>
      </c>
      <c r="C918" s="2" t="s">
        <v>11502</v>
      </c>
      <c r="D918" s="2" t="s">
        <v>11503</v>
      </c>
      <c r="F918" s="3" t="s">
        <v>59</v>
      </c>
      <c r="G918" s="3" t="s">
        <v>60</v>
      </c>
      <c r="H918" s="3" t="s">
        <v>59</v>
      </c>
      <c r="I918" s="3" t="s">
        <v>59</v>
      </c>
      <c r="J918" s="3" t="s">
        <v>61</v>
      </c>
      <c r="L918" s="2" t="s">
        <v>11504</v>
      </c>
      <c r="M918" s="3" t="s">
        <v>363</v>
      </c>
      <c r="O918" s="3" t="s">
        <v>64</v>
      </c>
      <c r="P918" s="3" t="s">
        <v>130</v>
      </c>
      <c r="R918" s="3" t="s">
        <v>67</v>
      </c>
      <c r="S918" s="4">
        <v>1</v>
      </c>
      <c r="T918" s="4">
        <v>1</v>
      </c>
      <c r="U918" s="5" t="s">
        <v>11505</v>
      </c>
      <c r="V918" s="5" t="s">
        <v>11505</v>
      </c>
      <c r="W918" s="5" t="s">
        <v>10626</v>
      </c>
      <c r="X918" s="5" t="s">
        <v>10626</v>
      </c>
      <c r="Y918" s="4">
        <v>174</v>
      </c>
      <c r="Z918" s="4">
        <v>158</v>
      </c>
      <c r="AA918" s="4">
        <v>160</v>
      </c>
      <c r="AB918" s="4">
        <v>4</v>
      </c>
      <c r="AC918" s="4">
        <v>4</v>
      </c>
      <c r="AD918" s="4">
        <v>8</v>
      </c>
      <c r="AE918" s="4">
        <v>8</v>
      </c>
      <c r="AF918" s="4">
        <v>4</v>
      </c>
      <c r="AG918" s="4">
        <v>4</v>
      </c>
      <c r="AH918" s="4">
        <v>1</v>
      </c>
      <c r="AI918" s="4">
        <v>1</v>
      </c>
      <c r="AJ918" s="4">
        <v>2</v>
      </c>
      <c r="AK918" s="4">
        <v>2</v>
      </c>
      <c r="AL918" s="4">
        <v>3</v>
      </c>
      <c r="AM918" s="4">
        <v>3</v>
      </c>
      <c r="AN918" s="4">
        <v>0</v>
      </c>
      <c r="AO918" s="4">
        <v>0</v>
      </c>
      <c r="AP918" s="3" t="s">
        <v>59</v>
      </c>
      <c r="AQ918" s="3" t="s">
        <v>70</v>
      </c>
      <c r="AR918" s="6" t="str">
        <f>HYPERLINK("http://catalog.hathitrust.org/Record/006254630","HathiTrust Record")</f>
        <v>HathiTrust Record</v>
      </c>
      <c r="AS918" s="6" t="str">
        <f>HYPERLINK("https://creighton-primo.hosted.exlibrisgroup.com/primo-explore/search?tab=default_tab&amp;search_scope=EVERYTHING&amp;vid=01CRU&amp;lang=en_US&amp;offset=0&amp;query=any,contains,991000068689702656","Catalog Record")</f>
        <v>Catalog Record</v>
      </c>
      <c r="AT918" s="6" t="str">
        <f>HYPERLINK("http://www.worldcat.org/oclc/8765867","WorldCat Record")</f>
        <v>WorldCat Record</v>
      </c>
      <c r="AU918" s="3" t="s">
        <v>11506</v>
      </c>
      <c r="AV918" s="3" t="s">
        <v>11507</v>
      </c>
      <c r="AW918" s="3" t="s">
        <v>11508</v>
      </c>
      <c r="AX918" s="3" t="s">
        <v>11508</v>
      </c>
      <c r="AY918" s="3" t="s">
        <v>11509</v>
      </c>
      <c r="AZ918" s="3" t="s">
        <v>75</v>
      </c>
      <c r="BB918" s="3" t="s">
        <v>11510</v>
      </c>
      <c r="BC918" s="3" t="s">
        <v>11511</v>
      </c>
      <c r="BD918" s="3" t="s">
        <v>11512</v>
      </c>
    </row>
    <row r="919" spans="1:56" ht="48" customHeight="1" x14ac:dyDescent="0.25">
      <c r="A919" s="7" t="s">
        <v>59</v>
      </c>
      <c r="B919" s="2" t="s">
        <v>11513</v>
      </c>
      <c r="C919" s="2" t="s">
        <v>11514</v>
      </c>
      <c r="D919" s="2" t="s">
        <v>11515</v>
      </c>
      <c r="F919" s="3" t="s">
        <v>59</v>
      </c>
      <c r="G919" s="3" t="s">
        <v>60</v>
      </c>
      <c r="H919" s="3" t="s">
        <v>59</v>
      </c>
      <c r="I919" s="3" t="s">
        <v>59</v>
      </c>
      <c r="J919" s="3" t="s">
        <v>61</v>
      </c>
      <c r="K919" s="2" t="s">
        <v>11516</v>
      </c>
      <c r="L919" s="2" t="s">
        <v>11517</v>
      </c>
      <c r="M919" s="3" t="s">
        <v>519</v>
      </c>
      <c r="O919" s="3" t="s">
        <v>64</v>
      </c>
      <c r="P919" s="3" t="s">
        <v>84</v>
      </c>
      <c r="R919" s="3" t="s">
        <v>67</v>
      </c>
      <c r="S919" s="4">
        <v>20</v>
      </c>
      <c r="T919" s="4">
        <v>20</v>
      </c>
      <c r="U919" s="5" t="s">
        <v>11347</v>
      </c>
      <c r="V919" s="5" t="s">
        <v>11347</v>
      </c>
      <c r="W919" s="5" t="s">
        <v>1523</v>
      </c>
      <c r="X919" s="5" t="s">
        <v>1523</v>
      </c>
      <c r="Y919" s="4">
        <v>321</v>
      </c>
      <c r="Z919" s="4">
        <v>239</v>
      </c>
      <c r="AA919" s="4">
        <v>262</v>
      </c>
      <c r="AB919" s="4">
        <v>3</v>
      </c>
      <c r="AC919" s="4">
        <v>3</v>
      </c>
      <c r="AD919" s="4">
        <v>12</v>
      </c>
      <c r="AE919" s="4">
        <v>12</v>
      </c>
      <c r="AF919" s="4">
        <v>3</v>
      </c>
      <c r="AG919" s="4">
        <v>3</v>
      </c>
      <c r="AH919" s="4">
        <v>3</v>
      </c>
      <c r="AI919" s="4">
        <v>3</v>
      </c>
      <c r="AJ919" s="4">
        <v>6</v>
      </c>
      <c r="AK919" s="4">
        <v>6</v>
      </c>
      <c r="AL919" s="4">
        <v>2</v>
      </c>
      <c r="AM919" s="4">
        <v>2</v>
      </c>
      <c r="AN919" s="4">
        <v>0</v>
      </c>
      <c r="AO919" s="4">
        <v>0</v>
      </c>
      <c r="AP919" s="3" t="s">
        <v>59</v>
      </c>
      <c r="AQ919" s="3" t="s">
        <v>59</v>
      </c>
      <c r="AS919" s="6" t="str">
        <f>HYPERLINK("https://creighton-primo.hosted.exlibrisgroup.com/primo-explore/search?tab=default_tab&amp;search_scope=EVERYTHING&amp;vid=01CRU&amp;lang=en_US&amp;offset=0&amp;query=any,contains,991002138939702656","Catalog Record")</f>
        <v>Catalog Record</v>
      </c>
      <c r="AT919" s="6" t="str">
        <f>HYPERLINK("http://www.worldcat.org/oclc/27430412","WorldCat Record")</f>
        <v>WorldCat Record</v>
      </c>
      <c r="AU919" s="3" t="s">
        <v>11518</v>
      </c>
      <c r="AV919" s="3" t="s">
        <v>11519</v>
      </c>
      <c r="AW919" s="3" t="s">
        <v>11520</v>
      </c>
      <c r="AX919" s="3" t="s">
        <v>11520</v>
      </c>
      <c r="AY919" s="3" t="s">
        <v>11521</v>
      </c>
      <c r="AZ919" s="3" t="s">
        <v>75</v>
      </c>
      <c r="BB919" s="3" t="s">
        <v>11522</v>
      </c>
      <c r="BC919" s="3" t="s">
        <v>11523</v>
      </c>
      <c r="BD919" s="3" t="s">
        <v>11524</v>
      </c>
    </row>
    <row r="920" spans="1:56" ht="48" customHeight="1" x14ac:dyDescent="0.25">
      <c r="A920" s="7" t="s">
        <v>59</v>
      </c>
      <c r="B920" s="2" t="s">
        <v>11525</v>
      </c>
      <c r="C920" s="2" t="s">
        <v>11526</v>
      </c>
      <c r="D920" s="2" t="s">
        <v>11527</v>
      </c>
      <c r="F920" s="3" t="s">
        <v>59</v>
      </c>
      <c r="G920" s="3" t="s">
        <v>60</v>
      </c>
      <c r="H920" s="3" t="s">
        <v>59</v>
      </c>
      <c r="I920" s="3" t="s">
        <v>59</v>
      </c>
      <c r="J920" s="3" t="s">
        <v>61</v>
      </c>
      <c r="K920" s="2" t="s">
        <v>11528</v>
      </c>
      <c r="L920" s="2" t="s">
        <v>11529</v>
      </c>
      <c r="M920" s="3" t="s">
        <v>63</v>
      </c>
      <c r="O920" s="3" t="s">
        <v>64</v>
      </c>
      <c r="P920" s="3" t="s">
        <v>130</v>
      </c>
      <c r="Q920" s="2" t="s">
        <v>11530</v>
      </c>
      <c r="R920" s="3" t="s">
        <v>67</v>
      </c>
      <c r="S920" s="4">
        <v>1</v>
      </c>
      <c r="T920" s="4">
        <v>1</v>
      </c>
      <c r="U920" s="5" t="s">
        <v>6529</v>
      </c>
      <c r="V920" s="5" t="s">
        <v>6529</v>
      </c>
      <c r="W920" s="5" t="s">
        <v>6264</v>
      </c>
      <c r="X920" s="5" t="s">
        <v>6264</v>
      </c>
      <c r="Y920" s="4">
        <v>374</v>
      </c>
      <c r="Z920" s="4">
        <v>354</v>
      </c>
      <c r="AA920" s="4">
        <v>472</v>
      </c>
      <c r="AB920" s="4">
        <v>3</v>
      </c>
      <c r="AC920" s="4">
        <v>4</v>
      </c>
      <c r="AD920" s="4">
        <v>16</v>
      </c>
      <c r="AE920" s="4">
        <v>22</v>
      </c>
      <c r="AF920" s="4">
        <v>6</v>
      </c>
      <c r="AG920" s="4">
        <v>8</v>
      </c>
      <c r="AH920" s="4">
        <v>4</v>
      </c>
      <c r="AI920" s="4">
        <v>5</v>
      </c>
      <c r="AJ920" s="4">
        <v>8</v>
      </c>
      <c r="AK920" s="4">
        <v>11</v>
      </c>
      <c r="AL920" s="4">
        <v>2</v>
      </c>
      <c r="AM920" s="4">
        <v>3</v>
      </c>
      <c r="AN920" s="4">
        <v>0</v>
      </c>
      <c r="AO920" s="4">
        <v>0</v>
      </c>
      <c r="AP920" s="3" t="s">
        <v>59</v>
      </c>
      <c r="AQ920" s="3" t="s">
        <v>70</v>
      </c>
      <c r="AR920" s="6" t="str">
        <f>HYPERLINK("http://catalog.hathitrust.org/Record/000157668","HathiTrust Record")</f>
        <v>HathiTrust Record</v>
      </c>
      <c r="AS920" s="6" t="str">
        <f>HYPERLINK("https://creighton-primo.hosted.exlibrisgroup.com/primo-explore/search?tab=default_tab&amp;search_scope=EVERYTHING&amp;vid=01CRU&amp;lang=en_US&amp;offset=0&amp;query=any,contains,991004334189702656","Catalog Record")</f>
        <v>Catalog Record</v>
      </c>
      <c r="AT920" s="6" t="str">
        <f>HYPERLINK("http://www.worldcat.org/oclc/3071754","WorldCat Record")</f>
        <v>WorldCat Record</v>
      </c>
      <c r="AU920" s="3" t="s">
        <v>11531</v>
      </c>
      <c r="AV920" s="3" t="s">
        <v>11532</v>
      </c>
      <c r="AW920" s="3" t="s">
        <v>11533</v>
      </c>
      <c r="AX920" s="3" t="s">
        <v>11533</v>
      </c>
      <c r="AY920" s="3" t="s">
        <v>11534</v>
      </c>
      <c r="AZ920" s="3" t="s">
        <v>75</v>
      </c>
      <c r="BB920" s="3" t="s">
        <v>11535</v>
      </c>
      <c r="BC920" s="3" t="s">
        <v>11536</v>
      </c>
      <c r="BD920" s="3" t="s">
        <v>11537</v>
      </c>
    </row>
    <row r="921" spans="1:56" ht="48" customHeight="1" x14ac:dyDescent="0.25">
      <c r="A921" s="7" t="s">
        <v>59</v>
      </c>
      <c r="B921" s="2" t="s">
        <v>11538</v>
      </c>
      <c r="C921" s="2" t="s">
        <v>11539</v>
      </c>
      <c r="D921" s="2" t="s">
        <v>11540</v>
      </c>
      <c r="F921" s="3" t="s">
        <v>59</v>
      </c>
      <c r="G921" s="3" t="s">
        <v>60</v>
      </c>
      <c r="H921" s="3" t="s">
        <v>59</v>
      </c>
      <c r="I921" s="3" t="s">
        <v>59</v>
      </c>
      <c r="J921" s="3" t="s">
        <v>61</v>
      </c>
      <c r="K921" s="2" t="s">
        <v>11541</v>
      </c>
      <c r="L921" s="2" t="s">
        <v>11542</v>
      </c>
      <c r="M921" s="3" t="s">
        <v>161</v>
      </c>
      <c r="O921" s="3" t="s">
        <v>64</v>
      </c>
      <c r="P921" s="3" t="s">
        <v>130</v>
      </c>
      <c r="R921" s="3" t="s">
        <v>67</v>
      </c>
      <c r="S921" s="4">
        <v>1</v>
      </c>
      <c r="T921" s="4">
        <v>1</v>
      </c>
      <c r="U921" s="5" t="s">
        <v>4398</v>
      </c>
      <c r="V921" s="5" t="s">
        <v>4398</v>
      </c>
      <c r="W921" s="5" t="s">
        <v>148</v>
      </c>
      <c r="X921" s="5" t="s">
        <v>148</v>
      </c>
      <c r="Y921" s="4">
        <v>218</v>
      </c>
      <c r="Z921" s="4">
        <v>158</v>
      </c>
      <c r="AA921" s="4">
        <v>160</v>
      </c>
      <c r="AB921" s="4">
        <v>2</v>
      </c>
      <c r="AC921" s="4">
        <v>2</v>
      </c>
      <c r="AD921" s="4">
        <v>3</v>
      </c>
      <c r="AE921" s="4">
        <v>3</v>
      </c>
      <c r="AF921" s="4">
        <v>0</v>
      </c>
      <c r="AG921" s="4">
        <v>0</v>
      </c>
      <c r="AH921" s="4">
        <v>0</v>
      </c>
      <c r="AI921" s="4">
        <v>0</v>
      </c>
      <c r="AJ921" s="4">
        <v>2</v>
      </c>
      <c r="AK921" s="4">
        <v>2</v>
      </c>
      <c r="AL921" s="4">
        <v>1</v>
      </c>
      <c r="AM921" s="4">
        <v>1</v>
      </c>
      <c r="AN921" s="4">
        <v>0</v>
      </c>
      <c r="AO921" s="4">
        <v>0</v>
      </c>
      <c r="AP921" s="3" t="s">
        <v>59</v>
      </c>
      <c r="AQ921" s="3" t="s">
        <v>70</v>
      </c>
      <c r="AR921" s="6" t="str">
        <f>HYPERLINK("http://catalog.hathitrust.org/Record/000227492","HathiTrust Record")</f>
        <v>HathiTrust Record</v>
      </c>
      <c r="AS921" s="6" t="str">
        <f>HYPERLINK("https://creighton-primo.hosted.exlibrisgroup.com/primo-explore/search?tab=default_tab&amp;search_scope=EVERYTHING&amp;vid=01CRU&amp;lang=en_US&amp;offset=0&amp;query=any,contains,991004984059702656","Catalog Record")</f>
        <v>Catalog Record</v>
      </c>
      <c r="AT921" s="6" t="str">
        <f>HYPERLINK("http://www.worldcat.org/oclc/6446604","WorldCat Record")</f>
        <v>WorldCat Record</v>
      </c>
      <c r="AU921" s="3" t="s">
        <v>11543</v>
      </c>
      <c r="AV921" s="3" t="s">
        <v>11544</v>
      </c>
      <c r="AW921" s="3" t="s">
        <v>11545</v>
      </c>
      <c r="AX921" s="3" t="s">
        <v>11545</v>
      </c>
      <c r="AY921" s="3" t="s">
        <v>11546</v>
      </c>
      <c r="AZ921" s="3" t="s">
        <v>75</v>
      </c>
      <c r="BB921" s="3" t="s">
        <v>11547</v>
      </c>
      <c r="BC921" s="3" t="s">
        <v>11548</v>
      </c>
      <c r="BD921" s="3" t="s">
        <v>11549</v>
      </c>
    </row>
    <row r="922" spans="1:56" ht="48" customHeight="1" x14ac:dyDescent="0.25">
      <c r="A922" s="7" t="s">
        <v>59</v>
      </c>
      <c r="B922" s="2" t="s">
        <v>11550</v>
      </c>
      <c r="C922" s="2" t="s">
        <v>11551</v>
      </c>
      <c r="D922" s="2" t="s">
        <v>11552</v>
      </c>
      <c r="F922" s="3" t="s">
        <v>59</v>
      </c>
      <c r="G922" s="3" t="s">
        <v>60</v>
      </c>
      <c r="H922" s="3" t="s">
        <v>59</v>
      </c>
      <c r="I922" s="3" t="s">
        <v>59</v>
      </c>
      <c r="J922" s="3" t="s">
        <v>61</v>
      </c>
      <c r="K922" s="2" t="s">
        <v>11553</v>
      </c>
      <c r="L922" s="2" t="s">
        <v>11554</v>
      </c>
      <c r="M922" s="3" t="s">
        <v>161</v>
      </c>
      <c r="O922" s="3" t="s">
        <v>64</v>
      </c>
      <c r="P922" s="3" t="s">
        <v>674</v>
      </c>
      <c r="R922" s="3" t="s">
        <v>67</v>
      </c>
      <c r="S922" s="4">
        <v>7</v>
      </c>
      <c r="T922" s="4">
        <v>7</v>
      </c>
      <c r="U922" s="5" t="s">
        <v>11286</v>
      </c>
      <c r="V922" s="5" t="s">
        <v>11286</v>
      </c>
      <c r="W922" s="5" t="s">
        <v>5893</v>
      </c>
      <c r="X922" s="5" t="s">
        <v>5893</v>
      </c>
      <c r="Y922" s="4">
        <v>296</v>
      </c>
      <c r="Z922" s="4">
        <v>250</v>
      </c>
      <c r="AA922" s="4">
        <v>253</v>
      </c>
      <c r="AB922" s="4">
        <v>3</v>
      </c>
      <c r="AC922" s="4">
        <v>3</v>
      </c>
      <c r="AD922" s="4">
        <v>13</v>
      </c>
      <c r="AE922" s="4">
        <v>13</v>
      </c>
      <c r="AF922" s="4">
        <v>4</v>
      </c>
      <c r="AG922" s="4">
        <v>4</v>
      </c>
      <c r="AH922" s="4">
        <v>2</v>
      </c>
      <c r="AI922" s="4">
        <v>2</v>
      </c>
      <c r="AJ922" s="4">
        <v>7</v>
      </c>
      <c r="AK922" s="4">
        <v>7</v>
      </c>
      <c r="AL922" s="4">
        <v>2</v>
      </c>
      <c r="AM922" s="4">
        <v>2</v>
      </c>
      <c r="AN922" s="4">
        <v>0</v>
      </c>
      <c r="AO922" s="4">
        <v>0</v>
      </c>
      <c r="AP922" s="3" t="s">
        <v>59</v>
      </c>
      <c r="AQ922" s="3" t="s">
        <v>70</v>
      </c>
      <c r="AR922" s="6" t="str">
        <f>HYPERLINK("http://catalog.hathitrust.org/Record/003869777","HathiTrust Record")</f>
        <v>HathiTrust Record</v>
      </c>
      <c r="AS922" s="6" t="str">
        <f>HYPERLINK("https://creighton-primo.hosted.exlibrisgroup.com/primo-explore/search?tab=default_tab&amp;search_scope=EVERYTHING&amp;vid=01CRU&amp;lang=en_US&amp;offset=0&amp;query=any,contains,991004864339702656","Catalog Record")</f>
        <v>Catalog Record</v>
      </c>
      <c r="AT922" s="6" t="str">
        <f>HYPERLINK("http://www.worldcat.org/oclc/5726080","WorldCat Record")</f>
        <v>WorldCat Record</v>
      </c>
      <c r="AU922" s="3" t="s">
        <v>11555</v>
      </c>
      <c r="AV922" s="3" t="s">
        <v>11556</v>
      </c>
      <c r="AW922" s="3" t="s">
        <v>11557</v>
      </c>
      <c r="AX922" s="3" t="s">
        <v>11557</v>
      </c>
      <c r="AY922" s="3" t="s">
        <v>11558</v>
      </c>
      <c r="AZ922" s="3" t="s">
        <v>75</v>
      </c>
      <c r="BB922" s="3" t="s">
        <v>11559</v>
      </c>
      <c r="BC922" s="3" t="s">
        <v>11560</v>
      </c>
      <c r="BD922" s="3" t="s">
        <v>11561</v>
      </c>
    </row>
    <row r="923" spans="1:56" ht="48" customHeight="1" x14ac:dyDescent="0.25">
      <c r="A923" s="7" t="s">
        <v>59</v>
      </c>
      <c r="B923" s="2" t="s">
        <v>11562</v>
      </c>
      <c r="C923" s="2" t="s">
        <v>11563</v>
      </c>
      <c r="D923" s="2" t="s">
        <v>11564</v>
      </c>
      <c r="F923" s="3" t="s">
        <v>59</v>
      </c>
      <c r="G923" s="3" t="s">
        <v>60</v>
      </c>
      <c r="H923" s="3" t="s">
        <v>59</v>
      </c>
      <c r="I923" s="3" t="s">
        <v>59</v>
      </c>
      <c r="J923" s="3" t="s">
        <v>61</v>
      </c>
      <c r="L923" s="2" t="s">
        <v>11565</v>
      </c>
      <c r="M923" s="3" t="s">
        <v>333</v>
      </c>
      <c r="O923" s="3" t="s">
        <v>64</v>
      </c>
      <c r="P923" s="3" t="s">
        <v>130</v>
      </c>
      <c r="Q923" s="2" t="s">
        <v>11566</v>
      </c>
      <c r="R923" s="3" t="s">
        <v>67</v>
      </c>
      <c r="S923" s="4">
        <v>9</v>
      </c>
      <c r="T923" s="4">
        <v>9</v>
      </c>
      <c r="U923" s="5" t="s">
        <v>7345</v>
      </c>
      <c r="V923" s="5" t="s">
        <v>7345</v>
      </c>
      <c r="W923" s="5" t="s">
        <v>10443</v>
      </c>
      <c r="X923" s="5" t="s">
        <v>10443</v>
      </c>
      <c r="Y923" s="4">
        <v>150</v>
      </c>
      <c r="Z923" s="4">
        <v>131</v>
      </c>
      <c r="AA923" s="4">
        <v>136</v>
      </c>
      <c r="AB923" s="4">
        <v>1</v>
      </c>
      <c r="AC923" s="4">
        <v>1</v>
      </c>
      <c r="AD923" s="4">
        <v>3</v>
      </c>
      <c r="AE923" s="4">
        <v>4</v>
      </c>
      <c r="AF923" s="4">
        <v>0</v>
      </c>
      <c r="AG923" s="4">
        <v>0</v>
      </c>
      <c r="AH923" s="4">
        <v>1</v>
      </c>
      <c r="AI923" s="4">
        <v>2</v>
      </c>
      <c r="AJ923" s="4">
        <v>2</v>
      </c>
      <c r="AK923" s="4">
        <v>3</v>
      </c>
      <c r="AL923" s="4">
        <v>0</v>
      </c>
      <c r="AM923" s="4">
        <v>0</v>
      </c>
      <c r="AN923" s="4">
        <v>0</v>
      </c>
      <c r="AO923" s="4">
        <v>0</v>
      </c>
      <c r="AP923" s="3" t="s">
        <v>59</v>
      </c>
      <c r="AQ923" s="3" t="s">
        <v>70</v>
      </c>
      <c r="AR923" s="6" t="str">
        <f>HYPERLINK("http://catalog.hathitrust.org/Record/000419324","HathiTrust Record")</f>
        <v>HathiTrust Record</v>
      </c>
      <c r="AS923" s="6" t="str">
        <f>HYPERLINK("https://creighton-primo.hosted.exlibrisgroup.com/primo-explore/search?tab=default_tab&amp;search_scope=EVERYTHING&amp;vid=01CRU&amp;lang=en_US&amp;offset=0&amp;query=any,contains,991000652739702656","Catalog Record")</f>
        <v>Catalog Record</v>
      </c>
      <c r="AT923" s="6" t="str">
        <f>HYPERLINK("http://www.worldcat.org/oclc/12188617","WorldCat Record")</f>
        <v>WorldCat Record</v>
      </c>
      <c r="AU923" s="3" t="s">
        <v>11567</v>
      </c>
      <c r="AV923" s="3" t="s">
        <v>11568</v>
      </c>
      <c r="AW923" s="3" t="s">
        <v>11569</v>
      </c>
      <c r="AX923" s="3" t="s">
        <v>11569</v>
      </c>
      <c r="AY923" s="3" t="s">
        <v>11570</v>
      </c>
      <c r="AZ923" s="3" t="s">
        <v>75</v>
      </c>
      <c r="BB923" s="3" t="s">
        <v>11571</v>
      </c>
      <c r="BC923" s="3" t="s">
        <v>11572</v>
      </c>
      <c r="BD923" s="3" t="s">
        <v>11573</v>
      </c>
    </row>
    <row r="924" spans="1:56" ht="48" customHeight="1" x14ac:dyDescent="0.25">
      <c r="A924" s="7" t="s">
        <v>59</v>
      </c>
      <c r="B924" s="2" t="s">
        <v>11574</v>
      </c>
      <c r="C924" s="2" t="s">
        <v>11575</v>
      </c>
      <c r="D924" s="2" t="s">
        <v>11576</v>
      </c>
      <c r="F924" s="3" t="s">
        <v>59</v>
      </c>
      <c r="G924" s="3" t="s">
        <v>60</v>
      </c>
      <c r="H924" s="3" t="s">
        <v>59</v>
      </c>
      <c r="I924" s="3" t="s">
        <v>59</v>
      </c>
      <c r="J924" s="3" t="s">
        <v>61</v>
      </c>
      <c r="L924" s="2" t="s">
        <v>1688</v>
      </c>
      <c r="M924" s="3" t="s">
        <v>319</v>
      </c>
      <c r="O924" s="3" t="s">
        <v>64</v>
      </c>
      <c r="P924" s="3" t="s">
        <v>191</v>
      </c>
      <c r="R924" s="3" t="s">
        <v>67</v>
      </c>
      <c r="S924" s="4">
        <v>5</v>
      </c>
      <c r="T924" s="4">
        <v>5</v>
      </c>
      <c r="U924" s="5" t="s">
        <v>11505</v>
      </c>
      <c r="V924" s="5" t="s">
        <v>11505</v>
      </c>
      <c r="W924" s="5" t="s">
        <v>5893</v>
      </c>
      <c r="X924" s="5" t="s">
        <v>5893</v>
      </c>
      <c r="Y924" s="4">
        <v>222</v>
      </c>
      <c r="Z924" s="4">
        <v>185</v>
      </c>
      <c r="AA924" s="4">
        <v>231</v>
      </c>
      <c r="AB924" s="4">
        <v>3</v>
      </c>
      <c r="AC924" s="4">
        <v>3</v>
      </c>
      <c r="AD924" s="4">
        <v>6</v>
      </c>
      <c r="AE924" s="4">
        <v>9</v>
      </c>
      <c r="AF924" s="4">
        <v>0</v>
      </c>
      <c r="AG924" s="4">
        <v>2</v>
      </c>
      <c r="AH924" s="4">
        <v>2</v>
      </c>
      <c r="AI924" s="4">
        <v>4</v>
      </c>
      <c r="AJ924" s="4">
        <v>3</v>
      </c>
      <c r="AK924" s="4">
        <v>3</v>
      </c>
      <c r="AL924" s="4">
        <v>2</v>
      </c>
      <c r="AM924" s="4">
        <v>2</v>
      </c>
      <c r="AN924" s="4">
        <v>0</v>
      </c>
      <c r="AO924" s="4">
        <v>0</v>
      </c>
      <c r="AP924" s="3" t="s">
        <v>59</v>
      </c>
      <c r="AQ924" s="3" t="s">
        <v>70</v>
      </c>
      <c r="AR924" s="6" t="str">
        <f>HYPERLINK("http://catalog.hathitrust.org/Record/000574802","HathiTrust Record")</f>
        <v>HathiTrust Record</v>
      </c>
      <c r="AS924" s="6" t="str">
        <f>HYPERLINK("https://creighton-primo.hosted.exlibrisgroup.com/primo-explore/search?tab=default_tab&amp;search_scope=EVERYTHING&amp;vid=01CRU&amp;lang=en_US&amp;offset=0&amp;query=any,contains,991000513039702656","Catalog Record")</f>
        <v>Catalog Record</v>
      </c>
      <c r="AT924" s="6" t="str">
        <f>HYPERLINK("http://www.worldcat.org/oclc/11259947","WorldCat Record")</f>
        <v>WorldCat Record</v>
      </c>
      <c r="AU924" s="3" t="s">
        <v>11577</v>
      </c>
      <c r="AV924" s="3" t="s">
        <v>11578</v>
      </c>
      <c r="AW924" s="3" t="s">
        <v>11579</v>
      </c>
      <c r="AX924" s="3" t="s">
        <v>11579</v>
      </c>
      <c r="AY924" s="3" t="s">
        <v>11580</v>
      </c>
      <c r="AZ924" s="3" t="s">
        <v>75</v>
      </c>
      <c r="BB924" s="3" t="s">
        <v>11581</v>
      </c>
      <c r="BC924" s="3" t="s">
        <v>11582</v>
      </c>
      <c r="BD924" s="3" t="s">
        <v>11583</v>
      </c>
    </row>
    <row r="925" spans="1:56" ht="48" customHeight="1" x14ac:dyDescent="0.25">
      <c r="A925" s="7" t="s">
        <v>59</v>
      </c>
      <c r="B925" s="2" t="s">
        <v>11584</v>
      </c>
      <c r="C925" s="2" t="s">
        <v>11585</v>
      </c>
      <c r="D925" s="2" t="s">
        <v>11586</v>
      </c>
      <c r="F925" s="3" t="s">
        <v>59</v>
      </c>
      <c r="G925" s="3" t="s">
        <v>60</v>
      </c>
      <c r="H925" s="3" t="s">
        <v>59</v>
      </c>
      <c r="I925" s="3" t="s">
        <v>59</v>
      </c>
      <c r="J925" s="3" t="s">
        <v>61</v>
      </c>
      <c r="L925" s="2" t="s">
        <v>11587</v>
      </c>
      <c r="M925" s="3" t="s">
        <v>604</v>
      </c>
      <c r="O925" s="3" t="s">
        <v>64</v>
      </c>
      <c r="P925" s="3" t="s">
        <v>191</v>
      </c>
      <c r="R925" s="3" t="s">
        <v>67</v>
      </c>
      <c r="S925" s="4">
        <v>8</v>
      </c>
      <c r="T925" s="4">
        <v>8</v>
      </c>
      <c r="U925" s="5" t="s">
        <v>11588</v>
      </c>
      <c r="V925" s="5" t="s">
        <v>11588</v>
      </c>
      <c r="W925" s="5" t="s">
        <v>11589</v>
      </c>
      <c r="X925" s="5" t="s">
        <v>11589</v>
      </c>
      <c r="Y925" s="4">
        <v>178</v>
      </c>
      <c r="Z925" s="4">
        <v>122</v>
      </c>
      <c r="AA925" s="4">
        <v>151</v>
      </c>
      <c r="AB925" s="4">
        <v>1</v>
      </c>
      <c r="AC925" s="4">
        <v>1</v>
      </c>
      <c r="AD925" s="4">
        <v>6</v>
      </c>
      <c r="AE925" s="4">
        <v>6</v>
      </c>
      <c r="AF925" s="4">
        <v>1</v>
      </c>
      <c r="AG925" s="4">
        <v>1</v>
      </c>
      <c r="AH925" s="4">
        <v>3</v>
      </c>
      <c r="AI925" s="4">
        <v>3</v>
      </c>
      <c r="AJ925" s="4">
        <v>5</v>
      </c>
      <c r="AK925" s="4">
        <v>5</v>
      </c>
      <c r="AL925" s="4">
        <v>0</v>
      </c>
      <c r="AM925" s="4">
        <v>0</v>
      </c>
      <c r="AN925" s="4">
        <v>0</v>
      </c>
      <c r="AO925" s="4">
        <v>0</v>
      </c>
      <c r="AP925" s="3" t="s">
        <v>59</v>
      </c>
      <c r="AQ925" s="3" t="s">
        <v>59</v>
      </c>
      <c r="AS925" s="6" t="str">
        <f>HYPERLINK("https://creighton-primo.hosted.exlibrisgroup.com/primo-explore/search?tab=default_tab&amp;search_scope=EVERYTHING&amp;vid=01CRU&amp;lang=en_US&amp;offset=0&amp;query=any,contains,991002490729702656","Catalog Record")</f>
        <v>Catalog Record</v>
      </c>
      <c r="AT925" s="6" t="str">
        <f>HYPERLINK("http://www.worldcat.org/oclc/32397494","WorldCat Record")</f>
        <v>WorldCat Record</v>
      </c>
      <c r="AU925" s="3" t="s">
        <v>11590</v>
      </c>
      <c r="AV925" s="3" t="s">
        <v>11591</v>
      </c>
      <c r="AW925" s="3" t="s">
        <v>11592</v>
      </c>
      <c r="AX925" s="3" t="s">
        <v>11592</v>
      </c>
      <c r="AY925" s="3" t="s">
        <v>11593</v>
      </c>
      <c r="AZ925" s="3" t="s">
        <v>75</v>
      </c>
      <c r="BB925" s="3" t="s">
        <v>11594</v>
      </c>
      <c r="BC925" s="3" t="s">
        <v>11595</v>
      </c>
      <c r="BD925" s="3" t="s">
        <v>11596</v>
      </c>
    </row>
    <row r="926" spans="1:56" ht="48" customHeight="1" x14ac:dyDescent="0.25">
      <c r="A926" s="7" t="s">
        <v>59</v>
      </c>
      <c r="B926" s="2" t="s">
        <v>11597</v>
      </c>
      <c r="C926" s="2" t="s">
        <v>11598</v>
      </c>
      <c r="D926" s="2" t="s">
        <v>11599</v>
      </c>
      <c r="F926" s="3" t="s">
        <v>59</v>
      </c>
      <c r="G926" s="3" t="s">
        <v>60</v>
      </c>
      <c r="H926" s="3" t="s">
        <v>59</v>
      </c>
      <c r="I926" s="3" t="s">
        <v>59</v>
      </c>
      <c r="J926" s="3" t="s">
        <v>61</v>
      </c>
      <c r="L926" s="2" t="s">
        <v>3216</v>
      </c>
      <c r="M926" s="3" t="s">
        <v>519</v>
      </c>
      <c r="N926" s="2" t="s">
        <v>114</v>
      </c>
      <c r="O926" s="3" t="s">
        <v>64</v>
      </c>
      <c r="P926" s="3" t="s">
        <v>191</v>
      </c>
      <c r="R926" s="3" t="s">
        <v>67</v>
      </c>
      <c r="S926" s="4">
        <v>7</v>
      </c>
      <c r="T926" s="4">
        <v>7</v>
      </c>
      <c r="U926" s="5" t="s">
        <v>11600</v>
      </c>
      <c r="V926" s="5" t="s">
        <v>11600</v>
      </c>
      <c r="W926" s="5" t="s">
        <v>11601</v>
      </c>
      <c r="X926" s="5" t="s">
        <v>11601</v>
      </c>
      <c r="Y926" s="4">
        <v>305</v>
      </c>
      <c r="Z926" s="4">
        <v>226</v>
      </c>
      <c r="AA926" s="4">
        <v>424</v>
      </c>
      <c r="AB926" s="4">
        <v>3</v>
      </c>
      <c r="AC926" s="4">
        <v>3</v>
      </c>
      <c r="AD926" s="4">
        <v>10</v>
      </c>
      <c r="AE926" s="4">
        <v>20</v>
      </c>
      <c r="AF926" s="4">
        <v>3</v>
      </c>
      <c r="AG926" s="4">
        <v>9</v>
      </c>
      <c r="AH926" s="4">
        <v>3</v>
      </c>
      <c r="AI926" s="4">
        <v>5</v>
      </c>
      <c r="AJ926" s="4">
        <v>4</v>
      </c>
      <c r="AK926" s="4">
        <v>10</v>
      </c>
      <c r="AL926" s="4">
        <v>2</v>
      </c>
      <c r="AM926" s="4">
        <v>2</v>
      </c>
      <c r="AN926" s="4">
        <v>0</v>
      </c>
      <c r="AO926" s="4">
        <v>0</v>
      </c>
      <c r="AP926" s="3" t="s">
        <v>59</v>
      </c>
      <c r="AQ926" s="3" t="s">
        <v>70</v>
      </c>
      <c r="AR926" s="6" t="str">
        <f>HYPERLINK("http://catalog.hathitrust.org/Record/002915891","HathiTrust Record")</f>
        <v>HathiTrust Record</v>
      </c>
      <c r="AS926" s="6" t="str">
        <f>HYPERLINK("https://creighton-primo.hosted.exlibrisgroup.com/primo-explore/search?tab=default_tab&amp;search_scope=EVERYTHING&amp;vid=01CRU&amp;lang=en_US&amp;offset=0&amp;query=any,contains,991002270209702656","Catalog Record")</f>
        <v>Catalog Record</v>
      </c>
      <c r="AT926" s="6" t="str">
        <f>HYPERLINK("http://www.worldcat.org/oclc/29466953","WorldCat Record")</f>
        <v>WorldCat Record</v>
      </c>
      <c r="AU926" s="3" t="s">
        <v>11602</v>
      </c>
      <c r="AV926" s="3" t="s">
        <v>11603</v>
      </c>
      <c r="AW926" s="3" t="s">
        <v>11604</v>
      </c>
      <c r="AX926" s="3" t="s">
        <v>11604</v>
      </c>
      <c r="AY926" s="3" t="s">
        <v>11605</v>
      </c>
      <c r="AZ926" s="3" t="s">
        <v>75</v>
      </c>
      <c r="BB926" s="3" t="s">
        <v>11606</v>
      </c>
      <c r="BC926" s="3" t="s">
        <v>11607</v>
      </c>
      <c r="BD926" s="3" t="s">
        <v>11608</v>
      </c>
    </row>
    <row r="927" spans="1:56" ht="48" customHeight="1" x14ac:dyDescent="0.25">
      <c r="A927" s="7" t="s">
        <v>59</v>
      </c>
      <c r="B927" s="2" t="s">
        <v>11609</v>
      </c>
      <c r="C927" s="2" t="s">
        <v>11610</v>
      </c>
      <c r="D927" s="2" t="s">
        <v>11611</v>
      </c>
      <c r="F927" s="3" t="s">
        <v>59</v>
      </c>
      <c r="G927" s="3" t="s">
        <v>60</v>
      </c>
      <c r="H927" s="3" t="s">
        <v>59</v>
      </c>
      <c r="I927" s="3" t="s">
        <v>59</v>
      </c>
      <c r="J927" s="3" t="s">
        <v>61</v>
      </c>
      <c r="K927" s="2" t="s">
        <v>11612</v>
      </c>
      <c r="L927" s="2" t="s">
        <v>11613</v>
      </c>
      <c r="M927" s="3" t="s">
        <v>604</v>
      </c>
      <c r="O927" s="3" t="s">
        <v>64</v>
      </c>
      <c r="P927" s="3" t="s">
        <v>130</v>
      </c>
      <c r="R927" s="3" t="s">
        <v>67</v>
      </c>
      <c r="S927" s="4">
        <v>5</v>
      </c>
      <c r="T927" s="4">
        <v>5</v>
      </c>
      <c r="U927" s="5" t="s">
        <v>11614</v>
      </c>
      <c r="V927" s="5" t="s">
        <v>11614</v>
      </c>
      <c r="W927" s="5" t="s">
        <v>11615</v>
      </c>
      <c r="X927" s="5" t="s">
        <v>11615</v>
      </c>
      <c r="Y927" s="4">
        <v>880</v>
      </c>
      <c r="Z927" s="4">
        <v>751</v>
      </c>
      <c r="AA927" s="4">
        <v>754</v>
      </c>
      <c r="AB927" s="4">
        <v>8</v>
      </c>
      <c r="AC927" s="4">
        <v>8</v>
      </c>
      <c r="AD927" s="4">
        <v>29</v>
      </c>
      <c r="AE927" s="4">
        <v>29</v>
      </c>
      <c r="AF927" s="4">
        <v>9</v>
      </c>
      <c r="AG927" s="4">
        <v>9</v>
      </c>
      <c r="AH927" s="4">
        <v>3</v>
      </c>
      <c r="AI927" s="4">
        <v>3</v>
      </c>
      <c r="AJ927" s="4">
        <v>15</v>
      </c>
      <c r="AK927" s="4">
        <v>15</v>
      </c>
      <c r="AL927" s="4">
        <v>6</v>
      </c>
      <c r="AM927" s="4">
        <v>6</v>
      </c>
      <c r="AN927" s="4">
        <v>0</v>
      </c>
      <c r="AO927" s="4">
        <v>0</v>
      </c>
      <c r="AP927" s="3" t="s">
        <v>59</v>
      </c>
      <c r="AQ927" s="3" t="s">
        <v>59</v>
      </c>
      <c r="AS927" s="6" t="str">
        <f>HYPERLINK("https://creighton-primo.hosted.exlibrisgroup.com/primo-explore/search?tab=default_tab&amp;search_scope=EVERYTHING&amp;vid=01CRU&amp;lang=en_US&amp;offset=0&amp;query=any,contains,991002451159702656","Catalog Record")</f>
        <v>Catalog Record</v>
      </c>
      <c r="AT927" s="6" t="str">
        <f>HYPERLINK("http://www.worldcat.org/oclc/31969925","WorldCat Record")</f>
        <v>WorldCat Record</v>
      </c>
      <c r="AU927" s="3" t="s">
        <v>11616</v>
      </c>
      <c r="AV927" s="3" t="s">
        <v>11617</v>
      </c>
      <c r="AW927" s="3" t="s">
        <v>11618</v>
      </c>
      <c r="AX927" s="3" t="s">
        <v>11618</v>
      </c>
      <c r="AY927" s="3" t="s">
        <v>11619</v>
      </c>
      <c r="AZ927" s="3" t="s">
        <v>75</v>
      </c>
      <c r="BB927" s="3" t="s">
        <v>11620</v>
      </c>
      <c r="BC927" s="3" t="s">
        <v>11621</v>
      </c>
      <c r="BD927" s="3" t="s">
        <v>11622</v>
      </c>
    </row>
    <row r="928" spans="1:56" ht="48" customHeight="1" x14ac:dyDescent="0.25">
      <c r="A928" s="7" t="s">
        <v>59</v>
      </c>
      <c r="B928" s="2" t="s">
        <v>11623</v>
      </c>
      <c r="C928" s="2" t="s">
        <v>11624</v>
      </c>
      <c r="D928" s="2" t="s">
        <v>11625</v>
      </c>
      <c r="F928" s="3" t="s">
        <v>59</v>
      </c>
      <c r="G928" s="3" t="s">
        <v>60</v>
      </c>
      <c r="H928" s="3" t="s">
        <v>59</v>
      </c>
      <c r="I928" s="3" t="s">
        <v>59</v>
      </c>
      <c r="J928" s="3" t="s">
        <v>61</v>
      </c>
      <c r="K928" s="2" t="s">
        <v>2375</v>
      </c>
      <c r="L928" s="2" t="s">
        <v>11626</v>
      </c>
      <c r="M928" s="3" t="s">
        <v>83</v>
      </c>
      <c r="O928" s="3" t="s">
        <v>64</v>
      </c>
      <c r="P928" s="3" t="s">
        <v>674</v>
      </c>
      <c r="R928" s="3" t="s">
        <v>67</v>
      </c>
      <c r="S928" s="4">
        <v>3</v>
      </c>
      <c r="T928" s="4">
        <v>3</v>
      </c>
      <c r="U928" s="5" t="s">
        <v>11627</v>
      </c>
      <c r="V928" s="5" t="s">
        <v>11627</v>
      </c>
      <c r="W928" s="5" t="s">
        <v>11628</v>
      </c>
      <c r="X928" s="5" t="s">
        <v>11628</v>
      </c>
      <c r="Y928" s="4">
        <v>620</v>
      </c>
      <c r="Z928" s="4">
        <v>462</v>
      </c>
      <c r="AA928" s="4">
        <v>464</v>
      </c>
      <c r="AB928" s="4">
        <v>5</v>
      </c>
      <c r="AC928" s="4">
        <v>5</v>
      </c>
      <c r="AD928" s="4">
        <v>23</v>
      </c>
      <c r="AE928" s="4">
        <v>23</v>
      </c>
      <c r="AF928" s="4">
        <v>11</v>
      </c>
      <c r="AG928" s="4">
        <v>11</v>
      </c>
      <c r="AH928" s="4">
        <v>3</v>
      </c>
      <c r="AI928" s="4">
        <v>3</v>
      </c>
      <c r="AJ928" s="4">
        <v>12</v>
      </c>
      <c r="AK928" s="4">
        <v>12</v>
      </c>
      <c r="AL928" s="4">
        <v>4</v>
      </c>
      <c r="AM928" s="4">
        <v>4</v>
      </c>
      <c r="AN928" s="4">
        <v>0</v>
      </c>
      <c r="AO928" s="4">
        <v>0</v>
      </c>
      <c r="AP928" s="3" t="s">
        <v>59</v>
      </c>
      <c r="AQ928" s="3" t="s">
        <v>70</v>
      </c>
      <c r="AR928" s="6" t="str">
        <f>HYPERLINK("http://catalog.hathitrust.org/Record/003140223","HathiTrust Record")</f>
        <v>HathiTrust Record</v>
      </c>
      <c r="AS928" s="6" t="str">
        <f>HYPERLINK("https://creighton-primo.hosted.exlibrisgroup.com/primo-explore/search?tab=default_tab&amp;search_scope=EVERYTHING&amp;vid=01CRU&amp;lang=en_US&amp;offset=0&amp;query=any,contains,991003353359702656","Catalog Record")</f>
        <v>Catalog Record</v>
      </c>
      <c r="AT928" s="6" t="str">
        <f>HYPERLINK("http://www.worldcat.org/oclc/35593580","WorldCat Record")</f>
        <v>WorldCat Record</v>
      </c>
      <c r="AU928" s="3" t="s">
        <v>11629</v>
      </c>
      <c r="AV928" s="3" t="s">
        <v>11630</v>
      </c>
      <c r="AW928" s="3" t="s">
        <v>11631</v>
      </c>
      <c r="AX928" s="3" t="s">
        <v>11631</v>
      </c>
      <c r="AY928" s="3" t="s">
        <v>11632</v>
      </c>
      <c r="AZ928" s="3" t="s">
        <v>75</v>
      </c>
      <c r="BB928" s="3" t="s">
        <v>11633</v>
      </c>
      <c r="BC928" s="3" t="s">
        <v>11634</v>
      </c>
      <c r="BD928" s="3" t="s">
        <v>11635</v>
      </c>
    </row>
    <row r="929" spans="1:56" ht="48" customHeight="1" x14ac:dyDescent="0.25">
      <c r="A929" s="7" t="s">
        <v>59</v>
      </c>
      <c r="B929" s="2" t="s">
        <v>11636</v>
      </c>
      <c r="C929" s="2" t="s">
        <v>11637</v>
      </c>
      <c r="D929" s="2" t="s">
        <v>11638</v>
      </c>
      <c r="F929" s="3" t="s">
        <v>59</v>
      </c>
      <c r="G929" s="3" t="s">
        <v>60</v>
      </c>
      <c r="H929" s="3" t="s">
        <v>59</v>
      </c>
      <c r="I929" s="3" t="s">
        <v>59</v>
      </c>
      <c r="J929" s="3" t="s">
        <v>61</v>
      </c>
      <c r="K929" s="2" t="s">
        <v>11639</v>
      </c>
      <c r="L929" s="2" t="s">
        <v>11640</v>
      </c>
      <c r="M929" s="3" t="s">
        <v>4596</v>
      </c>
      <c r="N929" s="2" t="s">
        <v>114</v>
      </c>
      <c r="O929" s="3" t="s">
        <v>64</v>
      </c>
      <c r="P929" s="3" t="s">
        <v>674</v>
      </c>
      <c r="R929" s="3" t="s">
        <v>67</v>
      </c>
      <c r="S929" s="4">
        <v>1</v>
      </c>
      <c r="T929" s="4">
        <v>1</v>
      </c>
      <c r="U929" s="5" t="s">
        <v>11641</v>
      </c>
      <c r="V929" s="5" t="s">
        <v>11641</v>
      </c>
      <c r="W929" s="5" t="s">
        <v>11641</v>
      </c>
      <c r="X929" s="5" t="s">
        <v>11641</v>
      </c>
      <c r="Y929" s="4">
        <v>486</v>
      </c>
      <c r="Z929" s="4">
        <v>332</v>
      </c>
      <c r="AA929" s="4">
        <v>673</v>
      </c>
      <c r="AB929" s="4">
        <v>4</v>
      </c>
      <c r="AC929" s="4">
        <v>6</v>
      </c>
      <c r="AD929" s="4">
        <v>21</v>
      </c>
      <c r="AE929" s="4">
        <v>33</v>
      </c>
      <c r="AF929" s="4">
        <v>11</v>
      </c>
      <c r="AG929" s="4">
        <v>16</v>
      </c>
      <c r="AH929" s="4">
        <v>4</v>
      </c>
      <c r="AI929" s="4">
        <v>5</v>
      </c>
      <c r="AJ929" s="4">
        <v>9</v>
      </c>
      <c r="AK929" s="4">
        <v>15</v>
      </c>
      <c r="AL929" s="4">
        <v>3</v>
      </c>
      <c r="AM929" s="4">
        <v>5</v>
      </c>
      <c r="AN929" s="4">
        <v>0</v>
      </c>
      <c r="AO929" s="4">
        <v>0</v>
      </c>
      <c r="AP929" s="3" t="s">
        <v>59</v>
      </c>
      <c r="AQ929" s="3" t="s">
        <v>70</v>
      </c>
      <c r="AR929" s="6" t="str">
        <f>HYPERLINK("http://catalog.hathitrust.org/Record/004928144","HathiTrust Record")</f>
        <v>HathiTrust Record</v>
      </c>
      <c r="AS929" s="6" t="str">
        <f>HYPERLINK("https://creighton-primo.hosted.exlibrisgroup.com/primo-explore/search?tab=default_tab&amp;search_scope=EVERYTHING&amp;vid=01CRU&amp;lang=en_US&amp;offset=0&amp;query=any,contains,991005365729702656","Catalog Record")</f>
        <v>Catalog Record</v>
      </c>
      <c r="AT929" s="6" t="str">
        <f>HYPERLINK("http://www.worldcat.org/oclc/56011721","WorldCat Record")</f>
        <v>WorldCat Record</v>
      </c>
      <c r="AU929" s="3" t="s">
        <v>11642</v>
      </c>
      <c r="AV929" s="3" t="s">
        <v>11643</v>
      </c>
      <c r="AW929" s="3" t="s">
        <v>11644</v>
      </c>
      <c r="AX929" s="3" t="s">
        <v>11644</v>
      </c>
      <c r="AY929" s="3" t="s">
        <v>11645</v>
      </c>
      <c r="AZ929" s="3" t="s">
        <v>75</v>
      </c>
      <c r="BB929" s="3" t="s">
        <v>11646</v>
      </c>
      <c r="BC929" s="3" t="s">
        <v>11647</v>
      </c>
      <c r="BD929" s="3" t="s">
        <v>11648</v>
      </c>
    </row>
    <row r="930" spans="1:56" ht="48" customHeight="1" x14ac:dyDescent="0.25">
      <c r="A930" s="7" t="s">
        <v>59</v>
      </c>
      <c r="B930" s="2" t="s">
        <v>11649</v>
      </c>
      <c r="C930" s="2" t="s">
        <v>11650</v>
      </c>
      <c r="D930" s="2" t="s">
        <v>11651</v>
      </c>
      <c r="F930" s="3" t="s">
        <v>59</v>
      </c>
      <c r="G930" s="3" t="s">
        <v>60</v>
      </c>
      <c r="H930" s="3" t="s">
        <v>59</v>
      </c>
      <c r="I930" s="3" t="s">
        <v>59</v>
      </c>
      <c r="J930" s="3" t="s">
        <v>61</v>
      </c>
      <c r="K930" s="2" t="s">
        <v>11652</v>
      </c>
      <c r="L930" s="2" t="s">
        <v>842</v>
      </c>
      <c r="M930" s="3" t="s">
        <v>843</v>
      </c>
      <c r="O930" s="3" t="s">
        <v>64</v>
      </c>
      <c r="P930" s="3" t="s">
        <v>674</v>
      </c>
      <c r="R930" s="3" t="s">
        <v>67</v>
      </c>
      <c r="S930" s="4">
        <v>1</v>
      </c>
      <c r="T930" s="4">
        <v>1</v>
      </c>
      <c r="U930" s="5" t="s">
        <v>11641</v>
      </c>
      <c r="V930" s="5" t="s">
        <v>11641</v>
      </c>
      <c r="W930" s="5" t="s">
        <v>11641</v>
      </c>
      <c r="X930" s="5" t="s">
        <v>11641</v>
      </c>
      <c r="Y930" s="4">
        <v>361</v>
      </c>
      <c r="Z930" s="4">
        <v>234</v>
      </c>
      <c r="AA930" s="4">
        <v>234</v>
      </c>
      <c r="AB930" s="4">
        <v>1</v>
      </c>
      <c r="AC930" s="4">
        <v>1</v>
      </c>
      <c r="AD930" s="4">
        <v>9</v>
      </c>
      <c r="AE930" s="4">
        <v>9</v>
      </c>
      <c r="AF930" s="4">
        <v>6</v>
      </c>
      <c r="AG930" s="4">
        <v>6</v>
      </c>
      <c r="AH930" s="4">
        <v>2</v>
      </c>
      <c r="AI930" s="4">
        <v>2</v>
      </c>
      <c r="AJ930" s="4">
        <v>5</v>
      </c>
      <c r="AK930" s="4">
        <v>5</v>
      </c>
      <c r="AL930" s="4">
        <v>0</v>
      </c>
      <c r="AM930" s="4">
        <v>0</v>
      </c>
      <c r="AN930" s="4">
        <v>0</v>
      </c>
      <c r="AO930" s="4">
        <v>0</v>
      </c>
      <c r="AP930" s="3" t="s">
        <v>59</v>
      </c>
      <c r="AQ930" s="3" t="s">
        <v>59</v>
      </c>
      <c r="AS930" s="6" t="str">
        <f>HYPERLINK("https://creighton-primo.hosted.exlibrisgroup.com/primo-explore/search?tab=default_tab&amp;search_scope=EVERYTHING&amp;vid=01CRU&amp;lang=en_US&amp;offset=0&amp;query=any,contains,991005366129702656","Catalog Record")</f>
        <v>Catalog Record</v>
      </c>
      <c r="AT930" s="6" t="str">
        <f>HYPERLINK("http://www.worldcat.org/oclc/124505706","WorldCat Record")</f>
        <v>WorldCat Record</v>
      </c>
      <c r="AU930" s="3" t="s">
        <v>11653</v>
      </c>
      <c r="AV930" s="3" t="s">
        <v>11654</v>
      </c>
      <c r="AW930" s="3" t="s">
        <v>11655</v>
      </c>
      <c r="AX930" s="3" t="s">
        <v>11655</v>
      </c>
      <c r="AY930" s="3" t="s">
        <v>11656</v>
      </c>
      <c r="AZ930" s="3" t="s">
        <v>75</v>
      </c>
      <c r="BB930" s="3" t="s">
        <v>11657</v>
      </c>
      <c r="BC930" s="3" t="s">
        <v>11658</v>
      </c>
      <c r="BD930" s="3" t="s">
        <v>11659</v>
      </c>
    </row>
    <row r="931" spans="1:56" ht="48" customHeight="1" x14ac:dyDescent="0.25">
      <c r="A931" s="7" t="s">
        <v>59</v>
      </c>
      <c r="B931" s="2" t="s">
        <v>11660</v>
      </c>
      <c r="C931" s="2" t="s">
        <v>11661</v>
      </c>
      <c r="D931" s="2" t="s">
        <v>11662</v>
      </c>
      <c r="F931" s="3" t="s">
        <v>59</v>
      </c>
      <c r="G931" s="3" t="s">
        <v>60</v>
      </c>
      <c r="H931" s="3" t="s">
        <v>59</v>
      </c>
      <c r="I931" s="3" t="s">
        <v>59</v>
      </c>
      <c r="J931" s="3" t="s">
        <v>61</v>
      </c>
      <c r="L931" s="2" t="s">
        <v>11663</v>
      </c>
      <c r="M931" s="3" t="s">
        <v>417</v>
      </c>
      <c r="O931" s="3" t="s">
        <v>64</v>
      </c>
      <c r="P931" s="3" t="s">
        <v>191</v>
      </c>
      <c r="Q931" s="2" t="s">
        <v>11372</v>
      </c>
      <c r="R931" s="3" t="s">
        <v>67</v>
      </c>
      <c r="S931" s="4">
        <v>3</v>
      </c>
      <c r="T931" s="4">
        <v>3</v>
      </c>
      <c r="U931" s="5" t="s">
        <v>11223</v>
      </c>
      <c r="V931" s="5" t="s">
        <v>11223</v>
      </c>
      <c r="W931" s="5" t="s">
        <v>148</v>
      </c>
      <c r="X931" s="5" t="s">
        <v>148</v>
      </c>
      <c r="Y931" s="4">
        <v>165</v>
      </c>
      <c r="Z931" s="4">
        <v>150</v>
      </c>
      <c r="AA931" s="4">
        <v>180</v>
      </c>
      <c r="AB931" s="4">
        <v>2</v>
      </c>
      <c r="AC931" s="4">
        <v>2</v>
      </c>
      <c r="AD931" s="4">
        <v>6</v>
      </c>
      <c r="AE931" s="4">
        <v>6</v>
      </c>
      <c r="AF931" s="4">
        <v>0</v>
      </c>
      <c r="AG931" s="4">
        <v>0</v>
      </c>
      <c r="AH931" s="4">
        <v>1</v>
      </c>
      <c r="AI931" s="4">
        <v>1</v>
      </c>
      <c r="AJ931" s="4">
        <v>5</v>
      </c>
      <c r="AK931" s="4">
        <v>5</v>
      </c>
      <c r="AL931" s="4">
        <v>1</v>
      </c>
      <c r="AM931" s="4">
        <v>1</v>
      </c>
      <c r="AN931" s="4">
        <v>0</v>
      </c>
      <c r="AO931" s="4">
        <v>0</v>
      </c>
      <c r="AP931" s="3" t="s">
        <v>59</v>
      </c>
      <c r="AQ931" s="3" t="s">
        <v>70</v>
      </c>
      <c r="AR931" s="6" t="str">
        <f>HYPERLINK("http://catalog.hathitrust.org/Record/006254632","HathiTrust Record")</f>
        <v>HathiTrust Record</v>
      </c>
      <c r="AS931" s="6" t="str">
        <f>HYPERLINK("https://creighton-primo.hosted.exlibrisgroup.com/primo-explore/search?tab=default_tab&amp;search_scope=EVERYTHING&amp;vid=01CRU&amp;lang=en_US&amp;offset=0&amp;query=any,contains,991005219649702656","Catalog Record")</f>
        <v>Catalog Record</v>
      </c>
      <c r="AT931" s="6" t="str">
        <f>HYPERLINK("http://www.worldcat.org/oclc/8219646","WorldCat Record")</f>
        <v>WorldCat Record</v>
      </c>
      <c r="AU931" s="3" t="s">
        <v>11664</v>
      </c>
      <c r="AV931" s="3" t="s">
        <v>11665</v>
      </c>
      <c r="AW931" s="3" t="s">
        <v>11666</v>
      </c>
      <c r="AX931" s="3" t="s">
        <v>11666</v>
      </c>
      <c r="AY931" s="3" t="s">
        <v>11667</v>
      </c>
      <c r="AZ931" s="3" t="s">
        <v>75</v>
      </c>
      <c r="BB931" s="3" t="s">
        <v>11668</v>
      </c>
      <c r="BC931" s="3" t="s">
        <v>11669</v>
      </c>
      <c r="BD931" s="3" t="s">
        <v>11670</v>
      </c>
    </row>
    <row r="932" spans="1:56" ht="48" customHeight="1" x14ac:dyDescent="0.25">
      <c r="A932" s="7" t="s">
        <v>59</v>
      </c>
      <c r="B932" s="2" t="s">
        <v>11671</v>
      </c>
      <c r="C932" s="2" t="s">
        <v>11672</v>
      </c>
      <c r="D932" s="2" t="s">
        <v>11673</v>
      </c>
      <c r="F932" s="3" t="s">
        <v>59</v>
      </c>
      <c r="G932" s="3" t="s">
        <v>60</v>
      </c>
      <c r="H932" s="3" t="s">
        <v>59</v>
      </c>
      <c r="I932" s="3" t="s">
        <v>59</v>
      </c>
      <c r="J932" s="3" t="s">
        <v>61</v>
      </c>
      <c r="K932" s="2" t="s">
        <v>11674</v>
      </c>
      <c r="L932" s="2" t="s">
        <v>11675</v>
      </c>
      <c r="M932" s="3" t="s">
        <v>925</v>
      </c>
      <c r="O932" s="3" t="s">
        <v>64</v>
      </c>
      <c r="P932" s="3" t="s">
        <v>3381</v>
      </c>
      <c r="R932" s="3" t="s">
        <v>67</v>
      </c>
      <c r="S932" s="4">
        <v>9</v>
      </c>
      <c r="T932" s="4">
        <v>9</v>
      </c>
      <c r="U932" s="5" t="s">
        <v>11347</v>
      </c>
      <c r="V932" s="5" t="s">
        <v>11347</v>
      </c>
      <c r="W932" s="5" t="s">
        <v>4359</v>
      </c>
      <c r="X932" s="5" t="s">
        <v>4359</v>
      </c>
      <c r="Y932" s="4">
        <v>139</v>
      </c>
      <c r="Z932" s="4">
        <v>103</v>
      </c>
      <c r="AA932" s="4">
        <v>136</v>
      </c>
      <c r="AB932" s="4">
        <v>2</v>
      </c>
      <c r="AC932" s="4">
        <v>2</v>
      </c>
      <c r="AD932" s="4">
        <v>8</v>
      </c>
      <c r="AE932" s="4">
        <v>9</v>
      </c>
      <c r="AF932" s="4">
        <v>2</v>
      </c>
      <c r="AG932" s="4">
        <v>2</v>
      </c>
      <c r="AH932" s="4">
        <v>5</v>
      </c>
      <c r="AI932" s="4">
        <v>5</v>
      </c>
      <c r="AJ932" s="4">
        <v>3</v>
      </c>
      <c r="AK932" s="4">
        <v>4</v>
      </c>
      <c r="AL932" s="4">
        <v>1</v>
      </c>
      <c r="AM932" s="4">
        <v>1</v>
      </c>
      <c r="AN932" s="4">
        <v>0</v>
      </c>
      <c r="AO932" s="4">
        <v>0</v>
      </c>
      <c r="AP932" s="3" t="s">
        <v>59</v>
      </c>
      <c r="AQ932" s="3" t="s">
        <v>59</v>
      </c>
      <c r="AS932" s="6" t="str">
        <f>HYPERLINK("https://creighton-primo.hosted.exlibrisgroup.com/primo-explore/search?tab=default_tab&amp;search_scope=EVERYTHING&amp;vid=01CRU&amp;lang=en_US&amp;offset=0&amp;query=any,contains,991003004299702656","Catalog Record")</f>
        <v>Catalog Record</v>
      </c>
      <c r="AT932" s="6" t="str">
        <f>HYPERLINK("http://www.worldcat.org/oclc/40704538","WorldCat Record")</f>
        <v>WorldCat Record</v>
      </c>
      <c r="AU932" s="3" t="s">
        <v>11676</v>
      </c>
      <c r="AV932" s="3" t="s">
        <v>11677</v>
      </c>
      <c r="AW932" s="3" t="s">
        <v>11678</v>
      </c>
      <c r="AX932" s="3" t="s">
        <v>11678</v>
      </c>
      <c r="AY932" s="3" t="s">
        <v>11679</v>
      </c>
      <c r="AZ932" s="3" t="s">
        <v>75</v>
      </c>
      <c r="BB932" s="3" t="s">
        <v>11680</v>
      </c>
      <c r="BC932" s="3" t="s">
        <v>11681</v>
      </c>
      <c r="BD932" s="3" t="s">
        <v>11682</v>
      </c>
    </row>
    <row r="933" spans="1:56" ht="48" customHeight="1" x14ac:dyDescent="0.25">
      <c r="A933" s="7" t="s">
        <v>59</v>
      </c>
      <c r="B933" s="2" t="s">
        <v>11683</v>
      </c>
      <c r="C933" s="2" t="s">
        <v>11684</v>
      </c>
      <c r="D933" s="2" t="s">
        <v>11685</v>
      </c>
      <c r="F933" s="3" t="s">
        <v>59</v>
      </c>
      <c r="G933" s="3" t="s">
        <v>60</v>
      </c>
      <c r="H933" s="3" t="s">
        <v>59</v>
      </c>
      <c r="I933" s="3" t="s">
        <v>59</v>
      </c>
      <c r="J933" s="3" t="s">
        <v>61</v>
      </c>
      <c r="K933" s="2" t="s">
        <v>11686</v>
      </c>
      <c r="L933" s="2" t="s">
        <v>3216</v>
      </c>
      <c r="M933" s="3" t="s">
        <v>519</v>
      </c>
      <c r="O933" s="3" t="s">
        <v>64</v>
      </c>
      <c r="P933" s="3" t="s">
        <v>191</v>
      </c>
      <c r="R933" s="3" t="s">
        <v>67</v>
      </c>
      <c r="S933" s="4">
        <v>10</v>
      </c>
      <c r="T933" s="4">
        <v>10</v>
      </c>
      <c r="U933" s="5" t="s">
        <v>11588</v>
      </c>
      <c r="V933" s="5" t="s">
        <v>11588</v>
      </c>
      <c r="W933" s="5" t="s">
        <v>8342</v>
      </c>
      <c r="X933" s="5" t="s">
        <v>8342</v>
      </c>
      <c r="Y933" s="4">
        <v>76</v>
      </c>
      <c r="Z933" s="4">
        <v>54</v>
      </c>
      <c r="AA933" s="4">
        <v>54</v>
      </c>
      <c r="AB933" s="4">
        <v>1</v>
      </c>
      <c r="AC933" s="4">
        <v>1</v>
      </c>
      <c r="AD933" s="4">
        <v>0</v>
      </c>
      <c r="AE933" s="4">
        <v>0</v>
      </c>
      <c r="AF933" s="4">
        <v>0</v>
      </c>
      <c r="AG933" s="4">
        <v>0</v>
      </c>
      <c r="AH933" s="4">
        <v>0</v>
      </c>
      <c r="AI933" s="4">
        <v>0</v>
      </c>
      <c r="AJ933" s="4">
        <v>0</v>
      </c>
      <c r="AK933" s="4">
        <v>0</v>
      </c>
      <c r="AL933" s="4">
        <v>0</v>
      </c>
      <c r="AM933" s="4">
        <v>0</v>
      </c>
      <c r="AN933" s="4">
        <v>0</v>
      </c>
      <c r="AO933" s="4">
        <v>0</v>
      </c>
      <c r="AP933" s="3" t="s">
        <v>59</v>
      </c>
      <c r="AQ933" s="3" t="s">
        <v>59</v>
      </c>
      <c r="AS933" s="6" t="str">
        <f>HYPERLINK("https://creighton-primo.hosted.exlibrisgroup.com/primo-explore/search?tab=default_tab&amp;search_scope=EVERYTHING&amp;vid=01CRU&amp;lang=en_US&amp;offset=0&amp;query=any,contains,991002292539702656","Catalog Record")</f>
        <v>Catalog Record</v>
      </c>
      <c r="AT933" s="6" t="str">
        <f>HYPERLINK("http://www.worldcat.org/oclc/29704154","WorldCat Record")</f>
        <v>WorldCat Record</v>
      </c>
      <c r="AU933" s="3" t="s">
        <v>11687</v>
      </c>
      <c r="AV933" s="3" t="s">
        <v>11688</v>
      </c>
      <c r="AW933" s="3" t="s">
        <v>11689</v>
      </c>
      <c r="AX933" s="3" t="s">
        <v>11689</v>
      </c>
      <c r="AY933" s="3" t="s">
        <v>11690</v>
      </c>
      <c r="AZ933" s="3" t="s">
        <v>75</v>
      </c>
      <c r="BB933" s="3" t="s">
        <v>11691</v>
      </c>
      <c r="BC933" s="3" t="s">
        <v>11692</v>
      </c>
      <c r="BD933" s="3" t="s">
        <v>11693</v>
      </c>
    </row>
    <row r="934" spans="1:56" ht="48" customHeight="1" x14ac:dyDescent="0.25">
      <c r="A934" s="7" t="s">
        <v>59</v>
      </c>
      <c r="B934" s="2" t="s">
        <v>11694</v>
      </c>
      <c r="C934" s="2" t="s">
        <v>11695</v>
      </c>
      <c r="D934" s="2" t="s">
        <v>11696</v>
      </c>
      <c r="F934" s="3" t="s">
        <v>59</v>
      </c>
      <c r="G934" s="3" t="s">
        <v>60</v>
      </c>
      <c r="H934" s="3" t="s">
        <v>59</v>
      </c>
      <c r="I934" s="3" t="s">
        <v>59</v>
      </c>
      <c r="J934" s="3" t="s">
        <v>61</v>
      </c>
      <c r="K934" s="2" t="s">
        <v>11697</v>
      </c>
      <c r="L934" s="2" t="s">
        <v>11698</v>
      </c>
      <c r="M934" s="3" t="s">
        <v>129</v>
      </c>
      <c r="O934" s="3" t="s">
        <v>64</v>
      </c>
      <c r="P934" s="3" t="s">
        <v>674</v>
      </c>
      <c r="Q934" s="2" t="s">
        <v>11699</v>
      </c>
      <c r="R934" s="3" t="s">
        <v>67</v>
      </c>
      <c r="S934" s="4">
        <v>4</v>
      </c>
      <c r="T934" s="4">
        <v>4</v>
      </c>
      <c r="U934" s="5" t="s">
        <v>11464</v>
      </c>
      <c r="V934" s="5" t="s">
        <v>11464</v>
      </c>
      <c r="W934" s="5" t="s">
        <v>7744</v>
      </c>
      <c r="X934" s="5" t="s">
        <v>7744</v>
      </c>
      <c r="Y934" s="4">
        <v>405</v>
      </c>
      <c r="Z934" s="4">
        <v>293</v>
      </c>
      <c r="AA934" s="4">
        <v>298</v>
      </c>
      <c r="AB934" s="4">
        <v>3</v>
      </c>
      <c r="AC934" s="4">
        <v>3</v>
      </c>
      <c r="AD934" s="4">
        <v>11</v>
      </c>
      <c r="AE934" s="4">
        <v>11</v>
      </c>
      <c r="AF934" s="4">
        <v>5</v>
      </c>
      <c r="AG934" s="4">
        <v>5</v>
      </c>
      <c r="AH934" s="4">
        <v>3</v>
      </c>
      <c r="AI934" s="4">
        <v>3</v>
      </c>
      <c r="AJ934" s="4">
        <v>6</v>
      </c>
      <c r="AK934" s="4">
        <v>6</v>
      </c>
      <c r="AL934" s="4">
        <v>2</v>
      </c>
      <c r="AM934" s="4">
        <v>2</v>
      </c>
      <c r="AN934" s="4">
        <v>0</v>
      </c>
      <c r="AO934" s="4">
        <v>0</v>
      </c>
      <c r="AP934" s="3" t="s">
        <v>59</v>
      </c>
      <c r="AQ934" s="3" t="s">
        <v>59</v>
      </c>
      <c r="AS934" s="6" t="str">
        <f>HYPERLINK("https://creighton-primo.hosted.exlibrisgroup.com/primo-explore/search?tab=default_tab&amp;search_scope=EVERYTHING&amp;vid=01CRU&amp;lang=en_US&amp;offset=0&amp;query=any,contains,991002010289702656","Catalog Record")</f>
        <v>Catalog Record</v>
      </c>
      <c r="AT934" s="6" t="str">
        <f>HYPERLINK("http://www.worldcat.org/oclc/25550576","WorldCat Record")</f>
        <v>WorldCat Record</v>
      </c>
      <c r="AU934" s="3" t="s">
        <v>11700</v>
      </c>
      <c r="AV934" s="3" t="s">
        <v>11701</v>
      </c>
      <c r="AW934" s="3" t="s">
        <v>11702</v>
      </c>
      <c r="AX934" s="3" t="s">
        <v>11702</v>
      </c>
      <c r="AY934" s="3" t="s">
        <v>11703</v>
      </c>
      <c r="AZ934" s="3" t="s">
        <v>75</v>
      </c>
      <c r="BB934" s="3" t="s">
        <v>11704</v>
      </c>
      <c r="BC934" s="3" t="s">
        <v>11705</v>
      </c>
      <c r="BD934" s="3" t="s">
        <v>11706</v>
      </c>
    </row>
    <row r="935" spans="1:56" ht="48" customHeight="1" x14ac:dyDescent="0.25">
      <c r="A935" s="7" t="s">
        <v>59</v>
      </c>
      <c r="B935" s="2" t="s">
        <v>11707</v>
      </c>
      <c r="C935" s="2" t="s">
        <v>11708</v>
      </c>
      <c r="D935" s="2" t="s">
        <v>11709</v>
      </c>
      <c r="F935" s="3" t="s">
        <v>59</v>
      </c>
      <c r="G935" s="3" t="s">
        <v>60</v>
      </c>
      <c r="H935" s="3" t="s">
        <v>70</v>
      </c>
      <c r="I935" s="3" t="s">
        <v>59</v>
      </c>
      <c r="J935" s="3" t="s">
        <v>61</v>
      </c>
      <c r="L935" s="2" t="s">
        <v>6118</v>
      </c>
      <c r="M935" s="3" t="s">
        <v>897</v>
      </c>
      <c r="N935" s="2" t="s">
        <v>114</v>
      </c>
      <c r="O935" s="3" t="s">
        <v>64</v>
      </c>
      <c r="P935" s="3" t="s">
        <v>130</v>
      </c>
      <c r="R935" s="3" t="s">
        <v>67</v>
      </c>
      <c r="S935" s="4">
        <v>8</v>
      </c>
      <c r="T935" s="4">
        <v>25</v>
      </c>
      <c r="U935" s="5" t="s">
        <v>4676</v>
      </c>
      <c r="V935" s="5" t="s">
        <v>4676</v>
      </c>
      <c r="W935" s="5" t="s">
        <v>6120</v>
      </c>
      <c r="X935" s="5" t="s">
        <v>6120</v>
      </c>
      <c r="Y935" s="4">
        <v>340</v>
      </c>
      <c r="Z935" s="4">
        <v>231</v>
      </c>
      <c r="AA935" s="4">
        <v>426</v>
      </c>
      <c r="AB935" s="4">
        <v>6</v>
      </c>
      <c r="AC935" s="4">
        <v>6</v>
      </c>
      <c r="AD935" s="4">
        <v>12</v>
      </c>
      <c r="AE935" s="4">
        <v>18</v>
      </c>
      <c r="AF935" s="4">
        <v>2</v>
      </c>
      <c r="AG935" s="4">
        <v>4</v>
      </c>
      <c r="AH935" s="4">
        <v>4</v>
      </c>
      <c r="AI935" s="4">
        <v>4</v>
      </c>
      <c r="AJ935" s="4">
        <v>5</v>
      </c>
      <c r="AK935" s="4">
        <v>11</v>
      </c>
      <c r="AL935" s="4">
        <v>4</v>
      </c>
      <c r="AM935" s="4">
        <v>4</v>
      </c>
      <c r="AN935" s="4">
        <v>0</v>
      </c>
      <c r="AO935" s="4">
        <v>0</v>
      </c>
      <c r="AP935" s="3" t="s">
        <v>59</v>
      </c>
      <c r="AQ935" s="3" t="s">
        <v>59</v>
      </c>
      <c r="AS935" s="6" t="str">
        <f>HYPERLINK("https://creighton-primo.hosted.exlibrisgroup.com/primo-explore/search?tab=default_tab&amp;search_scope=EVERYTHING&amp;vid=01CRU&amp;lang=en_US&amp;offset=0&amp;query=any,contains,991001780509702656","Catalog Record")</f>
        <v>Catalog Record</v>
      </c>
      <c r="AT935" s="6" t="str">
        <f>HYPERLINK("http://www.worldcat.org/oclc/24467503","WorldCat Record")</f>
        <v>WorldCat Record</v>
      </c>
      <c r="AU935" s="3" t="s">
        <v>11710</v>
      </c>
      <c r="AV935" s="3" t="s">
        <v>11711</v>
      </c>
      <c r="AW935" s="3" t="s">
        <v>11712</v>
      </c>
      <c r="AX935" s="3" t="s">
        <v>11712</v>
      </c>
      <c r="AY935" s="3" t="s">
        <v>11713</v>
      </c>
      <c r="AZ935" s="3" t="s">
        <v>75</v>
      </c>
      <c r="BB935" s="3" t="s">
        <v>11714</v>
      </c>
      <c r="BC935" s="3" t="s">
        <v>11715</v>
      </c>
      <c r="BD935" s="3" t="s">
        <v>11716</v>
      </c>
    </row>
    <row r="936" spans="1:56" ht="48" customHeight="1" x14ac:dyDescent="0.25">
      <c r="A936" s="7" t="s">
        <v>59</v>
      </c>
      <c r="B936" s="2" t="s">
        <v>11717</v>
      </c>
      <c r="C936" s="2" t="s">
        <v>11718</v>
      </c>
      <c r="D936" s="2" t="s">
        <v>11719</v>
      </c>
      <c r="F936" s="3" t="s">
        <v>59</v>
      </c>
      <c r="G936" s="3" t="s">
        <v>60</v>
      </c>
      <c r="H936" s="3" t="s">
        <v>59</v>
      </c>
      <c r="I936" s="3" t="s">
        <v>59</v>
      </c>
      <c r="J936" s="3" t="s">
        <v>61</v>
      </c>
      <c r="L936" s="2" t="s">
        <v>11720</v>
      </c>
      <c r="M936" s="3" t="s">
        <v>219</v>
      </c>
      <c r="O936" s="3" t="s">
        <v>64</v>
      </c>
      <c r="P936" s="3" t="s">
        <v>176</v>
      </c>
      <c r="Q936" s="2" t="s">
        <v>11721</v>
      </c>
      <c r="R936" s="3" t="s">
        <v>67</v>
      </c>
      <c r="S936" s="4">
        <v>1</v>
      </c>
      <c r="T936" s="4">
        <v>1</v>
      </c>
      <c r="U936" s="5" t="s">
        <v>8687</v>
      </c>
      <c r="V936" s="5" t="s">
        <v>8687</v>
      </c>
      <c r="W936" s="5" t="s">
        <v>11722</v>
      </c>
      <c r="X936" s="5" t="s">
        <v>11722</v>
      </c>
      <c r="Y936" s="4">
        <v>227</v>
      </c>
      <c r="Z936" s="4">
        <v>171</v>
      </c>
      <c r="AA936" s="4">
        <v>212</v>
      </c>
      <c r="AB936" s="4">
        <v>1</v>
      </c>
      <c r="AC936" s="4">
        <v>2</v>
      </c>
      <c r="AD936" s="4">
        <v>4</v>
      </c>
      <c r="AE936" s="4">
        <v>8</v>
      </c>
      <c r="AF936" s="4">
        <v>0</v>
      </c>
      <c r="AG936" s="4">
        <v>2</v>
      </c>
      <c r="AH936" s="4">
        <v>3</v>
      </c>
      <c r="AI936" s="4">
        <v>5</v>
      </c>
      <c r="AJ936" s="4">
        <v>3</v>
      </c>
      <c r="AK936" s="4">
        <v>3</v>
      </c>
      <c r="AL936" s="4">
        <v>0</v>
      </c>
      <c r="AM936" s="4">
        <v>1</v>
      </c>
      <c r="AN936" s="4">
        <v>0</v>
      </c>
      <c r="AO936" s="4">
        <v>0</v>
      </c>
      <c r="AP936" s="3" t="s">
        <v>59</v>
      </c>
      <c r="AQ936" s="3" t="s">
        <v>70</v>
      </c>
      <c r="AR936" s="6" t="str">
        <f>HYPERLINK("http://catalog.hathitrust.org/Record/002233359","HathiTrust Record")</f>
        <v>HathiTrust Record</v>
      </c>
      <c r="AS936" s="6" t="str">
        <f>HYPERLINK("https://creighton-primo.hosted.exlibrisgroup.com/primo-explore/search?tab=default_tab&amp;search_scope=EVERYTHING&amp;vid=01CRU&amp;lang=en_US&amp;offset=0&amp;query=any,contains,991001668669702656","Catalog Record")</f>
        <v>Catalog Record</v>
      </c>
      <c r="AT936" s="6" t="str">
        <f>HYPERLINK("http://www.worldcat.org/oclc/21231830","WorldCat Record")</f>
        <v>WorldCat Record</v>
      </c>
      <c r="AU936" s="3" t="s">
        <v>11723</v>
      </c>
      <c r="AV936" s="3" t="s">
        <v>11724</v>
      </c>
      <c r="AW936" s="3" t="s">
        <v>11725</v>
      </c>
      <c r="AX936" s="3" t="s">
        <v>11725</v>
      </c>
      <c r="AY936" s="3" t="s">
        <v>11726</v>
      </c>
      <c r="AZ936" s="3" t="s">
        <v>75</v>
      </c>
      <c r="BB936" s="3" t="s">
        <v>11727</v>
      </c>
      <c r="BC936" s="3" t="s">
        <v>11728</v>
      </c>
      <c r="BD936" s="3" t="s">
        <v>11729</v>
      </c>
    </row>
    <row r="937" spans="1:56" ht="48" customHeight="1" x14ac:dyDescent="0.25">
      <c r="A937" s="7" t="s">
        <v>59</v>
      </c>
      <c r="B937" s="2" t="s">
        <v>11730</v>
      </c>
      <c r="C937" s="2" t="s">
        <v>11731</v>
      </c>
      <c r="D937" s="2" t="s">
        <v>11732</v>
      </c>
      <c r="F937" s="3" t="s">
        <v>59</v>
      </c>
      <c r="G937" s="3" t="s">
        <v>60</v>
      </c>
      <c r="H937" s="3" t="s">
        <v>59</v>
      </c>
      <c r="I937" s="3" t="s">
        <v>59</v>
      </c>
      <c r="J937" s="3" t="s">
        <v>61</v>
      </c>
      <c r="K937" s="2" t="s">
        <v>11733</v>
      </c>
      <c r="L937" s="2" t="s">
        <v>11734</v>
      </c>
      <c r="M937" s="3" t="s">
        <v>63</v>
      </c>
      <c r="O937" s="3" t="s">
        <v>64</v>
      </c>
      <c r="P937" s="3" t="s">
        <v>130</v>
      </c>
      <c r="R937" s="3" t="s">
        <v>67</v>
      </c>
      <c r="S937" s="4">
        <v>1</v>
      </c>
      <c r="T937" s="4">
        <v>1</v>
      </c>
      <c r="U937" s="5" t="s">
        <v>11735</v>
      </c>
      <c r="V937" s="5" t="s">
        <v>11735</v>
      </c>
      <c r="W937" s="5" t="s">
        <v>501</v>
      </c>
      <c r="X937" s="5" t="s">
        <v>501</v>
      </c>
      <c r="Y937" s="4">
        <v>179</v>
      </c>
      <c r="Z937" s="4">
        <v>135</v>
      </c>
      <c r="AA937" s="4">
        <v>135</v>
      </c>
      <c r="AB937" s="4">
        <v>2</v>
      </c>
      <c r="AC937" s="4">
        <v>2</v>
      </c>
      <c r="AD937" s="4">
        <v>4</v>
      </c>
      <c r="AE937" s="4">
        <v>4</v>
      </c>
      <c r="AF937" s="4">
        <v>2</v>
      </c>
      <c r="AG937" s="4">
        <v>2</v>
      </c>
      <c r="AH937" s="4">
        <v>0</v>
      </c>
      <c r="AI937" s="4">
        <v>0</v>
      </c>
      <c r="AJ937" s="4">
        <v>3</v>
      </c>
      <c r="AK937" s="4">
        <v>3</v>
      </c>
      <c r="AL937" s="4">
        <v>1</v>
      </c>
      <c r="AM937" s="4">
        <v>1</v>
      </c>
      <c r="AN937" s="4">
        <v>0</v>
      </c>
      <c r="AO937" s="4">
        <v>0</v>
      </c>
      <c r="AP937" s="3" t="s">
        <v>59</v>
      </c>
      <c r="AQ937" s="3" t="s">
        <v>59</v>
      </c>
      <c r="AS937" s="6" t="str">
        <f>HYPERLINK("https://creighton-primo.hosted.exlibrisgroup.com/primo-explore/search?tab=default_tab&amp;search_scope=EVERYTHING&amp;vid=01CRU&amp;lang=en_US&amp;offset=0&amp;query=any,contains,991004313359702656","Catalog Record")</f>
        <v>Catalog Record</v>
      </c>
      <c r="AT937" s="6" t="str">
        <f>HYPERLINK("http://www.worldcat.org/oclc/3002195","WorldCat Record")</f>
        <v>WorldCat Record</v>
      </c>
      <c r="AU937" s="3" t="s">
        <v>11736</v>
      </c>
      <c r="AV937" s="3" t="s">
        <v>11737</v>
      </c>
      <c r="AW937" s="3" t="s">
        <v>11738</v>
      </c>
      <c r="AX937" s="3" t="s">
        <v>11738</v>
      </c>
      <c r="AY937" s="3" t="s">
        <v>11739</v>
      </c>
      <c r="AZ937" s="3" t="s">
        <v>75</v>
      </c>
      <c r="BB937" s="3" t="s">
        <v>11740</v>
      </c>
      <c r="BC937" s="3" t="s">
        <v>11741</v>
      </c>
      <c r="BD937" s="3" t="s">
        <v>11742</v>
      </c>
    </row>
    <row r="938" spans="1:56" ht="48" customHeight="1" x14ac:dyDescent="0.25">
      <c r="A938" s="7" t="s">
        <v>59</v>
      </c>
      <c r="B938" s="2" t="s">
        <v>11743</v>
      </c>
      <c r="C938" s="2" t="s">
        <v>11744</v>
      </c>
      <c r="D938" s="2" t="s">
        <v>11745</v>
      </c>
      <c r="F938" s="3" t="s">
        <v>59</v>
      </c>
      <c r="G938" s="3" t="s">
        <v>60</v>
      </c>
      <c r="H938" s="3" t="s">
        <v>70</v>
      </c>
      <c r="I938" s="3" t="s">
        <v>59</v>
      </c>
      <c r="J938" s="3" t="s">
        <v>61</v>
      </c>
      <c r="K938" s="2" t="s">
        <v>11746</v>
      </c>
      <c r="L938" s="2" t="s">
        <v>11747</v>
      </c>
      <c r="M938" s="3" t="s">
        <v>113</v>
      </c>
      <c r="O938" s="3" t="s">
        <v>64</v>
      </c>
      <c r="P938" s="3" t="s">
        <v>130</v>
      </c>
      <c r="R938" s="3" t="s">
        <v>67</v>
      </c>
      <c r="S938" s="4">
        <v>2</v>
      </c>
      <c r="T938" s="4">
        <v>2</v>
      </c>
      <c r="U938" s="5" t="s">
        <v>8965</v>
      </c>
      <c r="V938" s="5" t="s">
        <v>8965</v>
      </c>
      <c r="W938" s="5" t="s">
        <v>148</v>
      </c>
      <c r="X938" s="5" t="s">
        <v>148</v>
      </c>
      <c r="Y938" s="4">
        <v>89</v>
      </c>
      <c r="Z938" s="4">
        <v>64</v>
      </c>
      <c r="AA938" s="4">
        <v>86</v>
      </c>
      <c r="AB938" s="4">
        <v>2</v>
      </c>
      <c r="AC938" s="4">
        <v>2</v>
      </c>
      <c r="AD938" s="4">
        <v>2</v>
      </c>
      <c r="AE938" s="4">
        <v>2</v>
      </c>
      <c r="AF938" s="4">
        <v>0</v>
      </c>
      <c r="AG938" s="4">
        <v>0</v>
      </c>
      <c r="AH938" s="4">
        <v>0</v>
      </c>
      <c r="AI938" s="4">
        <v>0</v>
      </c>
      <c r="AJ938" s="4">
        <v>2</v>
      </c>
      <c r="AK938" s="4">
        <v>2</v>
      </c>
      <c r="AL938" s="4">
        <v>0</v>
      </c>
      <c r="AM938" s="4">
        <v>0</v>
      </c>
      <c r="AN938" s="4">
        <v>0</v>
      </c>
      <c r="AO938" s="4">
        <v>0</v>
      </c>
      <c r="AP938" s="3" t="s">
        <v>59</v>
      </c>
      <c r="AQ938" s="3" t="s">
        <v>59</v>
      </c>
      <c r="AS938" s="6" t="str">
        <f>HYPERLINK("https://creighton-primo.hosted.exlibrisgroup.com/primo-explore/search?tab=default_tab&amp;search_scope=EVERYTHING&amp;vid=01CRU&amp;lang=en_US&amp;offset=0&amp;query=any,contains,991001091659702656","Catalog Record")</f>
        <v>Catalog Record</v>
      </c>
      <c r="AT938" s="6" t="str">
        <f>HYPERLINK("http://www.worldcat.org/oclc/16224881","WorldCat Record")</f>
        <v>WorldCat Record</v>
      </c>
      <c r="AU938" s="3" t="s">
        <v>11748</v>
      </c>
      <c r="AV938" s="3" t="s">
        <v>11749</v>
      </c>
      <c r="AW938" s="3" t="s">
        <v>11750</v>
      </c>
      <c r="AX938" s="3" t="s">
        <v>11750</v>
      </c>
      <c r="AY938" s="3" t="s">
        <v>11751</v>
      </c>
      <c r="AZ938" s="3" t="s">
        <v>75</v>
      </c>
      <c r="BB938" s="3" t="s">
        <v>11752</v>
      </c>
      <c r="BC938" s="3" t="s">
        <v>11753</v>
      </c>
      <c r="BD938" s="3" t="s">
        <v>11754</v>
      </c>
    </row>
    <row r="939" spans="1:56" ht="48" customHeight="1" x14ac:dyDescent="0.25">
      <c r="A939" s="7" t="s">
        <v>59</v>
      </c>
      <c r="B939" s="2" t="s">
        <v>11755</v>
      </c>
      <c r="C939" s="2" t="s">
        <v>11756</v>
      </c>
      <c r="D939" s="2" t="s">
        <v>11757</v>
      </c>
      <c r="F939" s="3" t="s">
        <v>59</v>
      </c>
      <c r="G939" s="3" t="s">
        <v>60</v>
      </c>
      <c r="H939" s="3" t="s">
        <v>59</v>
      </c>
      <c r="I939" s="3" t="s">
        <v>59</v>
      </c>
      <c r="J939" s="3" t="s">
        <v>61</v>
      </c>
      <c r="L939" s="2" t="s">
        <v>11758</v>
      </c>
      <c r="M939" s="3" t="s">
        <v>348</v>
      </c>
      <c r="O939" s="3" t="s">
        <v>64</v>
      </c>
      <c r="P939" s="3" t="s">
        <v>130</v>
      </c>
      <c r="Q939" s="2" t="s">
        <v>11759</v>
      </c>
      <c r="R939" s="3" t="s">
        <v>67</v>
      </c>
      <c r="S939" s="4">
        <v>6</v>
      </c>
      <c r="T939" s="4">
        <v>6</v>
      </c>
      <c r="U939" s="5" t="s">
        <v>11760</v>
      </c>
      <c r="V939" s="5" t="s">
        <v>11760</v>
      </c>
      <c r="W939" s="5" t="s">
        <v>11761</v>
      </c>
      <c r="X939" s="5" t="s">
        <v>11761</v>
      </c>
      <c r="Y939" s="4">
        <v>84</v>
      </c>
      <c r="Z939" s="4">
        <v>59</v>
      </c>
      <c r="AA939" s="4">
        <v>59</v>
      </c>
      <c r="AB939" s="4">
        <v>2</v>
      </c>
      <c r="AC939" s="4">
        <v>2</v>
      </c>
      <c r="AD939" s="4">
        <v>3</v>
      </c>
      <c r="AE939" s="4">
        <v>3</v>
      </c>
      <c r="AF939" s="4">
        <v>0</v>
      </c>
      <c r="AG939" s="4">
        <v>0</v>
      </c>
      <c r="AH939" s="4">
        <v>2</v>
      </c>
      <c r="AI939" s="4">
        <v>2</v>
      </c>
      <c r="AJ939" s="4">
        <v>1</v>
      </c>
      <c r="AK939" s="4">
        <v>1</v>
      </c>
      <c r="AL939" s="4">
        <v>1</v>
      </c>
      <c r="AM939" s="4">
        <v>1</v>
      </c>
      <c r="AN939" s="4">
        <v>0</v>
      </c>
      <c r="AO939" s="4">
        <v>0</v>
      </c>
      <c r="AP939" s="3" t="s">
        <v>59</v>
      </c>
      <c r="AQ939" s="3" t="s">
        <v>59</v>
      </c>
      <c r="AS939" s="6" t="str">
        <f>HYPERLINK("https://creighton-primo.hosted.exlibrisgroup.com/primo-explore/search?tab=default_tab&amp;search_scope=EVERYTHING&amp;vid=01CRU&amp;lang=en_US&amp;offset=0&amp;query=any,contains,991002086119702656","Catalog Record")</f>
        <v>Catalog Record</v>
      </c>
      <c r="AT939" s="6" t="str">
        <f>HYPERLINK("http://www.worldcat.org/oclc/26765019","WorldCat Record")</f>
        <v>WorldCat Record</v>
      </c>
      <c r="AU939" s="3" t="s">
        <v>11762</v>
      </c>
      <c r="AV939" s="3" t="s">
        <v>11763</v>
      </c>
      <c r="AW939" s="3" t="s">
        <v>11764</v>
      </c>
      <c r="AX939" s="3" t="s">
        <v>11764</v>
      </c>
      <c r="AY939" s="3" t="s">
        <v>11765</v>
      </c>
      <c r="AZ939" s="3" t="s">
        <v>75</v>
      </c>
      <c r="BB939" s="3" t="s">
        <v>11766</v>
      </c>
      <c r="BC939" s="3" t="s">
        <v>11767</v>
      </c>
      <c r="BD939" s="3" t="s">
        <v>11768</v>
      </c>
    </row>
    <row r="940" spans="1:56" ht="48" customHeight="1" x14ac:dyDescent="0.25">
      <c r="A940" s="7" t="s">
        <v>59</v>
      </c>
      <c r="B940" s="2" t="s">
        <v>11769</v>
      </c>
      <c r="C940" s="2" t="s">
        <v>11770</v>
      </c>
      <c r="D940" s="2" t="s">
        <v>11771</v>
      </c>
      <c r="F940" s="3" t="s">
        <v>59</v>
      </c>
      <c r="G940" s="3" t="s">
        <v>60</v>
      </c>
      <c r="H940" s="3" t="s">
        <v>59</v>
      </c>
      <c r="I940" s="3" t="s">
        <v>59</v>
      </c>
      <c r="J940" s="3" t="s">
        <v>61</v>
      </c>
      <c r="K940" s="2" t="s">
        <v>11772</v>
      </c>
      <c r="L940" s="2" t="s">
        <v>11773</v>
      </c>
      <c r="M940" s="3" t="s">
        <v>1611</v>
      </c>
      <c r="O940" s="3" t="s">
        <v>64</v>
      </c>
      <c r="P940" s="3" t="s">
        <v>84</v>
      </c>
      <c r="Q940" s="2" t="s">
        <v>11774</v>
      </c>
      <c r="R940" s="3" t="s">
        <v>67</v>
      </c>
      <c r="S940" s="4">
        <v>5</v>
      </c>
      <c r="T940" s="4">
        <v>5</v>
      </c>
      <c r="U940" s="5" t="s">
        <v>11775</v>
      </c>
      <c r="V940" s="5" t="s">
        <v>11775</v>
      </c>
      <c r="W940" s="5" t="s">
        <v>11776</v>
      </c>
      <c r="X940" s="5" t="s">
        <v>11776</v>
      </c>
      <c r="Y940" s="4">
        <v>225</v>
      </c>
      <c r="Z940" s="4">
        <v>178</v>
      </c>
      <c r="AA940" s="4">
        <v>183</v>
      </c>
      <c r="AB940" s="4">
        <v>1</v>
      </c>
      <c r="AC940" s="4">
        <v>1</v>
      </c>
      <c r="AD940" s="4">
        <v>6</v>
      </c>
      <c r="AE940" s="4">
        <v>6</v>
      </c>
      <c r="AF940" s="4">
        <v>2</v>
      </c>
      <c r="AG940" s="4">
        <v>2</v>
      </c>
      <c r="AH940" s="4">
        <v>1</v>
      </c>
      <c r="AI940" s="4">
        <v>1</v>
      </c>
      <c r="AJ940" s="4">
        <v>5</v>
      </c>
      <c r="AK940" s="4">
        <v>5</v>
      </c>
      <c r="AL940" s="4">
        <v>0</v>
      </c>
      <c r="AM940" s="4">
        <v>0</v>
      </c>
      <c r="AN940" s="4">
        <v>0</v>
      </c>
      <c r="AO940" s="4">
        <v>0</v>
      </c>
      <c r="AP940" s="3" t="s">
        <v>59</v>
      </c>
      <c r="AQ940" s="3" t="s">
        <v>59</v>
      </c>
      <c r="AS940" s="6" t="str">
        <f>HYPERLINK("https://creighton-primo.hosted.exlibrisgroup.com/primo-explore/search?tab=default_tab&amp;search_scope=EVERYTHING&amp;vid=01CRU&amp;lang=en_US&amp;offset=0&amp;query=any,contains,991002516229702656","Catalog Record")</f>
        <v>Catalog Record</v>
      </c>
      <c r="AT940" s="6" t="str">
        <f>HYPERLINK("http://www.worldcat.org/oclc/32705512","WorldCat Record")</f>
        <v>WorldCat Record</v>
      </c>
      <c r="AU940" s="3" t="s">
        <v>11777</v>
      </c>
      <c r="AV940" s="3" t="s">
        <v>11778</v>
      </c>
      <c r="AW940" s="3" t="s">
        <v>11779</v>
      </c>
      <c r="AX940" s="3" t="s">
        <v>11779</v>
      </c>
      <c r="AY940" s="3" t="s">
        <v>11780</v>
      </c>
      <c r="AZ940" s="3" t="s">
        <v>75</v>
      </c>
      <c r="BB940" s="3" t="s">
        <v>11781</v>
      </c>
      <c r="BC940" s="3" t="s">
        <v>11782</v>
      </c>
      <c r="BD940" s="3" t="s">
        <v>11783</v>
      </c>
    </row>
    <row r="941" spans="1:56" ht="48" customHeight="1" x14ac:dyDescent="0.25">
      <c r="A941" s="7" t="s">
        <v>59</v>
      </c>
      <c r="B941" s="2" t="s">
        <v>11784</v>
      </c>
      <c r="C941" s="2" t="s">
        <v>11785</v>
      </c>
      <c r="D941" s="2" t="s">
        <v>11786</v>
      </c>
      <c r="F941" s="3" t="s">
        <v>59</v>
      </c>
      <c r="G941" s="3" t="s">
        <v>60</v>
      </c>
      <c r="H941" s="3" t="s">
        <v>59</v>
      </c>
      <c r="I941" s="3" t="s">
        <v>59</v>
      </c>
      <c r="J941" s="3" t="s">
        <v>61</v>
      </c>
      <c r="K941" s="2" t="s">
        <v>11787</v>
      </c>
      <c r="L941" s="2" t="s">
        <v>11788</v>
      </c>
      <c r="M941" s="3" t="s">
        <v>443</v>
      </c>
      <c r="O941" s="3" t="s">
        <v>64</v>
      </c>
      <c r="P941" s="3" t="s">
        <v>65</v>
      </c>
      <c r="R941" s="3" t="s">
        <v>67</v>
      </c>
      <c r="S941" s="4">
        <v>1</v>
      </c>
      <c r="T941" s="4">
        <v>1</v>
      </c>
      <c r="U941" s="5" t="s">
        <v>11601</v>
      </c>
      <c r="V941" s="5" t="s">
        <v>11601</v>
      </c>
      <c r="W941" s="5" t="s">
        <v>11601</v>
      </c>
      <c r="X941" s="5" t="s">
        <v>11601</v>
      </c>
      <c r="Y941" s="4">
        <v>225</v>
      </c>
      <c r="Z941" s="4">
        <v>178</v>
      </c>
      <c r="AA941" s="4">
        <v>180</v>
      </c>
      <c r="AB941" s="4">
        <v>1</v>
      </c>
      <c r="AC941" s="4">
        <v>1</v>
      </c>
      <c r="AD941" s="4">
        <v>8</v>
      </c>
      <c r="AE941" s="4">
        <v>8</v>
      </c>
      <c r="AF941" s="4">
        <v>2</v>
      </c>
      <c r="AG941" s="4">
        <v>2</v>
      </c>
      <c r="AH941" s="4">
        <v>1</v>
      </c>
      <c r="AI941" s="4">
        <v>1</v>
      </c>
      <c r="AJ941" s="4">
        <v>5</v>
      </c>
      <c r="AK941" s="4">
        <v>5</v>
      </c>
      <c r="AL941" s="4">
        <v>0</v>
      </c>
      <c r="AM941" s="4">
        <v>0</v>
      </c>
      <c r="AN941" s="4">
        <v>0</v>
      </c>
      <c r="AO941" s="4">
        <v>0</v>
      </c>
      <c r="AP941" s="3" t="s">
        <v>59</v>
      </c>
      <c r="AQ941" s="3" t="s">
        <v>70</v>
      </c>
      <c r="AR941" s="6" t="str">
        <f>HYPERLINK("http://catalog.hathitrust.org/Record/002076436","HathiTrust Record")</f>
        <v>HathiTrust Record</v>
      </c>
      <c r="AS941" s="6" t="str">
        <f>HYPERLINK("https://creighton-primo.hosted.exlibrisgroup.com/primo-explore/search?tab=default_tab&amp;search_scope=EVERYTHING&amp;vid=01CRU&amp;lang=en_US&amp;offset=0&amp;query=any,contains,991003654439702656","Catalog Record")</f>
        <v>Catalog Record</v>
      </c>
      <c r="AT941" s="6" t="str">
        <f>HYPERLINK("http://www.worldcat.org/oclc/1258213","WorldCat Record")</f>
        <v>WorldCat Record</v>
      </c>
      <c r="AU941" s="3" t="s">
        <v>11789</v>
      </c>
      <c r="AV941" s="3" t="s">
        <v>11790</v>
      </c>
      <c r="AW941" s="3" t="s">
        <v>11791</v>
      </c>
      <c r="AX941" s="3" t="s">
        <v>11791</v>
      </c>
      <c r="AY941" s="3" t="s">
        <v>11792</v>
      </c>
      <c r="AZ941" s="3" t="s">
        <v>75</v>
      </c>
      <c r="BB941" s="3" t="s">
        <v>11793</v>
      </c>
      <c r="BC941" s="3" t="s">
        <v>11794</v>
      </c>
      <c r="BD941" s="3" t="s">
        <v>11795</v>
      </c>
    </row>
    <row r="942" spans="1:56" ht="48" customHeight="1" x14ac:dyDescent="0.25">
      <c r="A942" s="7" t="s">
        <v>59</v>
      </c>
      <c r="B942" s="2" t="s">
        <v>11796</v>
      </c>
      <c r="C942" s="2" t="s">
        <v>11797</v>
      </c>
      <c r="D942" s="2" t="s">
        <v>11798</v>
      </c>
      <c r="F942" s="3" t="s">
        <v>59</v>
      </c>
      <c r="G942" s="3" t="s">
        <v>60</v>
      </c>
      <c r="H942" s="3" t="s">
        <v>59</v>
      </c>
      <c r="I942" s="3" t="s">
        <v>59</v>
      </c>
      <c r="J942" s="3" t="s">
        <v>61</v>
      </c>
      <c r="K942" s="2" t="s">
        <v>923</v>
      </c>
      <c r="L942" s="2" t="s">
        <v>10294</v>
      </c>
      <c r="M942" s="3" t="s">
        <v>98</v>
      </c>
      <c r="O942" s="3" t="s">
        <v>64</v>
      </c>
      <c r="P942" s="3" t="s">
        <v>1201</v>
      </c>
      <c r="Q942" s="2" t="s">
        <v>11799</v>
      </c>
      <c r="R942" s="3" t="s">
        <v>67</v>
      </c>
      <c r="S942" s="4">
        <v>3</v>
      </c>
      <c r="T942" s="4">
        <v>3</v>
      </c>
      <c r="U942" s="5" t="s">
        <v>11800</v>
      </c>
      <c r="V942" s="5" t="s">
        <v>11800</v>
      </c>
      <c r="W942" s="5" t="s">
        <v>501</v>
      </c>
      <c r="X942" s="5" t="s">
        <v>501</v>
      </c>
      <c r="Y942" s="4">
        <v>519</v>
      </c>
      <c r="Z942" s="4">
        <v>371</v>
      </c>
      <c r="AA942" s="4">
        <v>389</v>
      </c>
      <c r="AB942" s="4">
        <v>4</v>
      </c>
      <c r="AC942" s="4">
        <v>4</v>
      </c>
      <c r="AD942" s="4">
        <v>12</v>
      </c>
      <c r="AE942" s="4">
        <v>14</v>
      </c>
      <c r="AF942" s="4">
        <v>2</v>
      </c>
      <c r="AG942" s="4">
        <v>3</v>
      </c>
      <c r="AH942" s="4">
        <v>2</v>
      </c>
      <c r="AI942" s="4">
        <v>3</v>
      </c>
      <c r="AJ942" s="4">
        <v>8</v>
      </c>
      <c r="AK942" s="4">
        <v>10</v>
      </c>
      <c r="AL942" s="4">
        <v>3</v>
      </c>
      <c r="AM942" s="4">
        <v>3</v>
      </c>
      <c r="AN942" s="4">
        <v>0</v>
      </c>
      <c r="AO942" s="4">
        <v>0</v>
      </c>
      <c r="AP942" s="3" t="s">
        <v>59</v>
      </c>
      <c r="AQ942" s="3" t="s">
        <v>70</v>
      </c>
      <c r="AR942" s="6" t="str">
        <f>HYPERLINK("http://catalog.hathitrust.org/Record/001553611","HathiTrust Record")</f>
        <v>HathiTrust Record</v>
      </c>
      <c r="AS942" s="6" t="str">
        <f>HYPERLINK("https://creighton-primo.hosted.exlibrisgroup.com/primo-explore/search?tab=default_tab&amp;search_scope=EVERYTHING&amp;vid=01CRU&amp;lang=en_US&amp;offset=0&amp;query=any,contains,991001234569702656","Catalog Record")</f>
        <v>Catalog Record</v>
      </c>
      <c r="AT942" s="6" t="str">
        <f>HYPERLINK("http://www.worldcat.org/oclc/205030","WorldCat Record")</f>
        <v>WorldCat Record</v>
      </c>
      <c r="AU942" s="3" t="s">
        <v>11801</v>
      </c>
      <c r="AV942" s="3" t="s">
        <v>11802</v>
      </c>
      <c r="AW942" s="3" t="s">
        <v>11803</v>
      </c>
      <c r="AX942" s="3" t="s">
        <v>11803</v>
      </c>
      <c r="AY942" s="3" t="s">
        <v>11804</v>
      </c>
      <c r="AZ942" s="3" t="s">
        <v>75</v>
      </c>
      <c r="BB942" s="3" t="s">
        <v>11805</v>
      </c>
      <c r="BC942" s="3" t="s">
        <v>11806</v>
      </c>
      <c r="BD942" s="3" t="s">
        <v>11807</v>
      </c>
    </row>
    <row r="943" spans="1:56" ht="48" customHeight="1" x14ac:dyDescent="0.25">
      <c r="A943" s="7" t="s">
        <v>59</v>
      </c>
      <c r="B943" s="2" t="s">
        <v>11808</v>
      </c>
      <c r="C943" s="2" t="s">
        <v>11809</v>
      </c>
      <c r="D943" s="2" t="s">
        <v>11810</v>
      </c>
      <c r="F943" s="3" t="s">
        <v>59</v>
      </c>
      <c r="G943" s="3" t="s">
        <v>60</v>
      </c>
      <c r="H943" s="3" t="s">
        <v>59</v>
      </c>
      <c r="I943" s="3" t="s">
        <v>59</v>
      </c>
      <c r="J943" s="3" t="s">
        <v>61</v>
      </c>
      <c r="L943" s="2" t="s">
        <v>11811</v>
      </c>
      <c r="M943" s="3" t="s">
        <v>190</v>
      </c>
      <c r="O943" s="3" t="s">
        <v>64</v>
      </c>
      <c r="P943" s="3" t="s">
        <v>1257</v>
      </c>
      <c r="R943" s="3" t="s">
        <v>67</v>
      </c>
      <c r="S943" s="4">
        <v>2</v>
      </c>
      <c r="T943" s="4">
        <v>2</v>
      </c>
      <c r="U943" s="5" t="s">
        <v>8965</v>
      </c>
      <c r="V943" s="5" t="s">
        <v>8965</v>
      </c>
      <c r="W943" s="5" t="s">
        <v>148</v>
      </c>
      <c r="X943" s="5" t="s">
        <v>148</v>
      </c>
      <c r="Y943" s="4">
        <v>156</v>
      </c>
      <c r="Z943" s="4">
        <v>94</v>
      </c>
      <c r="AA943" s="4">
        <v>96</v>
      </c>
      <c r="AB943" s="4">
        <v>2</v>
      </c>
      <c r="AC943" s="4">
        <v>2</v>
      </c>
      <c r="AD943" s="4">
        <v>2</v>
      </c>
      <c r="AE943" s="4">
        <v>2</v>
      </c>
      <c r="AF943" s="4">
        <v>0</v>
      </c>
      <c r="AG943" s="4">
        <v>0</v>
      </c>
      <c r="AH943" s="4">
        <v>1</v>
      </c>
      <c r="AI943" s="4">
        <v>1</v>
      </c>
      <c r="AJ943" s="4">
        <v>0</v>
      </c>
      <c r="AK943" s="4">
        <v>0</v>
      </c>
      <c r="AL943" s="4">
        <v>1</v>
      </c>
      <c r="AM943" s="4">
        <v>1</v>
      </c>
      <c r="AN943" s="4">
        <v>0</v>
      </c>
      <c r="AO943" s="4">
        <v>0</v>
      </c>
      <c r="AP943" s="3" t="s">
        <v>59</v>
      </c>
      <c r="AQ943" s="3" t="s">
        <v>70</v>
      </c>
      <c r="AR943" s="6" t="str">
        <f>HYPERLINK("http://catalog.hathitrust.org/Record/000438238","HathiTrust Record")</f>
        <v>HathiTrust Record</v>
      </c>
      <c r="AS943" s="6" t="str">
        <f>HYPERLINK("https://creighton-primo.hosted.exlibrisgroup.com/primo-explore/search?tab=default_tab&amp;search_scope=EVERYTHING&amp;vid=01CRU&amp;lang=en_US&amp;offset=0&amp;query=any,contains,991000804579702656","Catalog Record")</f>
        <v>Catalog Record</v>
      </c>
      <c r="AT943" s="6" t="str">
        <f>HYPERLINK("http://www.worldcat.org/oclc/13270655","WorldCat Record")</f>
        <v>WorldCat Record</v>
      </c>
      <c r="AU943" s="3" t="s">
        <v>11812</v>
      </c>
      <c r="AV943" s="3" t="s">
        <v>11813</v>
      </c>
      <c r="AW943" s="3" t="s">
        <v>11814</v>
      </c>
      <c r="AX943" s="3" t="s">
        <v>11814</v>
      </c>
      <c r="AY943" s="3" t="s">
        <v>11815</v>
      </c>
      <c r="AZ943" s="3" t="s">
        <v>75</v>
      </c>
      <c r="BB943" s="3" t="s">
        <v>11816</v>
      </c>
      <c r="BC943" s="3" t="s">
        <v>11817</v>
      </c>
      <c r="BD943" s="3" t="s">
        <v>11818</v>
      </c>
    </row>
    <row r="944" spans="1:56" ht="48" customHeight="1" x14ac:dyDescent="0.25">
      <c r="A944" s="7" t="s">
        <v>59</v>
      </c>
      <c r="B944" s="2" t="s">
        <v>11819</v>
      </c>
      <c r="C944" s="2" t="s">
        <v>11820</v>
      </c>
      <c r="D944" s="2" t="s">
        <v>11821</v>
      </c>
      <c r="F944" s="3" t="s">
        <v>59</v>
      </c>
      <c r="G944" s="3" t="s">
        <v>60</v>
      </c>
      <c r="H944" s="3" t="s">
        <v>59</v>
      </c>
      <c r="I944" s="3" t="s">
        <v>59</v>
      </c>
      <c r="J944" s="3" t="s">
        <v>61</v>
      </c>
      <c r="K944" s="2" t="s">
        <v>11822</v>
      </c>
      <c r="L944" s="2" t="s">
        <v>11823</v>
      </c>
      <c r="M944" s="3" t="s">
        <v>248</v>
      </c>
      <c r="O944" s="3" t="s">
        <v>64</v>
      </c>
      <c r="P944" s="3" t="s">
        <v>130</v>
      </c>
      <c r="R944" s="3" t="s">
        <v>67</v>
      </c>
      <c r="S944" s="4">
        <v>3</v>
      </c>
      <c r="T944" s="4">
        <v>3</v>
      </c>
      <c r="U944" s="5" t="s">
        <v>8342</v>
      </c>
      <c r="V944" s="5" t="s">
        <v>8342</v>
      </c>
      <c r="W944" s="5" t="s">
        <v>148</v>
      </c>
      <c r="X944" s="5" t="s">
        <v>148</v>
      </c>
      <c r="Y944" s="4">
        <v>69</v>
      </c>
      <c r="Z944" s="4">
        <v>62</v>
      </c>
      <c r="AA944" s="4">
        <v>75</v>
      </c>
      <c r="AB944" s="4">
        <v>2</v>
      </c>
      <c r="AC944" s="4">
        <v>2</v>
      </c>
      <c r="AD944" s="4">
        <v>2</v>
      </c>
      <c r="AE944" s="4">
        <v>2</v>
      </c>
      <c r="AF944" s="4">
        <v>0</v>
      </c>
      <c r="AG944" s="4">
        <v>0</v>
      </c>
      <c r="AH944" s="4">
        <v>0</v>
      </c>
      <c r="AI944" s="4">
        <v>0</v>
      </c>
      <c r="AJ944" s="4">
        <v>1</v>
      </c>
      <c r="AK944" s="4">
        <v>1</v>
      </c>
      <c r="AL944" s="4">
        <v>1</v>
      </c>
      <c r="AM944" s="4">
        <v>1</v>
      </c>
      <c r="AN944" s="4">
        <v>0</v>
      </c>
      <c r="AO944" s="4">
        <v>0</v>
      </c>
      <c r="AP944" s="3" t="s">
        <v>59</v>
      </c>
      <c r="AQ944" s="3" t="s">
        <v>59</v>
      </c>
      <c r="AS944" s="6" t="str">
        <f>HYPERLINK("https://creighton-primo.hosted.exlibrisgroup.com/primo-explore/search?tab=default_tab&amp;search_scope=EVERYTHING&amp;vid=01CRU&amp;lang=en_US&amp;offset=0&amp;query=any,contains,991005154079702656","Catalog Record")</f>
        <v>Catalog Record</v>
      </c>
      <c r="AT944" s="6" t="str">
        <f>HYPERLINK("http://www.worldcat.org/oclc/7737640","WorldCat Record")</f>
        <v>WorldCat Record</v>
      </c>
      <c r="AU944" s="3" t="s">
        <v>11824</v>
      </c>
      <c r="AV944" s="3" t="s">
        <v>11825</v>
      </c>
      <c r="AW944" s="3" t="s">
        <v>11826</v>
      </c>
      <c r="AX944" s="3" t="s">
        <v>11826</v>
      </c>
      <c r="AY944" s="3" t="s">
        <v>11827</v>
      </c>
      <c r="AZ944" s="3" t="s">
        <v>75</v>
      </c>
      <c r="BB944" s="3" t="s">
        <v>11828</v>
      </c>
      <c r="BC944" s="3" t="s">
        <v>11829</v>
      </c>
      <c r="BD944" s="3" t="s">
        <v>11830</v>
      </c>
    </row>
    <row r="945" spans="1:56" ht="48" customHeight="1" x14ac:dyDescent="0.25">
      <c r="A945" s="7" t="s">
        <v>59</v>
      </c>
      <c r="B945" s="2" t="s">
        <v>11831</v>
      </c>
      <c r="C945" s="2" t="s">
        <v>11832</v>
      </c>
      <c r="D945" s="2" t="s">
        <v>11833</v>
      </c>
      <c r="F945" s="3" t="s">
        <v>59</v>
      </c>
      <c r="G945" s="3" t="s">
        <v>60</v>
      </c>
      <c r="H945" s="3" t="s">
        <v>59</v>
      </c>
      <c r="I945" s="3" t="s">
        <v>59</v>
      </c>
      <c r="J945" s="3" t="s">
        <v>61</v>
      </c>
      <c r="K945" s="2" t="s">
        <v>11834</v>
      </c>
      <c r="L945" s="2" t="s">
        <v>11835</v>
      </c>
      <c r="M945" s="3" t="s">
        <v>248</v>
      </c>
      <c r="O945" s="3" t="s">
        <v>64</v>
      </c>
      <c r="P945" s="3" t="s">
        <v>130</v>
      </c>
      <c r="R945" s="3" t="s">
        <v>67</v>
      </c>
      <c r="S945" s="4">
        <v>13</v>
      </c>
      <c r="T945" s="4">
        <v>13</v>
      </c>
      <c r="U945" s="5" t="s">
        <v>11836</v>
      </c>
      <c r="V945" s="5" t="s">
        <v>11836</v>
      </c>
      <c r="W945" s="5" t="s">
        <v>148</v>
      </c>
      <c r="X945" s="5" t="s">
        <v>148</v>
      </c>
      <c r="Y945" s="4">
        <v>225</v>
      </c>
      <c r="Z945" s="4">
        <v>205</v>
      </c>
      <c r="AA945" s="4">
        <v>210</v>
      </c>
      <c r="AB945" s="4">
        <v>2</v>
      </c>
      <c r="AC945" s="4">
        <v>2</v>
      </c>
      <c r="AD945" s="4">
        <v>4</v>
      </c>
      <c r="AE945" s="4">
        <v>4</v>
      </c>
      <c r="AF945" s="4">
        <v>1</v>
      </c>
      <c r="AG945" s="4">
        <v>1</v>
      </c>
      <c r="AH945" s="4">
        <v>2</v>
      </c>
      <c r="AI945" s="4">
        <v>2</v>
      </c>
      <c r="AJ945" s="4">
        <v>1</v>
      </c>
      <c r="AK945" s="4">
        <v>1</v>
      </c>
      <c r="AL945" s="4">
        <v>1</v>
      </c>
      <c r="AM945" s="4">
        <v>1</v>
      </c>
      <c r="AN945" s="4">
        <v>0</v>
      </c>
      <c r="AO945" s="4">
        <v>0</v>
      </c>
      <c r="AP945" s="3" t="s">
        <v>59</v>
      </c>
      <c r="AQ945" s="3" t="s">
        <v>59</v>
      </c>
      <c r="AS945" s="6" t="str">
        <f>HYPERLINK("https://creighton-primo.hosted.exlibrisgroup.com/primo-explore/search?tab=default_tab&amp;search_scope=EVERYTHING&amp;vid=01CRU&amp;lang=en_US&amp;offset=0&amp;query=any,contains,991005012199702656","Catalog Record")</f>
        <v>Catalog Record</v>
      </c>
      <c r="AT945" s="6" t="str">
        <f>HYPERLINK("http://www.worldcat.org/oclc/6603444","WorldCat Record")</f>
        <v>WorldCat Record</v>
      </c>
      <c r="AU945" s="3" t="s">
        <v>11837</v>
      </c>
      <c r="AV945" s="3" t="s">
        <v>11838</v>
      </c>
      <c r="AW945" s="3" t="s">
        <v>11839</v>
      </c>
      <c r="AX945" s="3" t="s">
        <v>11839</v>
      </c>
      <c r="AY945" s="3" t="s">
        <v>11840</v>
      </c>
      <c r="AZ945" s="3" t="s">
        <v>75</v>
      </c>
      <c r="BB945" s="3" t="s">
        <v>11841</v>
      </c>
      <c r="BC945" s="3" t="s">
        <v>11842</v>
      </c>
      <c r="BD945" s="3" t="s">
        <v>11843</v>
      </c>
    </row>
    <row r="946" spans="1:56" ht="48" customHeight="1" x14ac:dyDescent="0.25">
      <c r="A946" s="7" t="s">
        <v>59</v>
      </c>
      <c r="B946" s="2" t="s">
        <v>11844</v>
      </c>
      <c r="C946" s="2" t="s">
        <v>11845</v>
      </c>
      <c r="D946" s="2" t="s">
        <v>11846</v>
      </c>
      <c r="F946" s="3" t="s">
        <v>59</v>
      </c>
      <c r="G946" s="3" t="s">
        <v>60</v>
      </c>
      <c r="H946" s="3" t="s">
        <v>59</v>
      </c>
      <c r="I946" s="3" t="s">
        <v>59</v>
      </c>
      <c r="J946" s="3" t="s">
        <v>61</v>
      </c>
      <c r="K946" s="2" t="s">
        <v>11847</v>
      </c>
      <c r="L946" s="2" t="s">
        <v>11848</v>
      </c>
      <c r="M946" s="3" t="s">
        <v>500</v>
      </c>
      <c r="O946" s="3" t="s">
        <v>64</v>
      </c>
      <c r="P946" s="3" t="s">
        <v>176</v>
      </c>
      <c r="Q946" s="2" t="s">
        <v>11849</v>
      </c>
      <c r="R946" s="3" t="s">
        <v>67</v>
      </c>
      <c r="S946" s="4">
        <v>4</v>
      </c>
      <c r="T946" s="4">
        <v>4</v>
      </c>
      <c r="U946" s="5" t="s">
        <v>446</v>
      </c>
      <c r="V946" s="5" t="s">
        <v>446</v>
      </c>
      <c r="W946" s="5" t="s">
        <v>10766</v>
      </c>
      <c r="X946" s="5" t="s">
        <v>10766</v>
      </c>
      <c r="Y946" s="4">
        <v>343</v>
      </c>
      <c r="Z946" s="4">
        <v>303</v>
      </c>
      <c r="AA946" s="4">
        <v>311</v>
      </c>
      <c r="AB946" s="4">
        <v>5</v>
      </c>
      <c r="AC946" s="4">
        <v>5</v>
      </c>
      <c r="AD946" s="4">
        <v>9</v>
      </c>
      <c r="AE946" s="4">
        <v>9</v>
      </c>
      <c r="AF946" s="4">
        <v>1</v>
      </c>
      <c r="AG946" s="4">
        <v>1</v>
      </c>
      <c r="AH946" s="4">
        <v>1</v>
      </c>
      <c r="AI946" s="4">
        <v>1</v>
      </c>
      <c r="AJ946" s="4">
        <v>4</v>
      </c>
      <c r="AK946" s="4">
        <v>4</v>
      </c>
      <c r="AL946" s="4">
        <v>4</v>
      </c>
      <c r="AM946" s="4">
        <v>4</v>
      </c>
      <c r="AN946" s="4">
        <v>0</v>
      </c>
      <c r="AO946" s="4">
        <v>0</v>
      </c>
      <c r="AP946" s="3" t="s">
        <v>59</v>
      </c>
      <c r="AQ946" s="3" t="s">
        <v>70</v>
      </c>
      <c r="AR946" s="6" t="str">
        <f>HYPERLINK("http://catalog.hathitrust.org/Record/001555931","HathiTrust Record")</f>
        <v>HathiTrust Record</v>
      </c>
      <c r="AS946" s="6" t="str">
        <f>HYPERLINK("https://creighton-primo.hosted.exlibrisgroup.com/primo-explore/search?tab=default_tab&amp;search_scope=EVERYTHING&amp;vid=01CRU&amp;lang=en_US&amp;offset=0&amp;query=any,contains,991000376159702656","Catalog Record")</f>
        <v>Catalog Record</v>
      </c>
      <c r="AT946" s="6" t="str">
        <f>HYPERLINK("http://www.worldcat.org/oclc/71794","WorldCat Record")</f>
        <v>WorldCat Record</v>
      </c>
      <c r="AU946" s="3" t="s">
        <v>11850</v>
      </c>
      <c r="AV946" s="3" t="s">
        <v>11851</v>
      </c>
      <c r="AW946" s="3" t="s">
        <v>11852</v>
      </c>
      <c r="AX946" s="3" t="s">
        <v>11852</v>
      </c>
      <c r="AY946" s="3" t="s">
        <v>11853</v>
      </c>
      <c r="AZ946" s="3" t="s">
        <v>75</v>
      </c>
      <c r="BC946" s="3" t="s">
        <v>11854</v>
      </c>
      <c r="BD946" s="3" t="s">
        <v>11855</v>
      </c>
    </row>
    <row r="947" spans="1:56" ht="48" customHeight="1" x14ac:dyDescent="0.25">
      <c r="A947" s="7" t="s">
        <v>59</v>
      </c>
      <c r="B947" s="2" t="s">
        <v>11856</v>
      </c>
      <c r="C947" s="2" t="s">
        <v>11857</v>
      </c>
      <c r="D947" s="2" t="s">
        <v>11858</v>
      </c>
      <c r="F947" s="3" t="s">
        <v>59</v>
      </c>
      <c r="G947" s="3" t="s">
        <v>60</v>
      </c>
      <c r="H947" s="3" t="s">
        <v>59</v>
      </c>
      <c r="I947" s="3" t="s">
        <v>59</v>
      </c>
      <c r="J947" s="3" t="s">
        <v>61</v>
      </c>
      <c r="K947" s="2" t="s">
        <v>11859</v>
      </c>
      <c r="L947" s="2" t="s">
        <v>11860</v>
      </c>
      <c r="M947" s="3" t="s">
        <v>6695</v>
      </c>
      <c r="O947" s="3" t="s">
        <v>64</v>
      </c>
      <c r="P947" s="3" t="s">
        <v>130</v>
      </c>
      <c r="R947" s="3" t="s">
        <v>67</v>
      </c>
      <c r="S947" s="4">
        <v>1</v>
      </c>
      <c r="T947" s="4">
        <v>1</v>
      </c>
      <c r="U947" s="5" t="s">
        <v>9869</v>
      </c>
      <c r="V947" s="5" t="s">
        <v>9869</v>
      </c>
      <c r="W947" s="5" t="s">
        <v>501</v>
      </c>
      <c r="X947" s="5" t="s">
        <v>501</v>
      </c>
      <c r="Y947" s="4">
        <v>261</v>
      </c>
      <c r="Z947" s="4">
        <v>189</v>
      </c>
      <c r="AA947" s="4">
        <v>191</v>
      </c>
      <c r="AB947" s="4">
        <v>2</v>
      </c>
      <c r="AC947" s="4">
        <v>2</v>
      </c>
      <c r="AD947" s="4">
        <v>8</v>
      </c>
      <c r="AE947" s="4">
        <v>8</v>
      </c>
      <c r="AF947" s="4">
        <v>1</v>
      </c>
      <c r="AG947" s="4">
        <v>1</v>
      </c>
      <c r="AH947" s="4">
        <v>4</v>
      </c>
      <c r="AI947" s="4">
        <v>4</v>
      </c>
      <c r="AJ947" s="4">
        <v>5</v>
      </c>
      <c r="AK947" s="4">
        <v>5</v>
      </c>
      <c r="AL947" s="4">
        <v>1</v>
      </c>
      <c r="AM947" s="4">
        <v>1</v>
      </c>
      <c r="AN947" s="4">
        <v>0</v>
      </c>
      <c r="AO947" s="4">
        <v>0</v>
      </c>
      <c r="AP947" s="3" t="s">
        <v>59</v>
      </c>
      <c r="AQ947" s="3" t="s">
        <v>70</v>
      </c>
      <c r="AR947" s="6" t="str">
        <f>HYPERLINK("http://catalog.hathitrust.org/Record/001553615","HathiTrust Record")</f>
        <v>HathiTrust Record</v>
      </c>
      <c r="AS947" s="6" t="str">
        <f>HYPERLINK("https://creighton-primo.hosted.exlibrisgroup.com/primo-explore/search?tab=default_tab&amp;search_scope=EVERYTHING&amp;vid=01CRU&amp;lang=en_US&amp;offset=0&amp;query=any,contains,991002987659702656","Catalog Record")</f>
        <v>Catalog Record</v>
      </c>
      <c r="AT947" s="6" t="str">
        <f>HYPERLINK("http://www.worldcat.org/oclc/558444","WorldCat Record")</f>
        <v>WorldCat Record</v>
      </c>
      <c r="AU947" s="3" t="s">
        <v>11861</v>
      </c>
      <c r="AV947" s="3" t="s">
        <v>11862</v>
      </c>
      <c r="AW947" s="3" t="s">
        <v>11863</v>
      </c>
      <c r="AX947" s="3" t="s">
        <v>11863</v>
      </c>
      <c r="AY947" s="3" t="s">
        <v>11864</v>
      </c>
      <c r="AZ947" s="3" t="s">
        <v>75</v>
      </c>
      <c r="BC947" s="3" t="s">
        <v>11865</v>
      </c>
      <c r="BD947" s="3" t="s">
        <v>11866</v>
      </c>
    </row>
    <row r="948" spans="1:56" ht="48" customHeight="1" x14ac:dyDescent="0.25">
      <c r="A948" s="7" t="s">
        <v>59</v>
      </c>
      <c r="B948" s="2" t="s">
        <v>11867</v>
      </c>
      <c r="C948" s="2" t="s">
        <v>11868</v>
      </c>
      <c r="D948" s="2" t="s">
        <v>11869</v>
      </c>
      <c r="F948" s="3" t="s">
        <v>59</v>
      </c>
      <c r="G948" s="3" t="s">
        <v>60</v>
      </c>
      <c r="H948" s="3" t="s">
        <v>59</v>
      </c>
      <c r="I948" s="3" t="s">
        <v>59</v>
      </c>
      <c r="J948" s="3" t="s">
        <v>61</v>
      </c>
      <c r="K948" s="2" t="s">
        <v>11870</v>
      </c>
      <c r="L948" s="2" t="s">
        <v>11871</v>
      </c>
      <c r="M948" s="3" t="s">
        <v>535</v>
      </c>
      <c r="O948" s="3" t="s">
        <v>64</v>
      </c>
      <c r="P948" s="3" t="s">
        <v>278</v>
      </c>
      <c r="R948" s="3" t="s">
        <v>67</v>
      </c>
      <c r="S948" s="4">
        <v>1</v>
      </c>
      <c r="T948" s="4">
        <v>1</v>
      </c>
      <c r="U948" s="5" t="s">
        <v>11872</v>
      </c>
      <c r="V948" s="5" t="s">
        <v>11872</v>
      </c>
      <c r="W948" s="5" t="s">
        <v>11873</v>
      </c>
      <c r="X948" s="5" t="s">
        <v>11873</v>
      </c>
      <c r="Y948" s="4">
        <v>17</v>
      </c>
      <c r="Z948" s="4">
        <v>17</v>
      </c>
      <c r="AA948" s="4">
        <v>19</v>
      </c>
      <c r="AB948" s="4">
        <v>1</v>
      </c>
      <c r="AC948" s="4">
        <v>1</v>
      </c>
      <c r="AD948" s="4">
        <v>1</v>
      </c>
      <c r="AE948" s="4">
        <v>1</v>
      </c>
      <c r="AF948" s="4">
        <v>0</v>
      </c>
      <c r="AG948" s="4">
        <v>0</v>
      </c>
      <c r="AH948" s="4">
        <v>0</v>
      </c>
      <c r="AI948" s="4">
        <v>0</v>
      </c>
      <c r="AJ948" s="4">
        <v>1</v>
      </c>
      <c r="AK948" s="4">
        <v>1</v>
      </c>
      <c r="AL948" s="4">
        <v>0</v>
      </c>
      <c r="AM948" s="4">
        <v>0</v>
      </c>
      <c r="AN948" s="4">
        <v>0</v>
      </c>
      <c r="AO948" s="4">
        <v>0</v>
      </c>
      <c r="AP948" s="3" t="s">
        <v>59</v>
      </c>
      <c r="AQ948" s="3" t="s">
        <v>70</v>
      </c>
      <c r="AR948" s="6" t="str">
        <f>HYPERLINK("http://catalog.hathitrust.org/Record/003442438","HathiTrust Record")</f>
        <v>HathiTrust Record</v>
      </c>
      <c r="AS948" s="6" t="str">
        <f>HYPERLINK("https://creighton-primo.hosted.exlibrisgroup.com/primo-explore/search?tab=default_tab&amp;search_scope=EVERYTHING&amp;vid=01CRU&amp;lang=en_US&amp;offset=0&amp;query=any,contains,991003821969702656","Catalog Record")</f>
        <v>Catalog Record</v>
      </c>
      <c r="AT948" s="6" t="str">
        <f>HYPERLINK("http://www.worldcat.org/oclc/1561110","WorldCat Record")</f>
        <v>WorldCat Record</v>
      </c>
      <c r="AU948" s="3" t="s">
        <v>11874</v>
      </c>
      <c r="AV948" s="3" t="s">
        <v>11875</v>
      </c>
      <c r="AW948" s="3" t="s">
        <v>11876</v>
      </c>
      <c r="AX948" s="3" t="s">
        <v>11876</v>
      </c>
      <c r="AY948" s="3" t="s">
        <v>11877</v>
      </c>
      <c r="AZ948" s="3" t="s">
        <v>75</v>
      </c>
      <c r="BC948" s="3" t="s">
        <v>11878</v>
      </c>
      <c r="BD948" s="3" t="s">
        <v>11879</v>
      </c>
    </row>
    <row r="949" spans="1:56" ht="48" customHeight="1" x14ac:dyDescent="0.25">
      <c r="A949" s="7" t="s">
        <v>59</v>
      </c>
      <c r="B949" s="2" t="s">
        <v>11880</v>
      </c>
      <c r="C949" s="2" t="s">
        <v>11881</v>
      </c>
      <c r="D949" s="2" t="s">
        <v>11882</v>
      </c>
      <c r="F949" s="3" t="s">
        <v>59</v>
      </c>
      <c r="G949" s="3" t="s">
        <v>60</v>
      </c>
      <c r="H949" s="3" t="s">
        <v>59</v>
      </c>
      <c r="I949" s="3" t="s">
        <v>59</v>
      </c>
      <c r="J949" s="3" t="s">
        <v>61</v>
      </c>
      <c r="K949" s="2" t="s">
        <v>11883</v>
      </c>
      <c r="L949" s="2" t="s">
        <v>11884</v>
      </c>
      <c r="M949" s="3" t="s">
        <v>500</v>
      </c>
      <c r="O949" s="3" t="s">
        <v>64</v>
      </c>
      <c r="P949" s="3" t="s">
        <v>130</v>
      </c>
      <c r="R949" s="3" t="s">
        <v>67</v>
      </c>
      <c r="S949" s="4">
        <v>1</v>
      </c>
      <c r="T949" s="4">
        <v>1</v>
      </c>
      <c r="U949" s="5" t="s">
        <v>9869</v>
      </c>
      <c r="V949" s="5" t="s">
        <v>9869</v>
      </c>
      <c r="W949" s="5" t="s">
        <v>501</v>
      </c>
      <c r="X949" s="5" t="s">
        <v>501</v>
      </c>
      <c r="Y949" s="4">
        <v>260</v>
      </c>
      <c r="Z949" s="4">
        <v>184</v>
      </c>
      <c r="AA949" s="4">
        <v>185</v>
      </c>
      <c r="AB949" s="4">
        <v>3</v>
      </c>
      <c r="AC949" s="4">
        <v>3</v>
      </c>
      <c r="AD949" s="4">
        <v>5</v>
      </c>
      <c r="AE949" s="4">
        <v>5</v>
      </c>
      <c r="AF949" s="4">
        <v>0</v>
      </c>
      <c r="AG949" s="4">
        <v>0</v>
      </c>
      <c r="AH949" s="4">
        <v>2</v>
      </c>
      <c r="AI949" s="4">
        <v>2</v>
      </c>
      <c r="AJ949" s="4">
        <v>2</v>
      </c>
      <c r="AK949" s="4">
        <v>2</v>
      </c>
      <c r="AL949" s="4">
        <v>2</v>
      </c>
      <c r="AM949" s="4">
        <v>2</v>
      </c>
      <c r="AN949" s="4">
        <v>0</v>
      </c>
      <c r="AO949" s="4">
        <v>0</v>
      </c>
      <c r="AP949" s="3" t="s">
        <v>59</v>
      </c>
      <c r="AQ949" s="3" t="s">
        <v>70</v>
      </c>
      <c r="AR949" s="6" t="str">
        <f>HYPERLINK("http://catalog.hathitrust.org/Record/006254637","HathiTrust Record")</f>
        <v>HathiTrust Record</v>
      </c>
      <c r="AS949" s="6" t="str">
        <f>HYPERLINK("https://creighton-primo.hosted.exlibrisgroup.com/primo-explore/search?tab=default_tab&amp;search_scope=EVERYTHING&amp;vid=01CRU&amp;lang=en_US&amp;offset=0&amp;query=any,contains,991000590539702656","Catalog Record")</f>
        <v>Catalog Record</v>
      </c>
      <c r="AT949" s="6" t="str">
        <f>HYPERLINK("http://www.worldcat.org/oclc/96702","WorldCat Record")</f>
        <v>WorldCat Record</v>
      </c>
      <c r="AU949" s="3" t="s">
        <v>11885</v>
      </c>
      <c r="AV949" s="3" t="s">
        <v>11886</v>
      </c>
      <c r="AW949" s="3" t="s">
        <v>11887</v>
      </c>
      <c r="AX949" s="3" t="s">
        <v>11887</v>
      </c>
      <c r="AY949" s="3" t="s">
        <v>11888</v>
      </c>
      <c r="AZ949" s="3" t="s">
        <v>75</v>
      </c>
      <c r="BB949" s="3" t="s">
        <v>11889</v>
      </c>
      <c r="BC949" s="3" t="s">
        <v>11890</v>
      </c>
      <c r="BD949" s="3" t="s">
        <v>11891</v>
      </c>
    </row>
    <row r="950" spans="1:56" ht="48" customHeight="1" x14ac:dyDescent="0.25">
      <c r="A950" s="7" t="s">
        <v>59</v>
      </c>
      <c r="B950" s="2" t="s">
        <v>11892</v>
      </c>
      <c r="C950" s="2" t="s">
        <v>11893</v>
      </c>
      <c r="D950" s="2" t="s">
        <v>11894</v>
      </c>
      <c r="F950" s="3" t="s">
        <v>59</v>
      </c>
      <c r="G950" s="3" t="s">
        <v>60</v>
      </c>
      <c r="H950" s="3" t="s">
        <v>59</v>
      </c>
      <c r="I950" s="3" t="s">
        <v>59</v>
      </c>
      <c r="J950" s="3" t="s">
        <v>61</v>
      </c>
      <c r="L950" s="2" t="s">
        <v>11895</v>
      </c>
      <c r="M950" s="3" t="s">
        <v>98</v>
      </c>
      <c r="O950" s="3" t="s">
        <v>64</v>
      </c>
      <c r="P950" s="3" t="s">
        <v>278</v>
      </c>
      <c r="Q950" s="2" t="s">
        <v>11896</v>
      </c>
      <c r="R950" s="3" t="s">
        <v>67</v>
      </c>
      <c r="S950" s="4">
        <v>2</v>
      </c>
      <c r="T950" s="4">
        <v>2</v>
      </c>
      <c r="U950" s="5" t="s">
        <v>11897</v>
      </c>
      <c r="V950" s="5" t="s">
        <v>11897</v>
      </c>
      <c r="W950" s="5" t="s">
        <v>9158</v>
      </c>
      <c r="X950" s="5" t="s">
        <v>9158</v>
      </c>
      <c r="Y950" s="4">
        <v>17</v>
      </c>
      <c r="Z950" s="4">
        <v>15</v>
      </c>
      <c r="AA950" s="4">
        <v>16</v>
      </c>
      <c r="AB950" s="4">
        <v>1</v>
      </c>
      <c r="AC950" s="4">
        <v>1</v>
      </c>
      <c r="AD950" s="4">
        <v>1</v>
      </c>
      <c r="AE950" s="4">
        <v>1</v>
      </c>
      <c r="AF950" s="4">
        <v>0</v>
      </c>
      <c r="AG950" s="4">
        <v>0</v>
      </c>
      <c r="AH950" s="4">
        <v>0</v>
      </c>
      <c r="AI950" s="4">
        <v>0</v>
      </c>
      <c r="AJ950" s="4">
        <v>1</v>
      </c>
      <c r="AK950" s="4">
        <v>1</v>
      </c>
      <c r="AL950" s="4">
        <v>0</v>
      </c>
      <c r="AM950" s="4">
        <v>0</v>
      </c>
      <c r="AN950" s="4">
        <v>0</v>
      </c>
      <c r="AO950" s="4">
        <v>0</v>
      </c>
      <c r="AP950" s="3" t="s">
        <v>59</v>
      </c>
      <c r="AQ950" s="3" t="s">
        <v>59</v>
      </c>
      <c r="AS950" s="6" t="str">
        <f>HYPERLINK("https://creighton-primo.hosted.exlibrisgroup.com/primo-explore/search?tab=default_tab&amp;search_scope=EVERYTHING&amp;vid=01CRU&amp;lang=en_US&amp;offset=0&amp;query=any,contains,991003798809702656","Catalog Record")</f>
        <v>Catalog Record</v>
      </c>
      <c r="AT950" s="6" t="str">
        <f>HYPERLINK("http://www.worldcat.org/oclc/1524401","WorldCat Record")</f>
        <v>WorldCat Record</v>
      </c>
      <c r="AU950" s="3" t="s">
        <v>11898</v>
      </c>
      <c r="AV950" s="3" t="s">
        <v>11899</v>
      </c>
      <c r="AW950" s="3" t="s">
        <v>11900</v>
      </c>
      <c r="AX950" s="3" t="s">
        <v>11900</v>
      </c>
      <c r="AY950" s="3" t="s">
        <v>11901</v>
      </c>
      <c r="AZ950" s="3" t="s">
        <v>75</v>
      </c>
      <c r="BC950" s="3" t="s">
        <v>11902</v>
      </c>
      <c r="BD950" s="3" t="s">
        <v>11903</v>
      </c>
    </row>
    <row r="951" spans="1:56" ht="48" customHeight="1" x14ac:dyDescent="0.25">
      <c r="A951" s="7" t="s">
        <v>59</v>
      </c>
      <c r="B951" s="2" t="s">
        <v>11904</v>
      </c>
      <c r="C951" s="2" t="s">
        <v>11905</v>
      </c>
      <c r="D951" s="2" t="s">
        <v>11906</v>
      </c>
      <c r="F951" s="3" t="s">
        <v>59</v>
      </c>
      <c r="G951" s="3" t="s">
        <v>60</v>
      </c>
      <c r="H951" s="3" t="s">
        <v>59</v>
      </c>
      <c r="I951" s="3" t="s">
        <v>59</v>
      </c>
      <c r="J951" s="3" t="s">
        <v>61</v>
      </c>
      <c r="L951" s="2" t="s">
        <v>3858</v>
      </c>
      <c r="M951" s="3" t="s">
        <v>376</v>
      </c>
      <c r="O951" s="3" t="s">
        <v>64</v>
      </c>
      <c r="P951" s="3" t="s">
        <v>130</v>
      </c>
      <c r="R951" s="3" t="s">
        <v>67</v>
      </c>
      <c r="S951" s="4">
        <v>6</v>
      </c>
      <c r="T951" s="4">
        <v>6</v>
      </c>
      <c r="U951" s="5" t="s">
        <v>11907</v>
      </c>
      <c r="V951" s="5" t="s">
        <v>11907</v>
      </c>
      <c r="W951" s="5" t="s">
        <v>9158</v>
      </c>
      <c r="X951" s="5" t="s">
        <v>9158</v>
      </c>
      <c r="Y951" s="4">
        <v>369</v>
      </c>
      <c r="Z951" s="4">
        <v>301</v>
      </c>
      <c r="AA951" s="4">
        <v>307</v>
      </c>
      <c r="AB951" s="4">
        <v>2</v>
      </c>
      <c r="AC951" s="4">
        <v>2</v>
      </c>
      <c r="AD951" s="4">
        <v>10</v>
      </c>
      <c r="AE951" s="4">
        <v>10</v>
      </c>
      <c r="AF951" s="4">
        <v>3</v>
      </c>
      <c r="AG951" s="4">
        <v>3</v>
      </c>
      <c r="AH951" s="4">
        <v>3</v>
      </c>
      <c r="AI951" s="4">
        <v>3</v>
      </c>
      <c r="AJ951" s="4">
        <v>6</v>
      </c>
      <c r="AK951" s="4">
        <v>6</v>
      </c>
      <c r="AL951" s="4">
        <v>1</v>
      </c>
      <c r="AM951" s="4">
        <v>1</v>
      </c>
      <c r="AN951" s="4">
        <v>0</v>
      </c>
      <c r="AO951" s="4">
        <v>0</v>
      </c>
      <c r="AP951" s="3" t="s">
        <v>59</v>
      </c>
      <c r="AQ951" s="3" t="s">
        <v>70</v>
      </c>
      <c r="AR951" s="6" t="str">
        <f>HYPERLINK("http://catalog.hathitrust.org/Record/001555967","HathiTrust Record")</f>
        <v>HathiTrust Record</v>
      </c>
      <c r="AS951" s="6" t="str">
        <f>HYPERLINK("https://creighton-primo.hosted.exlibrisgroup.com/primo-explore/search?tab=default_tab&amp;search_scope=EVERYTHING&amp;vid=01CRU&amp;lang=en_US&amp;offset=0&amp;query=any,contains,991003025059702656","Catalog Record")</f>
        <v>Catalog Record</v>
      </c>
      <c r="AT951" s="6" t="str">
        <f>HYPERLINK("http://www.worldcat.org/oclc/589217","WorldCat Record")</f>
        <v>WorldCat Record</v>
      </c>
      <c r="AU951" s="3" t="s">
        <v>11908</v>
      </c>
      <c r="AV951" s="3" t="s">
        <v>11909</v>
      </c>
      <c r="AW951" s="3" t="s">
        <v>11910</v>
      </c>
      <c r="AX951" s="3" t="s">
        <v>11910</v>
      </c>
      <c r="AY951" s="3" t="s">
        <v>11911</v>
      </c>
      <c r="AZ951" s="3" t="s">
        <v>75</v>
      </c>
      <c r="BB951" s="3" t="s">
        <v>11912</v>
      </c>
      <c r="BC951" s="3" t="s">
        <v>11913</v>
      </c>
      <c r="BD951" s="3" t="s">
        <v>11914</v>
      </c>
    </row>
    <row r="952" spans="1:56" ht="48" customHeight="1" x14ac:dyDescent="0.25">
      <c r="A952" s="7" t="s">
        <v>59</v>
      </c>
      <c r="B952" s="2" t="s">
        <v>11915</v>
      </c>
      <c r="C952" s="2" t="s">
        <v>11916</v>
      </c>
      <c r="D952" s="2" t="s">
        <v>11917</v>
      </c>
      <c r="E952" s="3" t="s">
        <v>1470</v>
      </c>
      <c r="F952" s="3" t="s">
        <v>70</v>
      </c>
      <c r="G952" s="3" t="s">
        <v>60</v>
      </c>
      <c r="H952" s="3" t="s">
        <v>59</v>
      </c>
      <c r="I952" s="3" t="s">
        <v>59</v>
      </c>
      <c r="J952" s="3" t="s">
        <v>61</v>
      </c>
      <c r="K952" s="2" t="s">
        <v>11918</v>
      </c>
      <c r="L952" s="2" t="s">
        <v>11919</v>
      </c>
      <c r="M952" s="3" t="s">
        <v>872</v>
      </c>
      <c r="O952" s="3" t="s">
        <v>64</v>
      </c>
      <c r="P952" s="3" t="s">
        <v>130</v>
      </c>
      <c r="R952" s="3" t="s">
        <v>67</v>
      </c>
      <c r="S952" s="4">
        <v>2</v>
      </c>
      <c r="T952" s="4">
        <v>3</v>
      </c>
      <c r="U952" s="5" t="s">
        <v>11920</v>
      </c>
      <c r="V952" s="5" t="s">
        <v>11920</v>
      </c>
      <c r="W952" s="5" t="s">
        <v>9158</v>
      </c>
      <c r="X952" s="5" t="s">
        <v>9158</v>
      </c>
      <c r="Y952" s="4">
        <v>632</v>
      </c>
      <c r="Z952" s="4">
        <v>516</v>
      </c>
      <c r="AA952" s="4">
        <v>556</v>
      </c>
      <c r="AB952" s="4">
        <v>6</v>
      </c>
      <c r="AC952" s="4">
        <v>6</v>
      </c>
      <c r="AD952" s="4">
        <v>20</v>
      </c>
      <c r="AE952" s="4">
        <v>22</v>
      </c>
      <c r="AF952" s="4">
        <v>7</v>
      </c>
      <c r="AG952" s="4">
        <v>8</v>
      </c>
      <c r="AH952" s="4">
        <v>5</v>
      </c>
      <c r="AI952" s="4">
        <v>6</v>
      </c>
      <c r="AJ952" s="4">
        <v>8</v>
      </c>
      <c r="AK952" s="4">
        <v>8</v>
      </c>
      <c r="AL952" s="4">
        <v>5</v>
      </c>
      <c r="AM952" s="4">
        <v>5</v>
      </c>
      <c r="AN952" s="4">
        <v>0</v>
      </c>
      <c r="AO952" s="4">
        <v>0</v>
      </c>
      <c r="AP952" s="3" t="s">
        <v>59</v>
      </c>
      <c r="AQ952" s="3" t="s">
        <v>70</v>
      </c>
      <c r="AR952" s="6" t="str">
        <f>HYPERLINK("http://catalog.hathitrust.org/Record/000236679","HathiTrust Record")</f>
        <v>HathiTrust Record</v>
      </c>
      <c r="AS952" s="6" t="str">
        <f>HYPERLINK("https://creighton-primo.hosted.exlibrisgroup.com/primo-explore/search?tab=default_tab&amp;search_scope=EVERYTHING&amp;vid=01CRU&amp;lang=en_US&amp;offset=0&amp;query=any,contains,991002252569702656","Catalog Record")</f>
        <v>Catalog Record</v>
      </c>
      <c r="AT952" s="6" t="str">
        <f>HYPERLINK("http://www.worldcat.org/oclc/299757","WorldCat Record")</f>
        <v>WorldCat Record</v>
      </c>
      <c r="AU952" s="3" t="s">
        <v>11921</v>
      </c>
      <c r="AV952" s="3" t="s">
        <v>11922</v>
      </c>
      <c r="AW952" s="3" t="s">
        <v>11923</v>
      </c>
      <c r="AX952" s="3" t="s">
        <v>11923</v>
      </c>
      <c r="AY952" s="3" t="s">
        <v>11924</v>
      </c>
      <c r="AZ952" s="3" t="s">
        <v>75</v>
      </c>
      <c r="BB952" s="3" t="s">
        <v>11925</v>
      </c>
      <c r="BC952" s="3" t="s">
        <v>11926</v>
      </c>
      <c r="BD952" s="3" t="s">
        <v>11927</v>
      </c>
    </row>
    <row r="953" spans="1:56" ht="48" customHeight="1" x14ac:dyDescent="0.25">
      <c r="A953" s="7" t="s">
        <v>59</v>
      </c>
      <c r="B953" s="2" t="s">
        <v>11915</v>
      </c>
      <c r="C953" s="2" t="s">
        <v>11916</v>
      </c>
      <c r="D953" s="2" t="s">
        <v>11917</v>
      </c>
      <c r="E953" s="3" t="s">
        <v>713</v>
      </c>
      <c r="F953" s="3" t="s">
        <v>70</v>
      </c>
      <c r="G953" s="3" t="s">
        <v>60</v>
      </c>
      <c r="H953" s="3" t="s">
        <v>59</v>
      </c>
      <c r="I953" s="3" t="s">
        <v>59</v>
      </c>
      <c r="J953" s="3" t="s">
        <v>61</v>
      </c>
      <c r="K953" s="2" t="s">
        <v>11918</v>
      </c>
      <c r="L953" s="2" t="s">
        <v>11919</v>
      </c>
      <c r="M953" s="3" t="s">
        <v>872</v>
      </c>
      <c r="O953" s="3" t="s">
        <v>64</v>
      </c>
      <c r="P953" s="3" t="s">
        <v>130</v>
      </c>
      <c r="R953" s="3" t="s">
        <v>67</v>
      </c>
      <c r="S953" s="4">
        <v>1</v>
      </c>
      <c r="T953" s="4">
        <v>3</v>
      </c>
      <c r="U953" s="5" t="s">
        <v>3542</v>
      </c>
      <c r="V953" s="5" t="s">
        <v>11920</v>
      </c>
      <c r="W953" s="5" t="s">
        <v>9158</v>
      </c>
      <c r="X953" s="5" t="s">
        <v>9158</v>
      </c>
      <c r="Y953" s="4">
        <v>632</v>
      </c>
      <c r="Z953" s="4">
        <v>516</v>
      </c>
      <c r="AA953" s="4">
        <v>556</v>
      </c>
      <c r="AB953" s="4">
        <v>6</v>
      </c>
      <c r="AC953" s="4">
        <v>6</v>
      </c>
      <c r="AD953" s="4">
        <v>20</v>
      </c>
      <c r="AE953" s="4">
        <v>22</v>
      </c>
      <c r="AF953" s="4">
        <v>7</v>
      </c>
      <c r="AG953" s="4">
        <v>8</v>
      </c>
      <c r="AH953" s="4">
        <v>5</v>
      </c>
      <c r="AI953" s="4">
        <v>6</v>
      </c>
      <c r="AJ953" s="4">
        <v>8</v>
      </c>
      <c r="AK953" s="4">
        <v>8</v>
      </c>
      <c r="AL953" s="4">
        <v>5</v>
      </c>
      <c r="AM953" s="4">
        <v>5</v>
      </c>
      <c r="AN953" s="4">
        <v>0</v>
      </c>
      <c r="AO953" s="4">
        <v>0</v>
      </c>
      <c r="AP953" s="3" t="s">
        <v>59</v>
      </c>
      <c r="AQ953" s="3" t="s">
        <v>70</v>
      </c>
      <c r="AR953" s="6" t="str">
        <f>HYPERLINK("http://catalog.hathitrust.org/Record/000236679","HathiTrust Record")</f>
        <v>HathiTrust Record</v>
      </c>
      <c r="AS953" s="6" t="str">
        <f>HYPERLINK("https://creighton-primo.hosted.exlibrisgroup.com/primo-explore/search?tab=default_tab&amp;search_scope=EVERYTHING&amp;vid=01CRU&amp;lang=en_US&amp;offset=0&amp;query=any,contains,991002252569702656","Catalog Record")</f>
        <v>Catalog Record</v>
      </c>
      <c r="AT953" s="6" t="str">
        <f>HYPERLINK("http://www.worldcat.org/oclc/299757","WorldCat Record")</f>
        <v>WorldCat Record</v>
      </c>
      <c r="AU953" s="3" t="s">
        <v>11921</v>
      </c>
      <c r="AV953" s="3" t="s">
        <v>11922</v>
      </c>
      <c r="AW953" s="3" t="s">
        <v>11923</v>
      </c>
      <c r="AX953" s="3" t="s">
        <v>11923</v>
      </c>
      <c r="AY953" s="3" t="s">
        <v>11924</v>
      </c>
      <c r="AZ953" s="3" t="s">
        <v>75</v>
      </c>
      <c r="BB953" s="3" t="s">
        <v>11925</v>
      </c>
      <c r="BC953" s="3" t="s">
        <v>11928</v>
      </c>
      <c r="BD953" s="3" t="s">
        <v>11929</v>
      </c>
    </row>
    <row r="954" spans="1:56" ht="48" customHeight="1" x14ac:dyDescent="0.25">
      <c r="A954" s="7" t="s">
        <v>59</v>
      </c>
      <c r="B954" s="2" t="s">
        <v>11915</v>
      </c>
      <c r="C954" s="2" t="s">
        <v>11916</v>
      </c>
      <c r="D954" s="2" t="s">
        <v>11917</v>
      </c>
      <c r="E954" s="3" t="s">
        <v>723</v>
      </c>
      <c r="F954" s="3" t="s">
        <v>70</v>
      </c>
      <c r="G954" s="3" t="s">
        <v>60</v>
      </c>
      <c r="H954" s="3" t="s">
        <v>59</v>
      </c>
      <c r="I954" s="3" t="s">
        <v>59</v>
      </c>
      <c r="J954" s="3" t="s">
        <v>61</v>
      </c>
      <c r="K954" s="2" t="s">
        <v>11918</v>
      </c>
      <c r="L954" s="2" t="s">
        <v>11919</v>
      </c>
      <c r="M954" s="3" t="s">
        <v>872</v>
      </c>
      <c r="O954" s="3" t="s">
        <v>64</v>
      </c>
      <c r="P954" s="3" t="s">
        <v>130</v>
      </c>
      <c r="R954" s="3" t="s">
        <v>67</v>
      </c>
      <c r="S954" s="4">
        <v>0</v>
      </c>
      <c r="T954" s="4">
        <v>3</v>
      </c>
      <c r="V954" s="5" t="s">
        <v>11920</v>
      </c>
      <c r="W954" s="5" t="s">
        <v>9158</v>
      </c>
      <c r="X954" s="5" t="s">
        <v>9158</v>
      </c>
      <c r="Y954" s="4">
        <v>632</v>
      </c>
      <c r="Z954" s="4">
        <v>516</v>
      </c>
      <c r="AA954" s="4">
        <v>556</v>
      </c>
      <c r="AB954" s="4">
        <v>6</v>
      </c>
      <c r="AC954" s="4">
        <v>6</v>
      </c>
      <c r="AD954" s="4">
        <v>20</v>
      </c>
      <c r="AE954" s="4">
        <v>22</v>
      </c>
      <c r="AF954" s="4">
        <v>7</v>
      </c>
      <c r="AG954" s="4">
        <v>8</v>
      </c>
      <c r="AH954" s="4">
        <v>5</v>
      </c>
      <c r="AI954" s="4">
        <v>6</v>
      </c>
      <c r="AJ954" s="4">
        <v>8</v>
      </c>
      <c r="AK954" s="4">
        <v>8</v>
      </c>
      <c r="AL954" s="4">
        <v>5</v>
      </c>
      <c r="AM954" s="4">
        <v>5</v>
      </c>
      <c r="AN954" s="4">
        <v>0</v>
      </c>
      <c r="AO954" s="4">
        <v>0</v>
      </c>
      <c r="AP954" s="3" t="s">
        <v>59</v>
      </c>
      <c r="AQ954" s="3" t="s">
        <v>70</v>
      </c>
      <c r="AR954" s="6" t="str">
        <f>HYPERLINK("http://catalog.hathitrust.org/Record/000236679","HathiTrust Record")</f>
        <v>HathiTrust Record</v>
      </c>
      <c r="AS954" s="6" t="str">
        <f>HYPERLINK("https://creighton-primo.hosted.exlibrisgroup.com/primo-explore/search?tab=default_tab&amp;search_scope=EVERYTHING&amp;vid=01CRU&amp;lang=en_US&amp;offset=0&amp;query=any,contains,991002252569702656","Catalog Record")</f>
        <v>Catalog Record</v>
      </c>
      <c r="AT954" s="6" t="str">
        <f>HYPERLINK("http://www.worldcat.org/oclc/299757","WorldCat Record")</f>
        <v>WorldCat Record</v>
      </c>
      <c r="AU954" s="3" t="s">
        <v>11921</v>
      </c>
      <c r="AV954" s="3" t="s">
        <v>11922</v>
      </c>
      <c r="AW954" s="3" t="s">
        <v>11923</v>
      </c>
      <c r="AX954" s="3" t="s">
        <v>11923</v>
      </c>
      <c r="AY954" s="3" t="s">
        <v>11924</v>
      </c>
      <c r="AZ954" s="3" t="s">
        <v>75</v>
      </c>
      <c r="BB954" s="3" t="s">
        <v>11925</v>
      </c>
      <c r="BC954" s="3" t="s">
        <v>11930</v>
      </c>
      <c r="BD954" s="3" t="s">
        <v>11931</v>
      </c>
    </row>
    <row r="955" spans="1:56" ht="48" customHeight="1" x14ac:dyDescent="0.25">
      <c r="A955" s="7" t="s">
        <v>59</v>
      </c>
      <c r="B955" s="2" t="s">
        <v>11932</v>
      </c>
      <c r="C955" s="2" t="s">
        <v>11933</v>
      </c>
      <c r="D955" s="2" t="s">
        <v>11934</v>
      </c>
      <c r="F955" s="3" t="s">
        <v>59</v>
      </c>
      <c r="G955" s="3" t="s">
        <v>60</v>
      </c>
      <c r="H955" s="3" t="s">
        <v>59</v>
      </c>
      <c r="I955" s="3" t="s">
        <v>59</v>
      </c>
      <c r="J955" s="3" t="s">
        <v>61</v>
      </c>
      <c r="L955" s="2" t="s">
        <v>6262</v>
      </c>
      <c r="M955" s="3" t="s">
        <v>443</v>
      </c>
      <c r="O955" s="3" t="s">
        <v>64</v>
      </c>
      <c r="P955" s="3" t="s">
        <v>130</v>
      </c>
      <c r="R955" s="3" t="s">
        <v>67</v>
      </c>
      <c r="S955" s="4">
        <v>6</v>
      </c>
      <c r="T955" s="4">
        <v>6</v>
      </c>
      <c r="U955" s="5" t="s">
        <v>11935</v>
      </c>
      <c r="V955" s="5" t="s">
        <v>11935</v>
      </c>
      <c r="W955" s="5" t="s">
        <v>9158</v>
      </c>
      <c r="X955" s="5" t="s">
        <v>9158</v>
      </c>
      <c r="Y955" s="4">
        <v>345</v>
      </c>
      <c r="Z955" s="4">
        <v>262</v>
      </c>
      <c r="AA955" s="4">
        <v>312</v>
      </c>
      <c r="AB955" s="4">
        <v>4</v>
      </c>
      <c r="AC955" s="4">
        <v>4</v>
      </c>
      <c r="AD955" s="4">
        <v>10</v>
      </c>
      <c r="AE955" s="4">
        <v>13</v>
      </c>
      <c r="AF955" s="4">
        <v>1</v>
      </c>
      <c r="AG955" s="4">
        <v>3</v>
      </c>
      <c r="AH955" s="4">
        <v>4</v>
      </c>
      <c r="AI955" s="4">
        <v>6</v>
      </c>
      <c r="AJ955" s="4">
        <v>5</v>
      </c>
      <c r="AK955" s="4">
        <v>5</v>
      </c>
      <c r="AL955" s="4">
        <v>3</v>
      </c>
      <c r="AM955" s="4">
        <v>3</v>
      </c>
      <c r="AN955" s="4">
        <v>0</v>
      </c>
      <c r="AO955" s="4">
        <v>0</v>
      </c>
      <c r="AP955" s="3" t="s">
        <v>59</v>
      </c>
      <c r="AQ955" s="3" t="s">
        <v>70</v>
      </c>
      <c r="AR955" s="6" t="str">
        <f>HYPERLINK("http://catalog.hathitrust.org/Record/001555993","HathiTrust Record")</f>
        <v>HathiTrust Record</v>
      </c>
      <c r="AS955" s="6" t="str">
        <f>HYPERLINK("https://creighton-primo.hosted.exlibrisgroup.com/primo-explore/search?tab=default_tab&amp;search_scope=EVERYTHING&amp;vid=01CRU&amp;lang=en_US&amp;offset=0&amp;query=any,contains,991003024529702656","Catalog Record")</f>
        <v>Catalog Record</v>
      </c>
      <c r="AT955" s="6" t="str">
        <f>HYPERLINK("http://www.worldcat.org/oclc/588992","WorldCat Record")</f>
        <v>WorldCat Record</v>
      </c>
      <c r="AU955" s="3" t="s">
        <v>11936</v>
      </c>
      <c r="AV955" s="3" t="s">
        <v>11937</v>
      </c>
      <c r="AW955" s="3" t="s">
        <v>11938</v>
      </c>
      <c r="AX955" s="3" t="s">
        <v>11938</v>
      </c>
      <c r="AY955" s="3" t="s">
        <v>11939</v>
      </c>
      <c r="AZ955" s="3" t="s">
        <v>75</v>
      </c>
      <c r="BB955" s="3" t="s">
        <v>11940</v>
      </c>
      <c r="BC955" s="3" t="s">
        <v>11941</v>
      </c>
      <c r="BD955" s="3" t="s">
        <v>11942</v>
      </c>
    </row>
    <row r="956" spans="1:56" ht="48" customHeight="1" x14ac:dyDescent="0.25">
      <c r="A956" s="7" t="s">
        <v>59</v>
      </c>
      <c r="B956" s="2" t="s">
        <v>11943</v>
      </c>
      <c r="C956" s="2" t="s">
        <v>11944</v>
      </c>
      <c r="D956" s="2" t="s">
        <v>11945</v>
      </c>
      <c r="F956" s="3" t="s">
        <v>59</v>
      </c>
      <c r="G956" s="3" t="s">
        <v>60</v>
      </c>
      <c r="H956" s="3" t="s">
        <v>59</v>
      </c>
      <c r="I956" s="3" t="s">
        <v>59</v>
      </c>
      <c r="J956" s="3" t="s">
        <v>61</v>
      </c>
      <c r="K956" s="2" t="s">
        <v>11946</v>
      </c>
      <c r="L956" s="2" t="s">
        <v>11947</v>
      </c>
      <c r="M956" s="3" t="s">
        <v>175</v>
      </c>
      <c r="N956" s="2" t="s">
        <v>11948</v>
      </c>
      <c r="O956" s="3" t="s">
        <v>11949</v>
      </c>
      <c r="P956" s="3" t="s">
        <v>11950</v>
      </c>
      <c r="R956" s="3" t="s">
        <v>67</v>
      </c>
      <c r="S956" s="4">
        <v>1</v>
      </c>
      <c r="T956" s="4">
        <v>1</v>
      </c>
      <c r="U956" s="5" t="s">
        <v>11951</v>
      </c>
      <c r="V956" s="5" t="s">
        <v>11951</v>
      </c>
      <c r="W956" s="5" t="s">
        <v>11952</v>
      </c>
      <c r="X956" s="5" t="s">
        <v>11952</v>
      </c>
      <c r="Y956" s="4">
        <v>4</v>
      </c>
      <c r="Z956" s="4">
        <v>4</v>
      </c>
      <c r="AA956" s="4">
        <v>4</v>
      </c>
      <c r="AB956" s="4">
        <v>1</v>
      </c>
      <c r="AC956" s="4">
        <v>1</v>
      </c>
      <c r="AD956" s="4">
        <v>0</v>
      </c>
      <c r="AE956" s="4">
        <v>0</v>
      </c>
      <c r="AF956" s="4">
        <v>0</v>
      </c>
      <c r="AG956" s="4">
        <v>0</v>
      </c>
      <c r="AH956" s="4">
        <v>0</v>
      </c>
      <c r="AI956" s="4">
        <v>0</v>
      </c>
      <c r="AJ956" s="4">
        <v>0</v>
      </c>
      <c r="AK956" s="4">
        <v>0</v>
      </c>
      <c r="AL956" s="4">
        <v>0</v>
      </c>
      <c r="AM956" s="4">
        <v>0</v>
      </c>
      <c r="AN956" s="4">
        <v>0</v>
      </c>
      <c r="AO956" s="4">
        <v>0</v>
      </c>
      <c r="AP956" s="3" t="s">
        <v>59</v>
      </c>
      <c r="AQ956" s="3" t="s">
        <v>59</v>
      </c>
      <c r="AS956" s="6" t="str">
        <f>HYPERLINK("https://creighton-primo.hosted.exlibrisgroup.com/primo-explore/search?tab=default_tab&amp;search_scope=EVERYTHING&amp;vid=01CRU&amp;lang=en_US&amp;offset=0&amp;query=any,contains,991003546199702656","Catalog Record")</f>
        <v>Catalog Record</v>
      </c>
      <c r="AT956" s="6" t="str">
        <f>HYPERLINK("http://www.worldcat.org/oclc/53307911","WorldCat Record")</f>
        <v>WorldCat Record</v>
      </c>
      <c r="AU956" s="3" t="s">
        <v>11953</v>
      </c>
      <c r="AV956" s="3" t="s">
        <v>11954</v>
      </c>
      <c r="AW956" s="3" t="s">
        <v>11955</v>
      </c>
      <c r="AX956" s="3" t="s">
        <v>11955</v>
      </c>
      <c r="AY956" s="3" t="s">
        <v>11956</v>
      </c>
      <c r="AZ956" s="3" t="s">
        <v>75</v>
      </c>
      <c r="BB956" s="3" t="s">
        <v>11957</v>
      </c>
      <c r="BC956" s="3" t="s">
        <v>11958</v>
      </c>
      <c r="BD956" s="3" t="s">
        <v>11959</v>
      </c>
    </row>
    <row r="957" spans="1:56" ht="48" customHeight="1" x14ac:dyDescent="0.25">
      <c r="A957" s="7" t="s">
        <v>59</v>
      </c>
      <c r="B957" s="2" t="s">
        <v>11960</v>
      </c>
      <c r="C957" s="2" t="s">
        <v>11961</v>
      </c>
      <c r="D957" s="2" t="s">
        <v>11962</v>
      </c>
      <c r="F957" s="3" t="s">
        <v>59</v>
      </c>
      <c r="G957" s="3" t="s">
        <v>60</v>
      </c>
      <c r="H957" s="3" t="s">
        <v>59</v>
      </c>
      <c r="I957" s="3" t="s">
        <v>59</v>
      </c>
      <c r="J957" s="3" t="s">
        <v>61</v>
      </c>
      <c r="L957" s="2" t="s">
        <v>11963</v>
      </c>
      <c r="M957" s="3" t="s">
        <v>549</v>
      </c>
      <c r="O957" s="3" t="s">
        <v>64</v>
      </c>
      <c r="P957" s="3" t="s">
        <v>674</v>
      </c>
      <c r="R957" s="3" t="s">
        <v>67</v>
      </c>
      <c r="S957" s="4">
        <v>7</v>
      </c>
      <c r="T957" s="4">
        <v>7</v>
      </c>
      <c r="U957" s="5" t="s">
        <v>11964</v>
      </c>
      <c r="V957" s="5" t="s">
        <v>11964</v>
      </c>
      <c r="W957" s="5" t="s">
        <v>1409</v>
      </c>
      <c r="X957" s="5" t="s">
        <v>1409</v>
      </c>
      <c r="Y957" s="4">
        <v>526</v>
      </c>
      <c r="Z957" s="4">
        <v>491</v>
      </c>
      <c r="AA957" s="4">
        <v>493</v>
      </c>
      <c r="AB957" s="4">
        <v>3</v>
      </c>
      <c r="AC957" s="4">
        <v>3</v>
      </c>
      <c r="AD957" s="4">
        <v>12</v>
      </c>
      <c r="AE957" s="4">
        <v>12</v>
      </c>
      <c r="AF957" s="4">
        <v>5</v>
      </c>
      <c r="AG957" s="4">
        <v>5</v>
      </c>
      <c r="AH957" s="4">
        <v>2</v>
      </c>
      <c r="AI957" s="4">
        <v>2</v>
      </c>
      <c r="AJ957" s="4">
        <v>4</v>
      </c>
      <c r="AK957" s="4">
        <v>4</v>
      </c>
      <c r="AL957" s="4">
        <v>2</v>
      </c>
      <c r="AM957" s="4">
        <v>2</v>
      </c>
      <c r="AN957" s="4">
        <v>0</v>
      </c>
      <c r="AO957" s="4">
        <v>0</v>
      </c>
      <c r="AP957" s="3" t="s">
        <v>59</v>
      </c>
      <c r="AQ957" s="3" t="s">
        <v>70</v>
      </c>
      <c r="AR957" s="6" t="str">
        <f>HYPERLINK("http://catalog.hathitrust.org/Record/000700884","HathiTrust Record")</f>
        <v>HathiTrust Record</v>
      </c>
      <c r="AS957" s="6" t="str">
        <f>HYPERLINK("https://creighton-primo.hosted.exlibrisgroup.com/primo-explore/search?tab=default_tab&amp;search_scope=EVERYTHING&amp;vid=01CRU&amp;lang=en_US&amp;offset=0&amp;query=any,contains,991004000229702656","Catalog Record")</f>
        <v>Catalog Record</v>
      </c>
      <c r="AT957" s="6" t="str">
        <f>HYPERLINK("http://www.worldcat.org/oclc/2072768","WorldCat Record")</f>
        <v>WorldCat Record</v>
      </c>
      <c r="AU957" s="3" t="s">
        <v>11965</v>
      </c>
      <c r="AV957" s="3" t="s">
        <v>11966</v>
      </c>
      <c r="AW957" s="3" t="s">
        <v>11967</v>
      </c>
      <c r="AX957" s="3" t="s">
        <v>11967</v>
      </c>
      <c r="AY957" s="3" t="s">
        <v>11968</v>
      </c>
      <c r="AZ957" s="3" t="s">
        <v>75</v>
      </c>
      <c r="BB957" s="3" t="s">
        <v>11969</v>
      </c>
      <c r="BC957" s="3" t="s">
        <v>11970</v>
      </c>
      <c r="BD957" s="3" t="s">
        <v>11971</v>
      </c>
    </row>
    <row r="958" spans="1:56" ht="48" customHeight="1" x14ac:dyDescent="0.25">
      <c r="A958" s="7" t="s">
        <v>59</v>
      </c>
      <c r="B958" s="2" t="s">
        <v>11972</v>
      </c>
      <c r="C958" s="2" t="s">
        <v>11973</v>
      </c>
      <c r="D958" s="2" t="s">
        <v>11974</v>
      </c>
      <c r="F958" s="3" t="s">
        <v>59</v>
      </c>
      <c r="G958" s="3" t="s">
        <v>60</v>
      </c>
      <c r="H958" s="3" t="s">
        <v>59</v>
      </c>
      <c r="I958" s="3" t="s">
        <v>59</v>
      </c>
      <c r="J958" s="3" t="s">
        <v>61</v>
      </c>
      <c r="L958" s="2" t="s">
        <v>11975</v>
      </c>
      <c r="M958" s="3" t="s">
        <v>83</v>
      </c>
      <c r="N958" s="2" t="s">
        <v>731</v>
      </c>
      <c r="O958" s="3" t="s">
        <v>64</v>
      </c>
      <c r="P958" s="3" t="s">
        <v>1394</v>
      </c>
      <c r="R958" s="3" t="s">
        <v>67</v>
      </c>
      <c r="S958" s="4">
        <v>2</v>
      </c>
      <c r="T958" s="4">
        <v>2</v>
      </c>
      <c r="U958" s="5" t="s">
        <v>11976</v>
      </c>
      <c r="V958" s="5" t="s">
        <v>11976</v>
      </c>
      <c r="W958" s="5" t="s">
        <v>11977</v>
      </c>
      <c r="X958" s="5" t="s">
        <v>11977</v>
      </c>
      <c r="Y958" s="4">
        <v>350</v>
      </c>
      <c r="Z958" s="4">
        <v>300</v>
      </c>
      <c r="AA958" s="4">
        <v>384</v>
      </c>
      <c r="AB958" s="4">
        <v>2</v>
      </c>
      <c r="AC958" s="4">
        <v>3</v>
      </c>
      <c r="AD958" s="4">
        <v>16</v>
      </c>
      <c r="AE958" s="4">
        <v>21</v>
      </c>
      <c r="AF958" s="4">
        <v>7</v>
      </c>
      <c r="AG958" s="4">
        <v>9</v>
      </c>
      <c r="AH958" s="4">
        <v>5</v>
      </c>
      <c r="AI958" s="4">
        <v>5</v>
      </c>
      <c r="AJ958" s="4">
        <v>9</v>
      </c>
      <c r="AK958" s="4">
        <v>11</v>
      </c>
      <c r="AL958" s="4">
        <v>1</v>
      </c>
      <c r="AM958" s="4">
        <v>2</v>
      </c>
      <c r="AN958" s="4">
        <v>0</v>
      </c>
      <c r="AO958" s="4">
        <v>0</v>
      </c>
      <c r="AP958" s="3" t="s">
        <v>59</v>
      </c>
      <c r="AQ958" s="3" t="s">
        <v>59</v>
      </c>
      <c r="AS958" s="6" t="str">
        <f>HYPERLINK("https://creighton-primo.hosted.exlibrisgroup.com/primo-explore/search?tab=default_tab&amp;search_scope=EVERYTHING&amp;vid=01CRU&amp;lang=en_US&amp;offset=0&amp;query=any,contains,991002709979702656","Catalog Record")</f>
        <v>Catalog Record</v>
      </c>
      <c r="AT958" s="6" t="str">
        <f>HYPERLINK("http://www.worldcat.org/oclc/35521647","WorldCat Record")</f>
        <v>WorldCat Record</v>
      </c>
      <c r="AU958" s="3" t="s">
        <v>11978</v>
      </c>
      <c r="AV958" s="3" t="s">
        <v>11979</v>
      </c>
      <c r="AW958" s="3" t="s">
        <v>11980</v>
      </c>
      <c r="AX958" s="3" t="s">
        <v>11980</v>
      </c>
      <c r="AY958" s="3" t="s">
        <v>11981</v>
      </c>
      <c r="AZ958" s="3" t="s">
        <v>75</v>
      </c>
      <c r="BB958" s="3" t="s">
        <v>11982</v>
      </c>
      <c r="BC958" s="3" t="s">
        <v>11983</v>
      </c>
      <c r="BD958" s="3" t="s">
        <v>11984</v>
      </c>
    </row>
    <row r="959" spans="1:56" ht="48" customHeight="1" x14ac:dyDescent="0.25">
      <c r="A959" s="7" t="s">
        <v>59</v>
      </c>
      <c r="B959" s="2" t="s">
        <v>11985</v>
      </c>
      <c r="C959" s="2" t="s">
        <v>11986</v>
      </c>
      <c r="D959" s="2" t="s">
        <v>11987</v>
      </c>
      <c r="E959" s="3" t="s">
        <v>512</v>
      </c>
      <c r="F959" s="3" t="s">
        <v>70</v>
      </c>
      <c r="G959" s="3" t="s">
        <v>60</v>
      </c>
      <c r="H959" s="3" t="s">
        <v>59</v>
      </c>
      <c r="I959" s="3" t="s">
        <v>59</v>
      </c>
      <c r="J959" s="3" t="s">
        <v>61</v>
      </c>
      <c r="L959" s="2" t="s">
        <v>11988</v>
      </c>
      <c r="M959" s="3" t="s">
        <v>1611</v>
      </c>
      <c r="O959" s="3" t="s">
        <v>64</v>
      </c>
      <c r="P959" s="3" t="s">
        <v>1201</v>
      </c>
      <c r="R959" s="3" t="s">
        <v>11989</v>
      </c>
      <c r="S959" s="4">
        <v>2</v>
      </c>
      <c r="T959" s="4">
        <v>3</v>
      </c>
      <c r="U959" s="5" t="s">
        <v>11990</v>
      </c>
      <c r="V959" s="5" t="s">
        <v>11990</v>
      </c>
      <c r="W959" s="5" t="s">
        <v>11991</v>
      </c>
      <c r="X959" s="5" t="s">
        <v>11991</v>
      </c>
      <c r="Y959" s="4">
        <v>228</v>
      </c>
      <c r="Z959" s="4">
        <v>162</v>
      </c>
      <c r="AA959" s="4">
        <v>195</v>
      </c>
      <c r="AB959" s="4">
        <v>1</v>
      </c>
      <c r="AC959" s="4">
        <v>1</v>
      </c>
      <c r="AD959" s="4">
        <v>5</v>
      </c>
      <c r="AE959" s="4">
        <v>5</v>
      </c>
      <c r="AF959" s="4">
        <v>1</v>
      </c>
      <c r="AG959" s="4">
        <v>1</v>
      </c>
      <c r="AH959" s="4">
        <v>3</v>
      </c>
      <c r="AI959" s="4">
        <v>3</v>
      </c>
      <c r="AJ959" s="4">
        <v>3</v>
      </c>
      <c r="AK959" s="4">
        <v>3</v>
      </c>
      <c r="AL959" s="4">
        <v>0</v>
      </c>
      <c r="AM959" s="4">
        <v>0</v>
      </c>
      <c r="AN959" s="4">
        <v>0</v>
      </c>
      <c r="AO959" s="4">
        <v>0</v>
      </c>
      <c r="AP959" s="3" t="s">
        <v>59</v>
      </c>
      <c r="AQ959" s="3" t="s">
        <v>59</v>
      </c>
      <c r="AS959" s="6" t="str">
        <f>HYPERLINK("https://creighton-primo.hosted.exlibrisgroup.com/primo-explore/search?tab=default_tab&amp;search_scope=EVERYTHING&amp;vid=01CRU&amp;lang=en_US&amp;offset=0&amp;query=any,contains,991000851499702656","Catalog Record")</f>
        <v>Catalog Record</v>
      </c>
      <c r="AT959" s="6" t="str">
        <f>HYPERLINK("http://www.worldcat.org/oclc/32853499","WorldCat Record")</f>
        <v>WorldCat Record</v>
      </c>
      <c r="AU959" s="3" t="s">
        <v>11992</v>
      </c>
      <c r="AV959" s="3" t="s">
        <v>11993</v>
      </c>
      <c r="AW959" s="3" t="s">
        <v>11994</v>
      </c>
      <c r="AX959" s="3" t="s">
        <v>11994</v>
      </c>
      <c r="AY959" s="3" t="s">
        <v>11995</v>
      </c>
      <c r="AZ959" s="3" t="s">
        <v>75</v>
      </c>
      <c r="BB959" s="3" t="s">
        <v>11996</v>
      </c>
      <c r="BC959" s="3" t="s">
        <v>11997</v>
      </c>
      <c r="BD959" s="3" t="s">
        <v>11998</v>
      </c>
    </row>
    <row r="960" spans="1:56" ht="48" customHeight="1" x14ac:dyDescent="0.25">
      <c r="A960" s="7" t="s">
        <v>59</v>
      </c>
      <c r="B960" s="2" t="s">
        <v>11985</v>
      </c>
      <c r="C960" s="2" t="s">
        <v>11986</v>
      </c>
      <c r="D960" s="2" t="s">
        <v>11987</v>
      </c>
      <c r="E960" s="3" t="s">
        <v>512</v>
      </c>
      <c r="F960" s="3" t="s">
        <v>70</v>
      </c>
      <c r="G960" s="3" t="s">
        <v>60</v>
      </c>
      <c r="H960" s="3" t="s">
        <v>59</v>
      </c>
      <c r="I960" s="3" t="s">
        <v>59</v>
      </c>
      <c r="J960" s="3" t="s">
        <v>61</v>
      </c>
      <c r="L960" s="2" t="s">
        <v>11988</v>
      </c>
      <c r="M960" s="3" t="s">
        <v>1611</v>
      </c>
      <c r="O960" s="3" t="s">
        <v>64</v>
      </c>
      <c r="P960" s="3" t="s">
        <v>1201</v>
      </c>
      <c r="R960" s="3" t="s">
        <v>11989</v>
      </c>
      <c r="S960" s="4">
        <v>2</v>
      </c>
      <c r="T960" s="4">
        <v>3</v>
      </c>
      <c r="U960" s="5" t="s">
        <v>11990</v>
      </c>
      <c r="V960" s="5" t="s">
        <v>11990</v>
      </c>
      <c r="W960" s="5" t="s">
        <v>11991</v>
      </c>
      <c r="X960" s="5" t="s">
        <v>11991</v>
      </c>
      <c r="Y960" s="4">
        <v>228</v>
      </c>
      <c r="Z960" s="4">
        <v>162</v>
      </c>
      <c r="AA960" s="4">
        <v>195</v>
      </c>
      <c r="AB960" s="4">
        <v>1</v>
      </c>
      <c r="AC960" s="4">
        <v>1</v>
      </c>
      <c r="AD960" s="4">
        <v>5</v>
      </c>
      <c r="AE960" s="4">
        <v>5</v>
      </c>
      <c r="AF960" s="4">
        <v>1</v>
      </c>
      <c r="AG960" s="4">
        <v>1</v>
      </c>
      <c r="AH960" s="4">
        <v>3</v>
      </c>
      <c r="AI960" s="4">
        <v>3</v>
      </c>
      <c r="AJ960" s="4">
        <v>3</v>
      </c>
      <c r="AK960" s="4">
        <v>3</v>
      </c>
      <c r="AL960" s="4">
        <v>0</v>
      </c>
      <c r="AM960" s="4">
        <v>0</v>
      </c>
      <c r="AN960" s="4">
        <v>0</v>
      </c>
      <c r="AO960" s="4">
        <v>0</v>
      </c>
      <c r="AP960" s="3" t="s">
        <v>59</v>
      </c>
      <c r="AQ960" s="3" t="s">
        <v>59</v>
      </c>
      <c r="AS960" s="6" t="str">
        <f>HYPERLINK("https://creighton-primo.hosted.exlibrisgroup.com/primo-explore/search?tab=default_tab&amp;search_scope=EVERYTHING&amp;vid=01CRU&amp;lang=en_US&amp;offset=0&amp;query=any,contains,991000851499702656","Catalog Record")</f>
        <v>Catalog Record</v>
      </c>
      <c r="AT960" s="6" t="str">
        <f>HYPERLINK("http://www.worldcat.org/oclc/32853499","WorldCat Record")</f>
        <v>WorldCat Record</v>
      </c>
    </row>
    <row r="961" spans="1:46" ht="48" customHeight="1" x14ac:dyDescent="0.25">
      <c r="A961" s="7" t="s">
        <v>59</v>
      </c>
      <c r="B961" s="2" t="s">
        <v>11985</v>
      </c>
      <c r="C961" s="2" t="s">
        <v>11986</v>
      </c>
      <c r="D961" s="2" t="s">
        <v>11987</v>
      </c>
      <c r="E961" s="3" t="s">
        <v>159</v>
      </c>
      <c r="F961" s="3" t="s">
        <v>70</v>
      </c>
      <c r="G961" s="3" t="s">
        <v>60</v>
      </c>
      <c r="H961" s="3" t="s">
        <v>59</v>
      </c>
      <c r="I961" s="3" t="s">
        <v>59</v>
      </c>
      <c r="J961" s="3" t="s">
        <v>61</v>
      </c>
      <c r="L961" s="2" t="s">
        <v>11988</v>
      </c>
      <c r="M961" s="3" t="s">
        <v>1611</v>
      </c>
      <c r="O961" s="3" t="s">
        <v>64</v>
      </c>
      <c r="P961" s="3" t="s">
        <v>1201</v>
      </c>
      <c r="R961" s="3" t="s">
        <v>11989</v>
      </c>
      <c r="S961" s="4">
        <v>1</v>
      </c>
      <c r="T961" s="4">
        <v>3</v>
      </c>
      <c r="U961" s="5" t="s">
        <v>11999</v>
      </c>
      <c r="V961" s="5" t="s">
        <v>11990</v>
      </c>
      <c r="W961" s="5" t="s">
        <v>11991</v>
      </c>
      <c r="X961" s="5" t="s">
        <v>11991</v>
      </c>
      <c r="Y961" s="4">
        <v>228</v>
      </c>
      <c r="Z961" s="4">
        <v>162</v>
      </c>
      <c r="AA961" s="4">
        <v>195</v>
      </c>
      <c r="AB961" s="4">
        <v>1</v>
      </c>
      <c r="AC961" s="4">
        <v>1</v>
      </c>
      <c r="AD961" s="4">
        <v>5</v>
      </c>
      <c r="AE961" s="4">
        <v>5</v>
      </c>
      <c r="AF961" s="4">
        <v>1</v>
      </c>
      <c r="AG961" s="4">
        <v>1</v>
      </c>
      <c r="AH961" s="4">
        <v>3</v>
      </c>
      <c r="AI961" s="4">
        <v>3</v>
      </c>
      <c r="AJ961" s="4">
        <v>3</v>
      </c>
      <c r="AK961" s="4">
        <v>3</v>
      </c>
      <c r="AL961" s="4">
        <v>0</v>
      </c>
      <c r="AM961" s="4">
        <v>0</v>
      </c>
      <c r="AN961" s="4">
        <v>0</v>
      </c>
      <c r="AO961" s="4">
        <v>0</v>
      </c>
      <c r="AP961" s="3" t="s">
        <v>59</v>
      </c>
      <c r="AQ961" s="3" t="s">
        <v>59</v>
      </c>
      <c r="AS961" s="6" t="str">
        <f>HYPERLINK("https://creighton-primo.hosted.exlibrisgroup.com/primo-explore/search?tab=default_tab&amp;search_scope=EVERYTHING&amp;vid=01CRU&amp;lang=en_US&amp;offset=0&amp;query=any,contains,991000851499702656","Catalog Record")</f>
        <v>Catalog Record</v>
      </c>
      <c r="AT961" s="6" t="str">
        <f>HYPERLINK("http://www.worldcat.org/oclc/32853499","WorldCat Record")</f>
        <v>WorldCat Record</v>
      </c>
    </row>
    <row r="962" spans="1:46" ht="48" customHeight="1" x14ac:dyDescent="0.25">
      <c r="A962" s="7" t="s">
        <v>59</v>
      </c>
      <c r="B962" s="2" t="s">
        <v>12000</v>
      </c>
      <c r="C962" s="2" t="s">
        <v>12001</v>
      </c>
      <c r="D962" s="2" t="s">
        <v>12002</v>
      </c>
      <c r="E962" s="3" t="s">
        <v>12003</v>
      </c>
      <c r="F962" s="3" t="s">
        <v>59</v>
      </c>
      <c r="G962" s="3" t="s">
        <v>60</v>
      </c>
      <c r="H962" s="3" t="s">
        <v>59</v>
      </c>
      <c r="I962" s="3" t="s">
        <v>59</v>
      </c>
      <c r="J962" s="3" t="s">
        <v>61</v>
      </c>
      <c r="L962" s="2" t="s">
        <v>4410</v>
      </c>
      <c r="M962" s="3" t="s">
        <v>519</v>
      </c>
      <c r="O962" s="3" t="s">
        <v>64</v>
      </c>
      <c r="P962" s="3" t="s">
        <v>176</v>
      </c>
      <c r="Q962" s="2" t="s">
        <v>12004</v>
      </c>
      <c r="R962" s="3" t="s">
        <v>11989</v>
      </c>
      <c r="S962" s="4">
        <v>9</v>
      </c>
      <c r="T962" s="4">
        <v>9</v>
      </c>
      <c r="U962" s="5" t="s">
        <v>12005</v>
      </c>
      <c r="V962" s="5" t="s">
        <v>12005</v>
      </c>
      <c r="W962" s="5" t="s">
        <v>12006</v>
      </c>
      <c r="X962" s="5" t="s">
        <v>12006</v>
      </c>
      <c r="Y962" s="4">
        <v>79</v>
      </c>
      <c r="Z962" s="4">
        <v>61</v>
      </c>
      <c r="AA962" s="4">
        <v>61</v>
      </c>
      <c r="AB962" s="4">
        <v>1</v>
      </c>
      <c r="AC962" s="4">
        <v>1</v>
      </c>
      <c r="AD962" s="4">
        <v>2</v>
      </c>
      <c r="AE962" s="4">
        <v>2</v>
      </c>
      <c r="AF962" s="4">
        <v>2</v>
      </c>
      <c r="AG962" s="4">
        <v>2</v>
      </c>
      <c r="AH962" s="4">
        <v>0</v>
      </c>
      <c r="AI962" s="4">
        <v>0</v>
      </c>
      <c r="AJ962" s="4">
        <v>1</v>
      </c>
      <c r="AK962" s="4">
        <v>1</v>
      </c>
      <c r="AL962" s="4">
        <v>0</v>
      </c>
      <c r="AM962" s="4">
        <v>0</v>
      </c>
      <c r="AN962" s="4">
        <v>0</v>
      </c>
      <c r="AO962" s="4">
        <v>0</v>
      </c>
      <c r="AP962" s="3" t="s">
        <v>59</v>
      </c>
      <c r="AQ962" s="3" t="s">
        <v>59</v>
      </c>
      <c r="AS962" s="6" t="str">
        <f>HYPERLINK("https://creighton-primo.hosted.exlibrisgroup.com/primo-explore/search?tab=default_tab&amp;search_scope=EVERYTHING&amp;vid=01CRU&amp;lang=en_US&amp;offset=0&amp;query=any,contains,991000489899702656","Catalog Record")</f>
        <v>Catalog Record</v>
      </c>
      <c r="AT962" s="6" t="str">
        <f>HYPERLINK("http://www.worldcat.org/oclc/31181044","WorldCat Record")</f>
        <v>WorldCat Record</v>
      </c>
    </row>
    <row r="963" spans="1:46" ht="48" customHeight="1" x14ac:dyDescent="0.25">
      <c r="A963" s="7" t="s">
        <v>59</v>
      </c>
      <c r="B963" s="2" t="s">
        <v>12007</v>
      </c>
      <c r="C963" s="2" t="s">
        <v>12008</v>
      </c>
      <c r="D963" s="2" t="s">
        <v>12009</v>
      </c>
      <c r="F963" s="3" t="s">
        <v>59</v>
      </c>
      <c r="G963" s="3" t="s">
        <v>60</v>
      </c>
      <c r="H963" s="3" t="s">
        <v>59</v>
      </c>
      <c r="I963" s="3" t="s">
        <v>59</v>
      </c>
      <c r="J963" s="3" t="s">
        <v>61</v>
      </c>
      <c r="K963" s="2" t="s">
        <v>12010</v>
      </c>
      <c r="L963" s="2" t="s">
        <v>12011</v>
      </c>
      <c r="M963" s="3" t="s">
        <v>2389</v>
      </c>
      <c r="O963" s="3" t="s">
        <v>64</v>
      </c>
      <c r="P963" s="3" t="s">
        <v>130</v>
      </c>
      <c r="R963" s="3" t="s">
        <v>11989</v>
      </c>
      <c r="S963" s="4">
        <v>4</v>
      </c>
      <c r="T963" s="4">
        <v>4</v>
      </c>
      <c r="U963" s="5" t="s">
        <v>9170</v>
      </c>
      <c r="V963" s="5" t="s">
        <v>9170</v>
      </c>
      <c r="W963" s="5" t="s">
        <v>12012</v>
      </c>
      <c r="X963" s="5" t="s">
        <v>12012</v>
      </c>
      <c r="Y963" s="4">
        <v>356</v>
      </c>
      <c r="Z963" s="4">
        <v>266</v>
      </c>
      <c r="AA963" s="4">
        <v>268</v>
      </c>
      <c r="AB963" s="4">
        <v>3</v>
      </c>
      <c r="AC963" s="4">
        <v>3</v>
      </c>
      <c r="AD963" s="4">
        <v>6</v>
      </c>
      <c r="AE963" s="4">
        <v>6</v>
      </c>
      <c r="AF963" s="4">
        <v>1</v>
      </c>
      <c r="AG963" s="4">
        <v>1</v>
      </c>
      <c r="AH963" s="4">
        <v>2</v>
      </c>
      <c r="AI963" s="4">
        <v>2</v>
      </c>
      <c r="AJ963" s="4">
        <v>2</v>
      </c>
      <c r="AK963" s="4">
        <v>2</v>
      </c>
      <c r="AL963" s="4">
        <v>2</v>
      </c>
      <c r="AM963" s="4">
        <v>2</v>
      </c>
      <c r="AN963" s="4">
        <v>0</v>
      </c>
      <c r="AO963" s="4">
        <v>0</v>
      </c>
      <c r="AP963" s="3" t="s">
        <v>59</v>
      </c>
      <c r="AQ963" s="3" t="s">
        <v>70</v>
      </c>
      <c r="AR963" s="6" t="str">
        <f>HYPERLINK("http://catalog.hathitrust.org/Record/001553183","HathiTrust Record")</f>
        <v>HathiTrust Record</v>
      </c>
      <c r="AS963" s="6" t="str">
        <f>HYPERLINK("https://creighton-primo.hosted.exlibrisgroup.com/primo-explore/search?tab=default_tab&amp;search_scope=EVERYTHING&amp;vid=01CRU&amp;lang=en_US&amp;offset=0&amp;query=any,contains,991000798319702656","Catalog Record")</f>
        <v>Catalog Record</v>
      </c>
      <c r="AT963" s="6" t="str">
        <f>HYPERLINK("http://www.worldcat.org/oclc/12689","WorldCat Record")</f>
        <v>WorldCat Record</v>
      </c>
    </row>
    <row r="964" spans="1:46" ht="48" customHeight="1" x14ac:dyDescent="0.25">
      <c r="A964" s="7" t="s">
        <v>59</v>
      </c>
      <c r="B964" s="2" t="s">
        <v>12013</v>
      </c>
      <c r="C964" s="2" t="s">
        <v>12014</v>
      </c>
      <c r="D964" s="2" t="s">
        <v>12015</v>
      </c>
      <c r="F964" s="3" t="s">
        <v>59</v>
      </c>
      <c r="G964" s="3" t="s">
        <v>60</v>
      </c>
      <c r="H964" s="3" t="s">
        <v>59</v>
      </c>
      <c r="I964" s="3" t="s">
        <v>70</v>
      </c>
      <c r="J964" s="3" t="s">
        <v>61</v>
      </c>
      <c r="K964" s="2" t="s">
        <v>12016</v>
      </c>
      <c r="L964" s="2" t="s">
        <v>12017</v>
      </c>
      <c r="M964" s="3" t="s">
        <v>1351</v>
      </c>
      <c r="N964" s="2" t="s">
        <v>12018</v>
      </c>
      <c r="O964" s="3" t="s">
        <v>64</v>
      </c>
      <c r="P964" s="3" t="s">
        <v>264</v>
      </c>
      <c r="R964" s="3" t="s">
        <v>11989</v>
      </c>
      <c r="S964" s="4">
        <v>11</v>
      </c>
      <c r="T964" s="4">
        <v>11</v>
      </c>
      <c r="U964" s="5" t="s">
        <v>12019</v>
      </c>
      <c r="V964" s="5" t="s">
        <v>12019</v>
      </c>
      <c r="W964" s="5" t="s">
        <v>6289</v>
      </c>
      <c r="X964" s="5" t="s">
        <v>6289</v>
      </c>
      <c r="Y964" s="4">
        <v>133</v>
      </c>
      <c r="Z964" s="4">
        <v>70</v>
      </c>
      <c r="AA964" s="4">
        <v>632</v>
      </c>
      <c r="AB964" s="4">
        <v>1</v>
      </c>
      <c r="AC964" s="4">
        <v>3</v>
      </c>
      <c r="AD964" s="4">
        <v>4</v>
      </c>
      <c r="AE964" s="4">
        <v>15</v>
      </c>
      <c r="AF964" s="4">
        <v>1</v>
      </c>
      <c r="AG964" s="4">
        <v>7</v>
      </c>
      <c r="AH964" s="4">
        <v>3</v>
      </c>
      <c r="AI964" s="4">
        <v>4</v>
      </c>
      <c r="AJ964" s="4">
        <v>0</v>
      </c>
      <c r="AK964" s="4">
        <v>6</v>
      </c>
      <c r="AL964" s="4">
        <v>0</v>
      </c>
      <c r="AM964" s="4">
        <v>0</v>
      </c>
      <c r="AN964" s="4">
        <v>0</v>
      </c>
      <c r="AO964" s="4">
        <v>0</v>
      </c>
      <c r="AP964" s="3" t="s">
        <v>59</v>
      </c>
      <c r="AQ964" s="3" t="s">
        <v>59</v>
      </c>
      <c r="AS964" s="6" t="str">
        <f>HYPERLINK("https://creighton-primo.hosted.exlibrisgroup.com/primo-explore/search?tab=default_tab&amp;search_scope=EVERYTHING&amp;vid=01CRU&amp;lang=en_US&amp;offset=0&amp;query=any,contains,991000422589702656","Catalog Record")</f>
        <v>Catalog Record</v>
      </c>
      <c r="AT964" s="6" t="str">
        <f>HYPERLINK("http://www.worldcat.org/oclc/50204126","WorldCat Record")</f>
        <v>WorldCat Record</v>
      </c>
    </row>
    <row r="965" spans="1:46" ht="48" customHeight="1" x14ac:dyDescent="0.25">
      <c r="A965" s="7" t="s">
        <v>59</v>
      </c>
      <c r="B965" s="2" t="s">
        <v>12020</v>
      </c>
      <c r="C965" s="2" t="s">
        <v>12021</v>
      </c>
      <c r="D965" s="2" t="s">
        <v>12022</v>
      </c>
      <c r="F965" s="3" t="s">
        <v>59</v>
      </c>
      <c r="G965" s="3" t="s">
        <v>60</v>
      </c>
      <c r="H965" s="3" t="s">
        <v>59</v>
      </c>
      <c r="I965" s="3" t="s">
        <v>59</v>
      </c>
      <c r="J965" s="3" t="s">
        <v>61</v>
      </c>
      <c r="L965" s="2" t="s">
        <v>12023</v>
      </c>
      <c r="M965" s="3" t="s">
        <v>190</v>
      </c>
      <c r="N965" s="2" t="s">
        <v>731</v>
      </c>
      <c r="O965" s="3" t="s">
        <v>64</v>
      </c>
      <c r="P965" s="3" t="s">
        <v>1394</v>
      </c>
      <c r="R965" s="3" t="s">
        <v>11989</v>
      </c>
      <c r="S965" s="4">
        <v>22</v>
      </c>
      <c r="T965" s="4">
        <v>22</v>
      </c>
      <c r="U965" s="5" t="s">
        <v>11415</v>
      </c>
      <c r="V965" s="5" t="s">
        <v>11415</v>
      </c>
      <c r="W965" s="5" t="s">
        <v>12024</v>
      </c>
      <c r="X965" s="5" t="s">
        <v>12024</v>
      </c>
      <c r="Y965" s="4">
        <v>1312</v>
      </c>
      <c r="Z965" s="4">
        <v>1206</v>
      </c>
      <c r="AA965" s="4">
        <v>1246</v>
      </c>
      <c r="AB965" s="4">
        <v>13</v>
      </c>
      <c r="AC965" s="4">
        <v>14</v>
      </c>
      <c r="AD965" s="4">
        <v>9</v>
      </c>
      <c r="AE965" s="4">
        <v>9</v>
      </c>
      <c r="AF965" s="4">
        <v>3</v>
      </c>
      <c r="AG965" s="4">
        <v>3</v>
      </c>
      <c r="AH965" s="4">
        <v>1</v>
      </c>
      <c r="AI965" s="4">
        <v>1</v>
      </c>
      <c r="AJ965" s="4">
        <v>4</v>
      </c>
      <c r="AK965" s="4">
        <v>4</v>
      </c>
      <c r="AL965" s="4">
        <v>2</v>
      </c>
      <c r="AM965" s="4">
        <v>2</v>
      </c>
      <c r="AN965" s="4">
        <v>0</v>
      </c>
      <c r="AO965" s="4">
        <v>0</v>
      </c>
      <c r="AP965" s="3" t="s">
        <v>59</v>
      </c>
      <c r="AQ965" s="3" t="s">
        <v>70</v>
      </c>
      <c r="AR965" s="6" t="str">
        <f>HYPERLINK("http://catalog.hathitrust.org/Record/102081413","HathiTrust Record")</f>
        <v>HathiTrust Record</v>
      </c>
      <c r="AS965" s="6" t="str">
        <f>HYPERLINK("https://creighton-primo.hosted.exlibrisgroup.com/primo-explore/search?tab=default_tab&amp;search_scope=EVERYTHING&amp;vid=01CRU&amp;lang=en_US&amp;offset=0&amp;query=any,contains,991001313969702656","Catalog Record")</f>
        <v>Catalog Record</v>
      </c>
      <c r="AT965" s="6" t="str">
        <f>HYPERLINK("http://www.worldcat.org/oclc/12977556","WorldCat Record")</f>
        <v>WorldCat Record</v>
      </c>
    </row>
    <row r="966" spans="1:46" ht="48" customHeight="1" x14ac:dyDescent="0.25">
      <c r="A966" s="7" t="s">
        <v>59</v>
      </c>
      <c r="B966" s="2" t="s">
        <v>12025</v>
      </c>
      <c r="C966" s="2" t="s">
        <v>12026</v>
      </c>
      <c r="D966" s="2" t="s">
        <v>12027</v>
      </c>
      <c r="F966" s="3" t="s">
        <v>59</v>
      </c>
      <c r="G966" s="3" t="s">
        <v>60</v>
      </c>
      <c r="H966" s="3" t="s">
        <v>59</v>
      </c>
      <c r="I966" s="3" t="s">
        <v>70</v>
      </c>
      <c r="J966" s="3" t="s">
        <v>61</v>
      </c>
      <c r="L966" s="2" t="s">
        <v>12028</v>
      </c>
      <c r="M966" s="3" t="s">
        <v>1351</v>
      </c>
      <c r="N966" s="2" t="s">
        <v>2933</v>
      </c>
      <c r="O966" s="3" t="s">
        <v>64</v>
      </c>
      <c r="P966" s="3" t="s">
        <v>2140</v>
      </c>
      <c r="R966" s="3" t="s">
        <v>11989</v>
      </c>
      <c r="S966" s="4">
        <v>5</v>
      </c>
      <c r="T966" s="4">
        <v>5</v>
      </c>
      <c r="U966" s="5" t="s">
        <v>12029</v>
      </c>
      <c r="V966" s="5" t="s">
        <v>12029</v>
      </c>
      <c r="W966" s="5" t="s">
        <v>9044</v>
      </c>
      <c r="X966" s="5" t="s">
        <v>9044</v>
      </c>
      <c r="Y966" s="4">
        <v>395</v>
      </c>
      <c r="Z966" s="4">
        <v>234</v>
      </c>
      <c r="AA966" s="4">
        <v>709</v>
      </c>
      <c r="AB966" s="4">
        <v>1</v>
      </c>
      <c r="AC966" s="4">
        <v>4</v>
      </c>
      <c r="AD966" s="4">
        <v>6</v>
      </c>
      <c r="AE966" s="4">
        <v>25</v>
      </c>
      <c r="AF966" s="4">
        <v>3</v>
      </c>
      <c r="AG966" s="4">
        <v>13</v>
      </c>
      <c r="AH966" s="4">
        <v>1</v>
      </c>
      <c r="AI966" s="4">
        <v>5</v>
      </c>
      <c r="AJ966" s="4">
        <v>3</v>
      </c>
      <c r="AK966" s="4">
        <v>14</v>
      </c>
      <c r="AL966" s="4">
        <v>0</v>
      </c>
      <c r="AM966" s="4">
        <v>2</v>
      </c>
      <c r="AN966" s="4">
        <v>0</v>
      </c>
      <c r="AO966" s="4">
        <v>0</v>
      </c>
      <c r="AP966" s="3" t="s">
        <v>59</v>
      </c>
      <c r="AQ966" s="3" t="s">
        <v>70</v>
      </c>
      <c r="AR966" s="6" t="str">
        <f>HYPERLINK("http://catalog.hathitrust.org/Record/004333775","HathiTrust Record")</f>
        <v>HathiTrust Record</v>
      </c>
      <c r="AS966" s="6" t="str">
        <f>HYPERLINK("https://creighton-primo.hosted.exlibrisgroup.com/primo-explore/search?tab=default_tab&amp;search_scope=EVERYTHING&amp;vid=01CRU&amp;lang=en_US&amp;offset=0&amp;query=any,contains,991000546869702656","Catalog Record")</f>
        <v>Catalog Record</v>
      </c>
      <c r="AT966" s="6" t="str">
        <f>HYPERLINK("http://www.worldcat.org/oclc/51272120","WorldCat Record")</f>
        <v>WorldCat Record</v>
      </c>
    </row>
    <row r="967" spans="1:46" ht="48" customHeight="1" x14ac:dyDescent="0.25">
      <c r="A967" s="7" t="s">
        <v>59</v>
      </c>
      <c r="B967" s="2" t="s">
        <v>12030</v>
      </c>
      <c r="C967" s="2" t="s">
        <v>12031</v>
      </c>
      <c r="D967" s="2" t="s">
        <v>12032</v>
      </c>
      <c r="F967" s="3" t="s">
        <v>59</v>
      </c>
      <c r="G967" s="3" t="s">
        <v>60</v>
      </c>
      <c r="H967" s="3" t="s">
        <v>59</v>
      </c>
      <c r="I967" s="3" t="s">
        <v>59</v>
      </c>
      <c r="J967" s="3" t="s">
        <v>61</v>
      </c>
      <c r="L967" s="2" t="s">
        <v>12033</v>
      </c>
      <c r="M967" s="3" t="s">
        <v>219</v>
      </c>
      <c r="N967" s="2" t="s">
        <v>731</v>
      </c>
      <c r="O967" s="3" t="s">
        <v>64</v>
      </c>
      <c r="P967" s="3" t="s">
        <v>84</v>
      </c>
      <c r="Q967" s="2" t="s">
        <v>12034</v>
      </c>
      <c r="R967" s="3" t="s">
        <v>11989</v>
      </c>
      <c r="S967" s="4">
        <v>4</v>
      </c>
      <c r="T967" s="4">
        <v>4</v>
      </c>
      <c r="U967" s="5" t="s">
        <v>12035</v>
      </c>
      <c r="V967" s="5" t="s">
        <v>12035</v>
      </c>
      <c r="W967" s="5" t="s">
        <v>12036</v>
      </c>
      <c r="X967" s="5" t="s">
        <v>12036</v>
      </c>
      <c r="Y967" s="4">
        <v>199</v>
      </c>
      <c r="Z967" s="4">
        <v>109</v>
      </c>
      <c r="AA967" s="4">
        <v>112</v>
      </c>
      <c r="AB967" s="4">
        <v>2</v>
      </c>
      <c r="AC967" s="4">
        <v>2</v>
      </c>
      <c r="AD967" s="4">
        <v>3</v>
      </c>
      <c r="AE967" s="4">
        <v>3</v>
      </c>
      <c r="AF967" s="4">
        <v>0</v>
      </c>
      <c r="AG967" s="4">
        <v>0</v>
      </c>
      <c r="AH967" s="4">
        <v>1</v>
      </c>
      <c r="AI967" s="4">
        <v>1</v>
      </c>
      <c r="AJ967" s="4">
        <v>2</v>
      </c>
      <c r="AK967" s="4">
        <v>2</v>
      </c>
      <c r="AL967" s="4">
        <v>1</v>
      </c>
      <c r="AM967" s="4">
        <v>1</v>
      </c>
      <c r="AN967" s="4">
        <v>0</v>
      </c>
      <c r="AO967" s="4">
        <v>0</v>
      </c>
      <c r="AP967" s="3" t="s">
        <v>59</v>
      </c>
      <c r="AQ967" s="3" t="s">
        <v>70</v>
      </c>
      <c r="AR967" s="6" t="str">
        <f>HYPERLINK("http://catalog.hathitrust.org/Record/002441356","HathiTrust Record")</f>
        <v>HathiTrust Record</v>
      </c>
      <c r="AS967" s="6" t="str">
        <f>HYPERLINK("https://creighton-primo.hosted.exlibrisgroup.com/primo-explore/search?tab=default_tab&amp;search_scope=EVERYTHING&amp;vid=01CRU&amp;lang=en_US&amp;offset=0&amp;query=any,contains,991001341779702656","Catalog Record")</f>
        <v>Catalog Record</v>
      </c>
      <c r="AT967" s="6" t="str">
        <f>HYPERLINK("http://www.worldcat.org/oclc/21600543","WorldCat Record")</f>
        <v>WorldCat Record</v>
      </c>
    </row>
    <row r="968" spans="1:46" ht="48" customHeight="1" x14ac:dyDescent="0.25">
      <c r="A968" s="7" t="s">
        <v>59</v>
      </c>
      <c r="B968" s="2" t="s">
        <v>12037</v>
      </c>
      <c r="C968" s="2" t="s">
        <v>12038</v>
      </c>
      <c r="D968" s="2" t="s">
        <v>12039</v>
      </c>
      <c r="F968" s="3" t="s">
        <v>59</v>
      </c>
      <c r="G968" s="3" t="s">
        <v>60</v>
      </c>
      <c r="H968" s="3" t="s">
        <v>59</v>
      </c>
      <c r="I968" s="3" t="s">
        <v>59</v>
      </c>
      <c r="J968" s="3" t="s">
        <v>60</v>
      </c>
      <c r="L968" s="2" t="s">
        <v>12040</v>
      </c>
      <c r="M968" s="3" t="s">
        <v>519</v>
      </c>
      <c r="O968" s="3" t="s">
        <v>64</v>
      </c>
      <c r="P968" s="3" t="s">
        <v>84</v>
      </c>
      <c r="R968" s="3" t="s">
        <v>11989</v>
      </c>
      <c r="S968" s="4">
        <v>1</v>
      </c>
      <c r="T968" s="4">
        <v>1</v>
      </c>
      <c r="U968" s="5" t="s">
        <v>12041</v>
      </c>
      <c r="V968" s="5" t="s">
        <v>12041</v>
      </c>
      <c r="W968" s="5" t="s">
        <v>11063</v>
      </c>
      <c r="X968" s="5" t="s">
        <v>11063</v>
      </c>
      <c r="Y968" s="4">
        <v>405</v>
      </c>
      <c r="Z968" s="4">
        <v>220</v>
      </c>
      <c r="AA968" s="4">
        <v>742</v>
      </c>
      <c r="AB968" s="4">
        <v>4</v>
      </c>
      <c r="AC968" s="4">
        <v>7</v>
      </c>
      <c r="AD968" s="4">
        <v>7</v>
      </c>
      <c r="AE968" s="4">
        <v>26</v>
      </c>
      <c r="AF968" s="4">
        <v>2</v>
      </c>
      <c r="AG968" s="4">
        <v>12</v>
      </c>
      <c r="AH968" s="4">
        <v>1</v>
      </c>
      <c r="AI968" s="4">
        <v>4</v>
      </c>
      <c r="AJ968" s="4">
        <v>4</v>
      </c>
      <c r="AK968" s="4">
        <v>13</v>
      </c>
      <c r="AL968" s="4">
        <v>3</v>
      </c>
      <c r="AM968" s="4">
        <v>5</v>
      </c>
      <c r="AN968" s="4">
        <v>0</v>
      </c>
      <c r="AO968" s="4">
        <v>0</v>
      </c>
      <c r="AP968" s="3" t="s">
        <v>59</v>
      </c>
      <c r="AQ968" s="3" t="s">
        <v>70</v>
      </c>
      <c r="AR968" s="6" t="str">
        <f>HYPERLINK("http://catalog.hathitrust.org/Record/002875035","HathiTrust Record")</f>
        <v>HathiTrust Record</v>
      </c>
      <c r="AS968" s="6" t="str">
        <f>HYPERLINK("https://creighton-primo.hosted.exlibrisgroup.com/primo-explore/search?tab=default_tab&amp;search_scope=EVERYTHING&amp;vid=01CRU&amp;lang=en_US&amp;offset=0&amp;query=any,contains,991000679469702656","Catalog Record")</f>
        <v>Catalog Record</v>
      </c>
      <c r="AT968" s="6" t="str">
        <f>HYPERLINK("http://www.worldcat.org/oclc/28968068","WorldCat Record")</f>
        <v>WorldCat Record</v>
      </c>
    </row>
    <row r="969" spans="1:46" ht="48" customHeight="1" x14ac:dyDescent="0.25">
      <c r="A969" s="7" t="s">
        <v>59</v>
      </c>
      <c r="B969" s="2" t="s">
        <v>12042</v>
      </c>
      <c r="C969" s="2" t="s">
        <v>12043</v>
      </c>
      <c r="D969" s="2" t="s">
        <v>12044</v>
      </c>
      <c r="F969" s="3" t="s">
        <v>59</v>
      </c>
      <c r="G969" s="3" t="s">
        <v>60</v>
      </c>
      <c r="H969" s="3" t="s">
        <v>59</v>
      </c>
      <c r="I969" s="3" t="s">
        <v>59</v>
      </c>
      <c r="J969" s="3" t="s">
        <v>61</v>
      </c>
      <c r="K969" s="2" t="s">
        <v>12045</v>
      </c>
      <c r="L969" s="2" t="s">
        <v>12046</v>
      </c>
      <c r="M969" s="3" t="s">
        <v>1817</v>
      </c>
      <c r="O969" s="3" t="s">
        <v>64</v>
      </c>
      <c r="P969" s="3" t="s">
        <v>115</v>
      </c>
      <c r="R969" s="3" t="s">
        <v>11989</v>
      </c>
      <c r="S969" s="4">
        <v>2</v>
      </c>
      <c r="T969" s="4">
        <v>2</v>
      </c>
      <c r="U969" s="5" t="s">
        <v>12047</v>
      </c>
      <c r="V969" s="5" t="s">
        <v>12047</v>
      </c>
      <c r="W969" s="5" t="s">
        <v>12048</v>
      </c>
      <c r="X969" s="5" t="s">
        <v>12048</v>
      </c>
      <c r="Y969" s="4">
        <v>151</v>
      </c>
      <c r="Z969" s="4">
        <v>108</v>
      </c>
      <c r="AA969" s="4">
        <v>110</v>
      </c>
      <c r="AB969" s="4">
        <v>2</v>
      </c>
      <c r="AC969" s="4">
        <v>2</v>
      </c>
      <c r="AD969" s="4">
        <v>2</v>
      </c>
      <c r="AE969" s="4">
        <v>2</v>
      </c>
      <c r="AF969" s="4">
        <v>0</v>
      </c>
      <c r="AG969" s="4">
        <v>0</v>
      </c>
      <c r="AH969" s="4">
        <v>0</v>
      </c>
      <c r="AI969" s="4">
        <v>0</v>
      </c>
      <c r="AJ969" s="4">
        <v>1</v>
      </c>
      <c r="AK969" s="4">
        <v>1</v>
      </c>
      <c r="AL969" s="4">
        <v>1</v>
      </c>
      <c r="AM969" s="4">
        <v>1</v>
      </c>
      <c r="AN969" s="4">
        <v>0</v>
      </c>
      <c r="AO969" s="4">
        <v>0</v>
      </c>
      <c r="AP969" s="3" t="s">
        <v>59</v>
      </c>
      <c r="AQ969" s="3" t="s">
        <v>70</v>
      </c>
      <c r="AR969" s="6" t="str">
        <f>HYPERLINK("http://catalog.hathitrust.org/Record/004318777","HathiTrust Record")</f>
        <v>HathiTrust Record</v>
      </c>
      <c r="AS969" s="6" t="str">
        <f>HYPERLINK("https://creighton-primo.hosted.exlibrisgroup.com/primo-explore/search?tab=default_tab&amp;search_scope=EVERYTHING&amp;vid=01CRU&amp;lang=en_US&amp;offset=0&amp;query=any,contains,991000427869702656","Catalog Record")</f>
        <v>Catalog Record</v>
      </c>
      <c r="AT969" s="6" t="str">
        <f>HYPERLINK("http://www.worldcat.org/oclc/49991618","WorldCat Record")</f>
        <v>WorldCat Record</v>
      </c>
    </row>
    <row r="970" spans="1:46" ht="48" customHeight="1" x14ac:dyDescent="0.25">
      <c r="A970" s="7" t="s">
        <v>59</v>
      </c>
      <c r="B970" s="2" t="s">
        <v>12049</v>
      </c>
      <c r="C970" s="2" t="s">
        <v>12050</v>
      </c>
      <c r="D970" s="2" t="s">
        <v>12051</v>
      </c>
      <c r="F970" s="3" t="s">
        <v>59</v>
      </c>
      <c r="G970" s="3" t="s">
        <v>60</v>
      </c>
      <c r="H970" s="3" t="s">
        <v>59</v>
      </c>
      <c r="I970" s="3" t="s">
        <v>59</v>
      </c>
      <c r="J970" s="3" t="s">
        <v>61</v>
      </c>
      <c r="L970" s="2" t="s">
        <v>12052</v>
      </c>
      <c r="M970" s="3" t="s">
        <v>519</v>
      </c>
      <c r="N970" s="2" t="s">
        <v>926</v>
      </c>
      <c r="O970" s="3" t="s">
        <v>64</v>
      </c>
      <c r="P970" s="3" t="s">
        <v>2140</v>
      </c>
      <c r="R970" s="3" t="s">
        <v>11989</v>
      </c>
      <c r="S970" s="4">
        <v>5</v>
      </c>
      <c r="T970" s="4">
        <v>5</v>
      </c>
      <c r="U970" s="5" t="s">
        <v>12053</v>
      </c>
      <c r="V970" s="5" t="s">
        <v>12053</v>
      </c>
      <c r="W970" s="5" t="s">
        <v>12054</v>
      </c>
      <c r="X970" s="5" t="s">
        <v>12054</v>
      </c>
      <c r="Y970" s="4">
        <v>107</v>
      </c>
      <c r="Z970" s="4">
        <v>60</v>
      </c>
      <c r="AA970" s="4">
        <v>66</v>
      </c>
      <c r="AB970" s="4">
        <v>1</v>
      </c>
      <c r="AC970" s="4">
        <v>1</v>
      </c>
      <c r="AD970" s="4">
        <v>0</v>
      </c>
      <c r="AE970" s="4">
        <v>0</v>
      </c>
      <c r="AF970" s="4">
        <v>0</v>
      </c>
      <c r="AG970" s="4">
        <v>0</v>
      </c>
      <c r="AH970" s="4">
        <v>0</v>
      </c>
      <c r="AI970" s="4">
        <v>0</v>
      </c>
      <c r="AJ970" s="4">
        <v>0</v>
      </c>
      <c r="AK970" s="4">
        <v>0</v>
      </c>
      <c r="AL970" s="4">
        <v>0</v>
      </c>
      <c r="AM970" s="4">
        <v>0</v>
      </c>
      <c r="AN970" s="4">
        <v>0</v>
      </c>
      <c r="AO970" s="4">
        <v>0</v>
      </c>
      <c r="AP970" s="3" t="s">
        <v>59</v>
      </c>
      <c r="AQ970" s="3" t="s">
        <v>59</v>
      </c>
      <c r="AS970" s="6" t="str">
        <f>HYPERLINK("https://creighton-primo.hosted.exlibrisgroup.com/primo-explore/search?tab=default_tab&amp;search_scope=EVERYTHING&amp;vid=01CRU&amp;lang=en_US&amp;offset=0&amp;query=any,contains,991001569429702656","Catalog Record")</f>
        <v>Catalog Record</v>
      </c>
      <c r="AT970" s="6" t="str">
        <f>HYPERLINK("http://www.worldcat.org/oclc/30637152","WorldCat Record")</f>
        <v>WorldCat Record</v>
      </c>
    </row>
    <row r="971" spans="1:46" ht="48" customHeight="1" x14ac:dyDescent="0.25">
      <c r="A971" s="7" t="s">
        <v>59</v>
      </c>
      <c r="B971" s="2" t="s">
        <v>12055</v>
      </c>
      <c r="C971" s="2" t="s">
        <v>12056</v>
      </c>
      <c r="D971" s="2" t="s">
        <v>12057</v>
      </c>
      <c r="F971" s="3" t="s">
        <v>59</v>
      </c>
      <c r="G971" s="3" t="s">
        <v>60</v>
      </c>
      <c r="H971" s="3" t="s">
        <v>59</v>
      </c>
      <c r="I971" s="3" t="s">
        <v>59</v>
      </c>
      <c r="J971" s="3" t="s">
        <v>61</v>
      </c>
      <c r="K971" s="2" t="s">
        <v>12058</v>
      </c>
      <c r="L971" s="2" t="s">
        <v>12059</v>
      </c>
      <c r="M971" s="3" t="s">
        <v>519</v>
      </c>
      <c r="O971" s="3" t="s">
        <v>64</v>
      </c>
      <c r="P971" s="3" t="s">
        <v>4582</v>
      </c>
      <c r="R971" s="3" t="s">
        <v>11989</v>
      </c>
      <c r="S971" s="4">
        <v>36</v>
      </c>
      <c r="T971" s="4">
        <v>36</v>
      </c>
      <c r="U971" s="5" t="s">
        <v>12053</v>
      </c>
      <c r="V971" s="5" t="s">
        <v>12053</v>
      </c>
      <c r="W971" s="5" t="s">
        <v>4635</v>
      </c>
      <c r="X971" s="5" t="s">
        <v>4635</v>
      </c>
      <c r="Y971" s="4">
        <v>50</v>
      </c>
      <c r="Z971" s="4">
        <v>37</v>
      </c>
      <c r="AA971" s="4">
        <v>37</v>
      </c>
      <c r="AB971" s="4">
        <v>1</v>
      </c>
      <c r="AC971" s="4">
        <v>1</v>
      </c>
      <c r="AD971" s="4">
        <v>1</v>
      </c>
      <c r="AE971" s="4">
        <v>1</v>
      </c>
      <c r="AF971" s="4">
        <v>0</v>
      </c>
      <c r="AG971" s="4">
        <v>0</v>
      </c>
      <c r="AH971" s="4">
        <v>1</v>
      </c>
      <c r="AI971" s="4">
        <v>1</v>
      </c>
      <c r="AJ971" s="4">
        <v>0</v>
      </c>
      <c r="AK971" s="4">
        <v>0</v>
      </c>
      <c r="AL971" s="4">
        <v>0</v>
      </c>
      <c r="AM971" s="4">
        <v>0</v>
      </c>
      <c r="AN971" s="4">
        <v>0</v>
      </c>
      <c r="AO971" s="4">
        <v>0</v>
      </c>
      <c r="AP971" s="3" t="s">
        <v>59</v>
      </c>
      <c r="AQ971" s="3" t="s">
        <v>59</v>
      </c>
      <c r="AS971" s="6" t="str">
        <f>HYPERLINK("https://creighton-primo.hosted.exlibrisgroup.com/primo-explore/search?tab=default_tab&amp;search_scope=EVERYTHING&amp;vid=01CRU&amp;lang=en_US&amp;offset=0&amp;query=any,contains,991000688999702656","Catalog Record")</f>
        <v>Catalog Record</v>
      </c>
      <c r="AT971" s="6" t="str">
        <f>HYPERLINK("http://www.worldcat.org/oclc/31015327","WorldCat Record")</f>
        <v>WorldCat Record</v>
      </c>
    </row>
    <row r="972" spans="1:46" ht="48" customHeight="1" x14ac:dyDescent="0.25">
      <c r="A972" s="7" t="s">
        <v>59</v>
      </c>
      <c r="B972" s="2" t="s">
        <v>12060</v>
      </c>
      <c r="C972" s="2" t="s">
        <v>12061</v>
      </c>
      <c r="D972" s="2" t="s">
        <v>12062</v>
      </c>
      <c r="F972" s="3" t="s">
        <v>59</v>
      </c>
      <c r="G972" s="3" t="s">
        <v>60</v>
      </c>
      <c r="H972" s="3" t="s">
        <v>59</v>
      </c>
      <c r="I972" s="3" t="s">
        <v>59</v>
      </c>
      <c r="J972" s="3" t="s">
        <v>61</v>
      </c>
      <c r="L972" s="2" t="s">
        <v>12063</v>
      </c>
      <c r="M972" s="3" t="s">
        <v>113</v>
      </c>
      <c r="N972" s="2" t="s">
        <v>731</v>
      </c>
      <c r="O972" s="3" t="s">
        <v>64</v>
      </c>
      <c r="P972" s="3" t="s">
        <v>264</v>
      </c>
      <c r="Q972" s="2" t="s">
        <v>12064</v>
      </c>
      <c r="R972" s="3" t="s">
        <v>11989</v>
      </c>
      <c r="S972" s="4">
        <v>30</v>
      </c>
      <c r="T972" s="4">
        <v>30</v>
      </c>
      <c r="U972" s="5" t="s">
        <v>12065</v>
      </c>
      <c r="V972" s="5" t="s">
        <v>12065</v>
      </c>
      <c r="W972" s="5" t="s">
        <v>12066</v>
      </c>
      <c r="X972" s="5" t="s">
        <v>12066</v>
      </c>
      <c r="Y972" s="4">
        <v>74</v>
      </c>
      <c r="Z972" s="4">
        <v>52</v>
      </c>
      <c r="AA972" s="4">
        <v>52</v>
      </c>
      <c r="AB972" s="4">
        <v>1</v>
      </c>
      <c r="AC972" s="4">
        <v>1</v>
      </c>
      <c r="AD972" s="4">
        <v>1</v>
      </c>
      <c r="AE972" s="4">
        <v>1</v>
      </c>
      <c r="AF972" s="4">
        <v>0</v>
      </c>
      <c r="AG972" s="4">
        <v>0</v>
      </c>
      <c r="AH972" s="4">
        <v>1</v>
      </c>
      <c r="AI972" s="4">
        <v>1</v>
      </c>
      <c r="AJ972" s="4">
        <v>0</v>
      </c>
      <c r="AK972" s="4">
        <v>0</v>
      </c>
      <c r="AL972" s="4">
        <v>0</v>
      </c>
      <c r="AM972" s="4">
        <v>0</v>
      </c>
      <c r="AN972" s="4">
        <v>0</v>
      </c>
      <c r="AO972" s="4">
        <v>0</v>
      </c>
      <c r="AP972" s="3" t="s">
        <v>59</v>
      </c>
      <c r="AQ972" s="3" t="s">
        <v>59</v>
      </c>
      <c r="AS972" s="6" t="str">
        <f>HYPERLINK("https://creighton-primo.hosted.exlibrisgroup.com/primo-explore/search?tab=default_tab&amp;search_scope=EVERYTHING&amp;vid=01CRU&amp;lang=en_US&amp;offset=0&amp;query=any,contains,991001238899702656","Catalog Record")</f>
        <v>Catalog Record</v>
      </c>
      <c r="AT972" s="6" t="str">
        <f>HYPERLINK("http://www.worldcat.org/oclc/16941839","WorldCat Record")</f>
        <v>WorldCat Record</v>
      </c>
    </row>
    <row r="973" spans="1:46" ht="48" customHeight="1" x14ac:dyDescent="0.25">
      <c r="A973" s="7" t="s">
        <v>59</v>
      </c>
      <c r="B973" s="2" t="s">
        <v>12067</v>
      </c>
      <c r="C973" s="2" t="s">
        <v>12068</v>
      </c>
      <c r="D973" s="2" t="s">
        <v>12069</v>
      </c>
      <c r="F973" s="3" t="s">
        <v>59</v>
      </c>
      <c r="G973" s="3" t="s">
        <v>60</v>
      </c>
      <c r="H973" s="3" t="s">
        <v>59</v>
      </c>
      <c r="I973" s="3" t="s">
        <v>59</v>
      </c>
      <c r="J973" s="3" t="s">
        <v>61</v>
      </c>
      <c r="L973" s="2" t="s">
        <v>12070</v>
      </c>
      <c r="M973" s="3" t="s">
        <v>319</v>
      </c>
      <c r="O973" s="3" t="s">
        <v>64</v>
      </c>
      <c r="P973" s="3" t="s">
        <v>2252</v>
      </c>
      <c r="Q973" s="2" t="s">
        <v>12071</v>
      </c>
      <c r="R973" s="3" t="s">
        <v>11989</v>
      </c>
      <c r="S973" s="4">
        <v>65</v>
      </c>
      <c r="T973" s="4">
        <v>65</v>
      </c>
      <c r="U973" s="5" t="s">
        <v>12072</v>
      </c>
      <c r="V973" s="5" t="s">
        <v>12072</v>
      </c>
      <c r="W973" s="5" t="s">
        <v>12066</v>
      </c>
      <c r="X973" s="5" t="s">
        <v>12066</v>
      </c>
      <c r="Y973" s="4">
        <v>162</v>
      </c>
      <c r="Z973" s="4">
        <v>113</v>
      </c>
      <c r="AA973" s="4">
        <v>265</v>
      </c>
      <c r="AB973" s="4">
        <v>2</v>
      </c>
      <c r="AC973" s="4">
        <v>2</v>
      </c>
      <c r="AD973" s="4">
        <v>6</v>
      </c>
      <c r="AE973" s="4">
        <v>12</v>
      </c>
      <c r="AF973" s="4">
        <v>2</v>
      </c>
      <c r="AG973" s="4">
        <v>3</v>
      </c>
      <c r="AH973" s="4">
        <v>1</v>
      </c>
      <c r="AI973" s="4">
        <v>3</v>
      </c>
      <c r="AJ973" s="4">
        <v>5</v>
      </c>
      <c r="AK973" s="4">
        <v>10</v>
      </c>
      <c r="AL973" s="4">
        <v>1</v>
      </c>
      <c r="AM973" s="4">
        <v>1</v>
      </c>
      <c r="AN973" s="4">
        <v>0</v>
      </c>
      <c r="AO973" s="4">
        <v>0</v>
      </c>
      <c r="AP973" s="3" t="s">
        <v>59</v>
      </c>
      <c r="AQ973" s="3" t="s">
        <v>59</v>
      </c>
      <c r="AS973" s="6" t="str">
        <f>HYPERLINK("https://creighton-primo.hosted.exlibrisgroup.com/primo-explore/search?tab=default_tab&amp;search_scope=EVERYTHING&amp;vid=01CRU&amp;lang=en_US&amp;offset=0&amp;query=any,contains,991001238869702656","Catalog Record")</f>
        <v>Catalog Record</v>
      </c>
      <c r="AT973" s="6" t="str">
        <f>HYPERLINK("http://www.worldcat.org/oclc/10695902","WorldCat Record")</f>
        <v>WorldCat Record</v>
      </c>
    </row>
    <row r="974" spans="1:46" ht="48" customHeight="1" x14ac:dyDescent="0.25">
      <c r="A974" s="7" t="s">
        <v>59</v>
      </c>
      <c r="B974" s="2" t="s">
        <v>12073</v>
      </c>
      <c r="C974" s="2" t="s">
        <v>12074</v>
      </c>
      <c r="D974" s="2" t="s">
        <v>12075</v>
      </c>
      <c r="F974" s="3" t="s">
        <v>59</v>
      </c>
      <c r="G974" s="3" t="s">
        <v>60</v>
      </c>
      <c r="H974" s="3" t="s">
        <v>59</v>
      </c>
      <c r="I974" s="3" t="s">
        <v>70</v>
      </c>
      <c r="J974" s="3" t="s">
        <v>60</v>
      </c>
      <c r="L974" s="2" t="s">
        <v>3958</v>
      </c>
      <c r="M974" s="3" t="s">
        <v>234</v>
      </c>
      <c r="N974" s="2" t="s">
        <v>114</v>
      </c>
      <c r="O974" s="3" t="s">
        <v>64</v>
      </c>
      <c r="P974" s="3" t="s">
        <v>2252</v>
      </c>
      <c r="Q974" s="2" t="s">
        <v>12076</v>
      </c>
      <c r="R974" s="3" t="s">
        <v>11989</v>
      </c>
      <c r="S974" s="4">
        <v>48</v>
      </c>
      <c r="T974" s="4">
        <v>48</v>
      </c>
      <c r="U974" s="5" t="s">
        <v>12077</v>
      </c>
      <c r="V974" s="5" t="s">
        <v>12077</v>
      </c>
      <c r="W974" s="5" t="s">
        <v>634</v>
      </c>
      <c r="X974" s="5" t="s">
        <v>634</v>
      </c>
      <c r="Y974" s="4">
        <v>71</v>
      </c>
      <c r="Z974" s="4">
        <v>49</v>
      </c>
      <c r="AA974" s="4">
        <v>205</v>
      </c>
      <c r="AB974" s="4">
        <v>1</v>
      </c>
      <c r="AC974" s="4">
        <v>2</v>
      </c>
      <c r="AD974" s="4">
        <v>0</v>
      </c>
      <c r="AE974" s="4">
        <v>6</v>
      </c>
      <c r="AF974" s="4">
        <v>0</v>
      </c>
      <c r="AG974" s="4">
        <v>2</v>
      </c>
      <c r="AH974" s="4">
        <v>0</v>
      </c>
      <c r="AI974" s="4">
        <v>2</v>
      </c>
      <c r="AJ974" s="4">
        <v>0</v>
      </c>
      <c r="AK974" s="4">
        <v>3</v>
      </c>
      <c r="AL974" s="4">
        <v>0</v>
      </c>
      <c r="AM974" s="4">
        <v>1</v>
      </c>
      <c r="AN974" s="4">
        <v>0</v>
      </c>
      <c r="AO974" s="4">
        <v>0</v>
      </c>
      <c r="AP974" s="3" t="s">
        <v>59</v>
      </c>
      <c r="AQ974" s="3" t="s">
        <v>70</v>
      </c>
      <c r="AR974" s="6" t="str">
        <f>HYPERLINK("http://catalog.hathitrust.org/Record/010377772","HathiTrust Record")</f>
        <v>HathiTrust Record</v>
      </c>
      <c r="AS974" s="6" t="str">
        <f>HYPERLINK("https://creighton-primo.hosted.exlibrisgroup.com/primo-explore/search?tab=default_tab&amp;search_scope=EVERYTHING&amp;vid=01CRU&amp;lang=en_US&amp;offset=0&amp;query=any,contains,991001386949702656","Catalog Record")</f>
        <v>Catalog Record</v>
      </c>
      <c r="AT974" s="6" t="str">
        <f>HYPERLINK("http://www.worldcat.org/oclc/19741611","WorldCat Record")</f>
        <v>WorldCat Record</v>
      </c>
    </row>
    <row r="975" spans="1:46" ht="48" customHeight="1" x14ac:dyDescent="0.25">
      <c r="A975" s="7" t="s">
        <v>59</v>
      </c>
      <c r="B975" s="2" t="s">
        <v>12078</v>
      </c>
      <c r="C975" s="2" t="s">
        <v>12079</v>
      </c>
      <c r="D975" s="2" t="s">
        <v>12080</v>
      </c>
      <c r="F975" s="3" t="s">
        <v>59</v>
      </c>
      <c r="G975" s="3" t="s">
        <v>60</v>
      </c>
      <c r="H975" s="3" t="s">
        <v>59</v>
      </c>
      <c r="I975" s="3" t="s">
        <v>70</v>
      </c>
      <c r="J975" s="3" t="s">
        <v>60</v>
      </c>
      <c r="L975" s="2" t="s">
        <v>12081</v>
      </c>
      <c r="M975" s="3" t="s">
        <v>129</v>
      </c>
      <c r="N975" s="2" t="s">
        <v>926</v>
      </c>
      <c r="O975" s="3" t="s">
        <v>64</v>
      </c>
      <c r="P975" s="3" t="s">
        <v>130</v>
      </c>
      <c r="Q975" s="2" t="s">
        <v>12076</v>
      </c>
      <c r="R975" s="3" t="s">
        <v>11989</v>
      </c>
      <c r="S975" s="4">
        <v>17</v>
      </c>
      <c r="T975" s="4">
        <v>17</v>
      </c>
      <c r="U975" s="5" t="s">
        <v>12082</v>
      </c>
      <c r="V975" s="5" t="s">
        <v>12082</v>
      </c>
      <c r="W975" s="5" t="s">
        <v>12083</v>
      </c>
      <c r="X975" s="5" t="s">
        <v>12083</v>
      </c>
      <c r="Y975" s="4">
        <v>79</v>
      </c>
      <c r="Z975" s="4">
        <v>53</v>
      </c>
      <c r="AA975" s="4">
        <v>205</v>
      </c>
      <c r="AB975" s="4">
        <v>1</v>
      </c>
      <c r="AC975" s="4">
        <v>2</v>
      </c>
      <c r="AD975" s="4">
        <v>1</v>
      </c>
      <c r="AE975" s="4">
        <v>6</v>
      </c>
      <c r="AF975" s="4">
        <v>0</v>
      </c>
      <c r="AG975" s="4">
        <v>2</v>
      </c>
      <c r="AH975" s="4">
        <v>1</v>
      </c>
      <c r="AI975" s="4">
        <v>2</v>
      </c>
      <c r="AJ975" s="4">
        <v>1</v>
      </c>
      <c r="AK975" s="4">
        <v>3</v>
      </c>
      <c r="AL975" s="4">
        <v>0</v>
      </c>
      <c r="AM975" s="4">
        <v>1</v>
      </c>
      <c r="AN975" s="4">
        <v>0</v>
      </c>
      <c r="AO975" s="4">
        <v>0</v>
      </c>
      <c r="AP975" s="3" t="s">
        <v>59</v>
      </c>
      <c r="AQ975" s="3" t="s">
        <v>59</v>
      </c>
      <c r="AS975" s="6" t="str">
        <f>HYPERLINK("https://creighton-primo.hosted.exlibrisgroup.com/primo-explore/search?tab=default_tab&amp;search_scope=EVERYTHING&amp;vid=01CRU&amp;lang=en_US&amp;offset=0&amp;query=any,contains,991001302769702656","Catalog Record")</f>
        <v>Catalog Record</v>
      </c>
      <c r="AT975" s="6" t="str">
        <f>HYPERLINK("http://www.worldcat.org/oclc/25163544","WorldCat Record")</f>
        <v>WorldCat Record</v>
      </c>
    </row>
    <row r="976" spans="1:46" ht="48" customHeight="1" x14ac:dyDescent="0.25">
      <c r="A976" s="7" t="s">
        <v>59</v>
      </c>
      <c r="B976" s="2" t="s">
        <v>12084</v>
      </c>
      <c r="C976" s="2" t="s">
        <v>12085</v>
      </c>
      <c r="D976" s="2" t="s">
        <v>12086</v>
      </c>
      <c r="F976" s="3" t="s">
        <v>59</v>
      </c>
      <c r="G976" s="3" t="s">
        <v>60</v>
      </c>
      <c r="H976" s="3" t="s">
        <v>59</v>
      </c>
      <c r="I976" s="3" t="s">
        <v>70</v>
      </c>
      <c r="J976" s="3" t="s">
        <v>60</v>
      </c>
      <c r="K976" s="2" t="s">
        <v>12087</v>
      </c>
      <c r="L976" s="2" t="s">
        <v>12088</v>
      </c>
      <c r="M976" s="3" t="s">
        <v>604</v>
      </c>
      <c r="O976" s="3" t="s">
        <v>64</v>
      </c>
      <c r="P976" s="3" t="s">
        <v>115</v>
      </c>
      <c r="Q976" s="2" t="s">
        <v>8274</v>
      </c>
      <c r="R976" s="3" t="s">
        <v>11989</v>
      </c>
      <c r="S976" s="4">
        <v>42</v>
      </c>
      <c r="T976" s="4">
        <v>42</v>
      </c>
      <c r="U976" s="5" t="s">
        <v>12089</v>
      </c>
      <c r="V976" s="5" t="s">
        <v>12089</v>
      </c>
      <c r="W976" s="5" t="s">
        <v>12090</v>
      </c>
      <c r="X976" s="5" t="s">
        <v>12090</v>
      </c>
      <c r="Y976" s="4">
        <v>94</v>
      </c>
      <c r="Z976" s="4">
        <v>68</v>
      </c>
      <c r="AA976" s="4">
        <v>620</v>
      </c>
      <c r="AB976" s="4">
        <v>1</v>
      </c>
      <c r="AC976" s="4">
        <v>3</v>
      </c>
      <c r="AD976" s="4">
        <v>6</v>
      </c>
      <c r="AE976" s="4">
        <v>17</v>
      </c>
      <c r="AF976" s="4">
        <v>0</v>
      </c>
      <c r="AG976" s="4">
        <v>4</v>
      </c>
      <c r="AH976" s="4">
        <v>2</v>
      </c>
      <c r="AI976" s="4">
        <v>6</v>
      </c>
      <c r="AJ976" s="4">
        <v>5</v>
      </c>
      <c r="AK976" s="4">
        <v>8</v>
      </c>
      <c r="AL976" s="4">
        <v>0</v>
      </c>
      <c r="AM976" s="4">
        <v>2</v>
      </c>
      <c r="AN976" s="4">
        <v>0</v>
      </c>
      <c r="AO976" s="4">
        <v>0</v>
      </c>
      <c r="AP976" s="3" t="s">
        <v>59</v>
      </c>
      <c r="AQ976" s="3" t="s">
        <v>59</v>
      </c>
      <c r="AS976" s="6" t="str">
        <f>HYPERLINK("https://creighton-primo.hosted.exlibrisgroup.com/primo-explore/search?tab=default_tab&amp;search_scope=EVERYTHING&amp;vid=01CRU&amp;lang=en_US&amp;offset=0&amp;query=any,contains,991000798219702656","Catalog Record")</f>
        <v>Catalog Record</v>
      </c>
      <c r="AT976" s="6" t="str">
        <f>HYPERLINK("http://www.worldcat.org/oclc/28749425","WorldCat Record")</f>
        <v>WorldCat Record</v>
      </c>
    </row>
    <row r="977" spans="1:46" ht="48" customHeight="1" x14ac:dyDescent="0.25">
      <c r="A977" s="7" t="s">
        <v>59</v>
      </c>
      <c r="B977" s="2" t="s">
        <v>12091</v>
      </c>
      <c r="C977" s="2" t="s">
        <v>12092</v>
      </c>
      <c r="D977" s="2" t="s">
        <v>12093</v>
      </c>
      <c r="F977" s="3" t="s">
        <v>59</v>
      </c>
      <c r="G977" s="3" t="s">
        <v>60</v>
      </c>
      <c r="H977" s="3" t="s">
        <v>59</v>
      </c>
      <c r="I977" s="3" t="s">
        <v>59</v>
      </c>
      <c r="J977" s="3" t="s">
        <v>61</v>
      </c>
      <c r="L977" s="2" t="s">
        <v>12094</v>
      </c>
      <c r="M977" s="3" t="s">
        <v>4596</v>
      </c>
      <c r="O977" s="3" t="s">
        <v>64</v>
      </c>
      <c r="P977" s="3" t="s">
        <v>130</v>
      </c>
      <c r="Q977" s="2" t="s">
        <v>12095</v>
      </c>
      <c r="R977" s="3" t="s">
        <v>11989</v>
      </c>
      <c r="S977" s="4">
        <v>1</v>
      </c>
      <c r="T977" s="4">
        <v>1</v>
      </c>
      <c r="U977" s="5" t="s">
        <v>12096</v>
      </c>
      <c r="V977" s="5" t="s">
        <v>12096</v>
      </c>
      <c r="W977" s="5" t="s">
        <v>12097</v>
      </c>
      <c r="X977" s="5" t="s">
        <v>12097</v>
      </c>
      <c r="Y977" s="4">
        <v>54</v>
      </c>
      <c r="Z977" s="4">
        <v>37</v>
      </c>
      <c r="AA977" s="4">
        <v>513</v>
      </c>
      <c r="AB977" s="4">
        <v>1</v>
      </c>
      <c r="AC977" s="4">
        <v>16</v>
      </c>
      <c r="AD977" s="4">
        <v>1</v>
      </c>
      <c r="AE977" s="4">
        <v>17</v>
      </c>
      <c r="AF977" s="4">
        <v>0</v>
      </c>
      <c r="AG977" s="4">
        <v>4</v>
      </c>
      <c r="AH977" s="4">
        <v>1</v>
      </c>
      <c r="AI977" s="4">
        <v>3</v>
      </c>
      <c r="AJ977" s="4">
        <v>0</v>
      </c>
      <c r="AK977" s="4">
        <v>4</v>
      </c>
      <c r="AL977" s="4">
        <v>0</v>
      </c>
      <c r="AM977" s="4">
        <v>8</v>
      </c>
      <c r="AN977" s="4">
        <v>0</v>
      </c>
      <c r="AO977" s="4">
        <v>0</v>
      </c>
      <c r="AP977" s="3" t="s">
        <v>59</v>
      </c>
      <c r="AQ977" s="3" t="s">
        <v>70</v>
      </c>
      <c r="AR977" s="6" t="str">
        <f>HYPERLINK("http://catalog.hathitrust.org/Record/102036859","HathiTrust Record")</f>
        <v>HathiTrust Record</v>
      </c>
      <c r="AS977" s="6" t="str">
        <f>HYPERLINK("https://creighton-primo.hosted.exlibrisgroup.com/primo-explore/search?tab=default_tab&amp;search_scope=EVERYTHING&amp;vid=01CRU&amp;lang=en_US&amp;offset=0&amp;query=any,contains,991000441139702656","Catalog Record")</f>
        <v>Catalog Record</v>
      </c>
      <c r="AT977" s="6" t="str">
        <f>HYPERLINK("http://www.worldcat.org/oclc/55228202","WorldCat Record")</f>
        <v>WorldCat Record</v>
      </c>
    </row>
    <row r="978" spans="1:46" ht="48" customHeight="1" x14ac:dyDescent="0.25">
      <c r="A978" s="7" t="s">
        <v>59</v>
      </c>
      <c r="B978" s="2" t="s">
        <v>12098</v>
      </c>
      <c r="C978" s="2" t="s">
        <v>12099</v>
      </c>
      <c r="D978" s="2" t="s">
        <v>12100</v>
      </c>
      <c r="F978" s="3" t="s">
        <v>59</v>
      </c>
      <c r="G978" s="3" t="s">
        <v>60</v>
      </c>
      <c r="H978" s="3" t="s">
        <v>59</v>
      </c>
      <c r="I978" s="3" t="s">
        <v>59</v>
      </c>
      <c r="J978" s="3" t="s">
        <v>61</v>
      </c>
      <c r="K978" s="2" t="s">
        <v>12101</v>
      </c>
      <c r="L978" s="2" t="s">
        <v>12102</v>
      </c>
      <c r="M978" s="3" t="s">
        <v>519</v>
      </c>
      <c r="N978" s="2" t="s">
        <v>2933</v>
      </c>
      <c r="O978" s="3" t="s">
        <v>64</v>
      </c>
      <c r="P978" s="3" t="s">
        <v>2222</v>
      </c>
      <c r="R978" s="3" t="s">
        <v>11989</v>
      </c>
      <c r="S978" s="4">
        <v>7</v>
      </c>
      <c r="T978" s="4">
        <v>7</v>
      </c>
      <c r="U978" s="5" t="s">
        <v>12103</v>
      </c>
      <c r="V978" s="5" t="s">
        <v>12103</v>
      </c>
      <c r="W978" s="5" t="s">
        <v>12104</v>
      </c>
      <c r="X978" s="5" t="s">
        <v>12104</v>
      </c>
      <c r="Y978" s="4">
        <v>2</v>
      </c>
      <c r="Z978" s="4">
        <v>2</v>
      </c>
      <c r="AA978" s="4">
        <v>2</v>
      </c>
      <c r="AB978" s="4">
        <v>1</v>
      </c>
      <c r="AC978" s="4">
        <v>1</v>
      </c>
      <c r="AD978" s="4">
        <v>0</v>
      </c>
      <c r="AE978" s="4">
        <v>0</v>
      </c>
      <c r="AF978" s="4">
        <v>0</v>
      </c>
      <c r="AG978" s="4">
        <v>0</v>
      </c>
      <c r="AH978" s="4">
        <v>0</v>
      </c>
      <c r="AI978" s="4">
        <v>0</v>
      </c>
      <c r="AJ978" s="4">
        <v>0</v>
      </c>
      <c r="AK978" s="4">
        <v>0</v>
      </c>
      <c r="AL978" s="4">
        <v>0</v>
      </c>
      <c r="AM978" s="4">
        <v>0</v>
      </c>
      <c r="AN978" s="4">
        <v>0</v>
      </c>
      <c r="AO978" s="4">
        <v>0</v>
      </c>
      <c r="AP978" s="3" t="s">
        <v>59</v>
      </c>
      <c r="AQ978" s="3" t="s">
        <v>59</v>
      </c>
      <c r="AS978" s="6" t="str">
        <f>HYPERLINK("https://creighton-primo.hosted.exlibrisgroup.com/primo-explore/search?tab=default_tab&amp;search_scope=EVERYTHING&amp;vid=01CRU&amp;lang=en_US&amp;offset=0&amp;query=any,contains,991000651709702656","Catalog Record")</f>
        <v>Catalog Record</v>
      </c>
      <c r="AT978" s="6" t="str">
        <f>HYPERLINK("http://www.worldcat.org/oclc/31401496","WorldCat Record")</f>
        <v>WorldCat Record</v>
      </c>
    </row>
    <row r="979" spans="1:46" ht="48" customHeight="1" x14ac:dyDescent="0.25">
      <c r="A979" s="7" t="s">
        <v>59</v>
      </c>
      <c r="B979" s="2" t="s">
        <v>12105</v>
      </c>
      <c r="C979" s="2" t="s">
        <v>12106</v>
      </c>
      <c r="D979" s="2" t="s">
        <v>12107</v>
      </c>
      <c r="F979" s="3" t="s">
        <v>59</v>
      </c>
      <c r="G979" s="3" t="s">
        <v>60</v>
      </c>
      <c r="H979" s="3" t="s">
        <v>59</v>
      </c>
      <c r="I979" s="3" t="s">
        <v>59</v>
      </c>
      <c r="J979" s="3" t="s">
        <v>61</v>
      </c>
      <c r="K979" s="2" t="s">
        <v>12108</v>
      </c>
      <c r="L979" s="2" t="s">
        <v>12109</v>
      </c>
      <c r="M979" s="3" t="s">
        <v>1351</v>
      </c>
      <c r="O979" s="3" t="s">
        <v>64</v>
      </c>
      <c r="P979" s="3" t="s">
        <v>130</v>
      </c>
      <c r="Q979" s="2" t="s">
        <v>12110</v>
      </c>
      <c r="R979" s="3" t="s">
        <v>11989</v>
      </c>
      <c r="S979" s="4">
        <v>2</v>
      </c>
      <c r="T979" s="4">
        <v>2</v>
      </c>
      <c r="U979" s="5" t="s">
        <v>12111</v>
      </c>
      <c r="V979" s="5" t="s">
        <v>12111</v>
      </c>
      <c r="W979" s="5" t="s">
        <v>1115</v>
      </c>
      <c r="X979" s="5" t="s">
        <v>1115</v>
      </c>
      <c r="Y979" s="4">
        <v>95</v>
      </c>
      <c r="Z979" s="4">
        <v>64</v>
      </c>
      <c r="AA979" s="4">
        <v>64</v>
      </c>
      <c r="AB979" s="4">
        <v>1</v>
      </c>
      <c r="AC979" s="4">
        <v>1</v>
      </c>
      <c r="AD979" s="4">
        <v>2</v>
      </c>
      <c r="AE979" s="4">
        <v>2</v>
      </c>
      <c r="AF979" s="4">
        <v>0</v>
      </c>
      <c r="AG979" s="4">
        <v>0</v>
      </c>
      <c r="AH979" s="4">
        <v>2</v>
      </c>
      <c r="AI979" s="4">
        <v>2</v>
      </c>
      <c r="AJ979" s="4">
        <v>1</v>
      </c>
      <c r="AK979" s="4">
        <v>1</v>
      </c>
      <c r="AL979" s="4">
        <v>0</v>
      </c>
      <c r="AM979" s="4">
        <v>0</v>
      </c>
      <c r="AN979" s="4">
        <v>0</v>
      </c>
      <c r="AO979" s="4">
        <v>0</v>
      </c>
      <c r="AP979" s="3" t="s">
        <v>59</v>
      </c>
      <c r="AQ979" s="3" t="s">
        <v>59</v>
      </c>
      <c r="AS979" s="6" t="str">
        <f>HYPERLINK("https://creighton-primo.hosted.exlibrisgroup.com/primo-explore/search?tab=default_tab&amp;search_scope=EVERYTHING&amp;vid=01CRU&amp;lang=en_US&amp;offset=0&amp;query=any,contains,991000364829702656","Catalog Record")</f>
        <v>Catalog Record</v>
      </c>
      <c r="AT979" s="6" t="str">
        <f>HYPERLINK("http://www.worldcat.org/oclc/51764236","WorldCat Record")</f>
        <v>WorldCat Record</v>
      </c>
    </row>
    <row r="980" spans="1:46" ht="48" customHeight="1" x14ac:dyDescent="0.25">
      <c r="A980" s="7" t="s">
        <v>59</v>
      </c>
      <c r="B980" s="2" t="s">
        <v>12112</v>
      </c>
      <c r="C980" s="2" t="s">
        <v>12113</v>
      </c>
      <c r="D980" s="2" t="s">
        <v>12114</v>
      </c>
      <c r="F980" s="3" t="s">
        <v>59</v>
      </c>
      <c r="G980" s="3" t="s">
        <v>60</v>
      </c>
      <c r="H980" s="3" t="s">
        <v>59</v>
      </c>
      <c r="I980" s="3" t="s">
        <v>59</v>
      </c>
      <c r="J980" s="3" t="s">
        <v>61</v>
      </c>
      <c r="L980" s="2" t="s">
        <v>4005</v>
      </c>
      <c r="M980" s="3" t="s">
        <v>604</v>
      </c>
      <c r="O980" s="3" t="s">
        <v>64</v>
      </c>
      <c r="P980" s="3" t="s">
        <v>191</v>
      </c>
      <c r="Q980" s="2" t="s">
        <v>12115</v>
      </c>
      <c r="R980" s="3" t="s">
        <v>11989</v>
      </c>
      <c r="S980" s="4">
        <v>16</v>
      </c>
      <c r="T980" s="4">
        <v>16</v>
      </c>
      <c r="U980" s="5" t="s">
        <v>12116</v>
      </c>
      <c r="V980" s="5" t="s">
        <v>12116</v>
      </c>
      <c r="W980" s="5" t="s">
        <v>487</v>
      </c>
      <c r="X980" s="5" t="s">
        <v>487</v>
      </c>
      <c r="Y980" s="4">
        <v>454</v>
      </c>
      <c r="Z980" s="4">
        <v>287</v>
      </c>
      <c r="AA980" s="4">
        <v>499</v>
      </c>
      <c r="AB980" s="4">
        <v>1</v>
      </c>
      <c r="AC980" s="4">
        <v>2</v>
      </c>
      <c r="AD980" s="4">
        <v>6</v>
      </c>
      <c r="AE980" s="4">
        <v>17</v>
      </c>
      <c r="AF980" s="4">
        <v>1</v>
      </c>
      <c r="AG980" s="4">
        <v>5</v>
      </c>
      <c r="AH980" s="4">
        <v>4</v>
      </c>
      <c r="AI980" s="4">
        <v>5</v>
      </c>
      <c r="AJ980" s="4">
        <v>4</v>
      </c>
      <c r="AK980" s="4">
        <v>9</v>
      </c>
      <c r="AL980" s="4">
        <v>0</v>
      </c>
      <c r="AM980" s="4">
        <v>1</v>
      </c>
      <c r="AN980" s="4">
        <v>0</v>
      </c>
      <c r="AO980" s="4">
        <v>0</v>
      </c>
      <c r="AP980" s="3" t="s">
        <v>59</v>
      </c>
      <c r="AQ980" s="3" t="s">
        <v>70</v>
      </c>
      <c r="AR980" s="6" t="str">
        <f>HYPERLINK("http://catalog.hathitrust.org/Record/002997745","HathiTrust Record")</f>
        <v>HathiTrust Record</v>
      </c>
      <c r="AS980" s="6" t="str">
        <f>HYPERLINK("https://creighton-primo.hosted.exlibrisgroup.com/primo-explore/search?tab=default_tab&amp;search_scope=EVERYTHING&amp;vid=01CRU&amp;lang=en_US&amp;offset=0&amp;query=any,contains,991001402799702656","Catalog Record")</f>
        <v>Catalog Record</v>
      </c>
      <c r="AT980" s="6" t="str">
        <f>HYPERLINK("http://www.worldcat.org/oclc/32052901","WorldCat Record")</f>
        <v>WorldCat Record</v>
      </c>
    </row>
    <row r="981" spans="1:46" ht="48" customHeight="1" x14ac:dyDescent="0.25">
      <c r="A981" s="7" t="s">
        <v>59</v>
      </c>
      <c r="B981" s="2" t="s">
        <v>12117</v>
      </c>
      <c r="C981" s="2" t="s">
        <v>12118</v>
      </c>
      <c r="D981" s="2" t="s">
        <v>12119</v>
      </c>
      <c r="F981" s="3" t="s">
        <v>59</v>
      </c>
      <c r="G981" s="3" t="s">
        <v>60</v>
      </c>
      <c r="H981" s="3" t="s">
        <v>59</v>
      </c>
      <c r="I981" s="3" t="s">
        <v>59</v>
      </c>
      <c r="J981" s="3" t="s">
        <v>61</v>
      </c>
      <c r="L981" s="2" t="s">
        <v>12120</v>
      </c>
      <c r="M981" s="3" t="s">
        <v>2825</v>
      </c>
      <c r="N981" s="2" t="s">
        <v>926</v>
      </c>
      <c r="O981" s="3" t="s">
        <v>64</v>
      </c>
      <c r="P981" s="3" t="s">
        <v>10536</v>
      </c>
      <c r="Q981" s="2" t="s">
        <v>12121</v>
      </c>
      <c r="R981" s="3" t="s">
        <v>11989</v>
      </c>
      <c r="S981" s="4">
        <v>1</v>
      </c>
      <c r="T981" s="4">
        <v>1</v>
      </c>
      <c r="U981" s="5" t="s">
        <v>12122</v>
      </c>
      <c r="V981" s="5" t="s">
        <v>12122</v>
      </c>
      <c r="W981" s="5" t="s">
        <v>12123</v>
      </c>
      <c r="X981" s="5" t="s">
        <v>12123</v>
      </c>
      <c r="Y981" s="4">
        <v>225</v>
      </c>
      <c r="Z981" s="4">
        <v>200</v>
      </c>
      <c r="AA981" s="4">
        <v>201</v>
      </c>
      <c r="AB981" s="4">
        <v>3</v>
      </c>
      <c r="AC981" s="4">
        <v>3</v>
      </c>
      <c r="AD981" s="4">
        <v>5</v>
      </c>
      <c r="AE981" s="4">
        <v>5</v>
      </c>
      <c r="AF981" s="4">
        <v>2</v>
      </c>
      <c r="AG981" s="4">
        <v>2</v>
      </c>
      <c r="AH981" s="4">
        <v>0</v>
      </c>
      <c r="AI981" s="4">
        <v>0</v>
      </c>
      <c r="AJ981" s="4">
        <v>1</v>
      </c>
      <c r="AK981" s="4">
        <v>1</v>
      </c>
      <c r="AL981" s="4">
        <v>2</v>
      </c>
      <c r="AM981" s="4">
        <v>2</v>
      </c>
      <c r="AN981" s="4">
        <v>0</v>
      </c>
      <c r="AO981" s="4">
        <v>0</v>
      </c>
      <c r="AP981" s="3" t="s">
        <v>59</v>
      </c>
      <c r="AQ981" s="3" t="s">
        <v>70</v>
      </c>
      <c r="AR981" s="6" t="str">
        <f>HYPERLINK("http://catalog.hathitrust.org/Record/005620735","HathiTrust Record")</f>
        <v>HathiTrust Record</v>
      </c>
      <c r="AS981" s="6" t="str">
        <f>HYPERLINK("https://creighton-primo.hosted.exlibrisgroup.com/primo-explore/search?tab=default_tab&amp;search_scope=EVERYTHING&amp;vid=01CRU&amp;lang=en_US&amp;offset=0&amp;query=any,contains,991001462669702656","Catalog Record")</f>
        <v>Catalog Record</v>
      </c>
      <c r="AT981" s="6" t="str">
        <f>HYPERLINK("http://www.worldcat.org/oclc/86117765","WorldCat Record")</f>
        <v>WorldCat Record</v>
      </c>
    </row>
    <row r="982" spans="1:46" ht="48" customHeight="1" x14ac:dyDescent="0.25">
      <c r="A982" s="7" t="s">
        <v>59</v>
      </c>
      <c r="B982" s="2" t="s">
        <v>12124</v>
      </c>
      <c r="C982" s="2" t="s">
        <v>12125</v>
      </c>
      <c r="D982" s="2" t="s">
        <v>12126</v>
      </c>
      <c r="F982" s="3" t="s">
        <v>59</v>
      </c>
      <c r="G982" s="3" t="s">
        <v>60</v>
      </c>
      <c r="H982" s="3" t="s">
        <v>59</v>
      </c>
      <c r="I982" s="3" t="s">
        <v>59</v>
      </c>
      <c r="J982" s="3" t="s">
        <v>61</v>
      </c>
      <c r="L982" s="2" t="s">
        <v>12127</v>
      </c>
      <c r="M982" s="3" t="s">
        <v>3113</v>
      </c>
      <c r="N982" s="2" t="s">
        <v>926</v>
      </c>
      <c r="O982" s="3" t="s">
        <v>64</v>
      </c>
      <c r="P982" s="3" t="s">
        <v>115</v>
      </c>
      <c r="R982" s="3" t="s">
        <v>11989</v>
      </c>
      <c r="S982" s="4">
        <v>2</v>
      </c>
      <c r="T982" s="4">
        <v>2</v>
      </c>
      <c r="U982" s="5" t="s">
        <v>12128</v>
      </c>
      <c r="V982" s="5" t="s">
        <v>12128</v>
      </c>
      <c r="W982" s="5" t="s">
        <v>927</v>
      </c>
      <c r="X982" s="5" t="s">
        <v>927</v>
      </c>
      <c r="Y982" s="4">
        <v>208</v>
      </c>
      <c r="Z982" s="4">
        <v>173</v>
      </c>
      <c r="AA982" s="4">
        <v>360</v>
      </c>
      <c r="AB982" s="4">
        <v>1</v>
      </c>
      <c r="AC982" s="4">
        <v>6</v>
      </c>
      <c r="AD982" s="4">
        <v>7</v>
      </c>
      <c r="AE982" s="4">
        <v>14</v>
      </c>
      <c r="AF982" s="4">
        <v>4</v>
      </c>
      <c r="AG982" s="4">
        <v>6</v>
      </c>
      <c r="AH982" s="4">
        <v>3</v>
      </c>
      <c r="AI982" s="4">
        <v>4</v>
      </c>
      <c r="AJ982" s="4">
        <v>3</v>
      </c>
      <c r="AK982" s="4">
        <v>3</v>
      </c>
      <c r="AL982" s="4">
        <v>0</v>
      </c>
      <c r="AM982" s="4">
        <v>5</v>
      </c>
      <c r="AN982" s="4">
        <v>0</v>
      </c>
      <c r="AO982" s="4">
        <v>0</v>
      </c>
      <c r="AP982" s="3" t="s">
        <v>59</v>
      </c>
      <c r="AQ982" s="3" t="s">
        <v>70</v>
      </c>
      <c r="AR982" s="6" t="str">
        <f>HYPERLINK("http://catalog.hathitrust.org/Record/004218771","HathiTrust Record")</f>
        <v>HathiTrust Record</v>
      </c>
      <c r="AS982" s="6" t="str">
        <f>HYPERLINK("https://creighton-primo.hosted.exlibrisgroup.com/primo-explore/search?tab=default_tab&amp;search_scope=EVERYTHING&amp;vid=01CRU&amp;lang=en_US&amp;offset=0&amp;query=any,contains,991000615189702656","Catalog Record")</f>
        <v>Catalog Record</v>
      </c>
      <c r="AT982" s="6" t="str">
        <f>HYPERLINK("http://www.worldcat.org/oclc/46970641","WorldCat Record")</f>
        <v>WorldCat Record</v>
      </c>
    </row>
    <row r="983" spans="1:46" ht="48" customHeight="1" x14ac:dyDescent="0.25">
      <c r="A983" s="7" t="s">
        <v>59</v>
      </c>
      <c r="B983" s="2" t="s">
        <v>12129</v>
      </c>
      <c r="C983" s="2" t="s">
        <v>12130</v>
      </c>
      <c r="D983" s="2" t="s">
        <v>12131</v>
      </c>
      <c r="F983" s="3" t="s">
        <v>59</v>
      </c>
      <c r="G983" s="3" t="s">
        <v>60</v>
      </c>
      <c r="H983" s="3" t="s">
        <v>59</v>
      </c>
      <c r="I983" s="3" t="s">
        <v>59</v>
      </c>
      <c r="J983" s="3" t="s">
        <v>61</v>
      </c>
      <c r="L983" s="2" t="s">
        <v>12132</v>
      </c>
      <c r="M983" s="3" t="s">
        <v>113</v>
      </c>
      <c r="O983" s="3" t="s">
        <v>64</v>
      </c>
      <c r="P983" s="3" t="s">
        <v>2252</v>
      </c>
      <c r="R983" s="3" t="s">
        <v>11989</v>
      </c>
      <c r="S983" s="4">
        <v>6</v>
      </c>
      <c r="T983" s="4">
        <v>6</v>
      </c>
      <c r="U983" s="5" t="s">
        <v>12133</v>
      </c>
      <c r="V983" s="5" t="s">
        <v>12133</v>
      </c>
      <c r="W983" s="5" t="s">
        <v>12134</v>
      </c>
      <c r="X983" s="5" t="s">
        <v>12134</v>
      </c>
      <c r="Y983" s="4">
        <v>112</v>
      </c>
      <c r="Z983" s="4">
        <v>81</v>
      </c>
      <c r="AA983" s="4">
        <v>83</v>
      </c>
      <c r="AB983" s="4">
        <v>1</v>
      </c>
      <c r="AC983" s="4">
        <v>1</v>
      </c>
      <c r="AD983" s="4">
        <v>0</v>
      </c>
      <c r="AE983" s="4">
        <v>0</v>
      </c>
      <c r="AF983" s="4">
        <v>0</v>
      </c>
      <c r="AG983" s="4">
        <v>0</v>
      </c>
      <c r="AH983" s="4">
        <v>0</v>
      </c>
      <c r="AI983" s="4">
        <v>0</v>
      </c>
      <c r="AJ983" s="4">
        <v>0</v>
      </c>
      <c r="AK983" s="4">
        <v>0</v>
      </c>
      <c r="AL983" s="4">
        <v>0</v>
      </c>
      <c r="AM983" s="4">
        <v>0</v>
      </c>
      <c r="AN983" s="4">
        <v>0</v>
      </c>
      <c r="AO983" s="4">
        <v>0</v>
      </c>
      <c r="AP983" s="3" t="s">
        <v>59</v>
      </c>
      <c r="AQ983" s="3" t="s">
        <v>70</v>
      </c>
      <c r="AR983" s="6" t="str">
        <f>HYPERLINK("http://catalog.hathitrust.org/Record/000915616","HathiTrust Record")</f>
        <v>HathiTrust Record</v>
      </c>
      <c r="AS983" s="6" t="str">
        <f>HYPERLINK("https://creighton-primo.hosted.exlibrisgroup.com/primo-explore/search?tab=default_tab&amp;search_scope=EVERYTHING&amp;vid=01CRU&amp;lang=en_US&amp;offset=0&amp;query=any,contains,991000990109702656","Catalog Record")</f>
        <v>Catalog Record</v>
      </c>
      <c r="AT983" s="6" t="str">
        <f>HYPERLINK("http://www.worldcat.org/oclc/16714854","WorldCat Record")</f>
        <v>WorldCat Record</v>
      </c>
    </row>
    <row r="984" spans="1:46" ht="48" customHeight="1" x14ac:dyDescent="0.25">
      <c r="A984" s="7" t="s">
        <v>59</v>
      </c>
      <c r="B984" s="2" t="s">
        <v>12135</v>
      </c>
      <c r="C984" s="2" t="s">
        <v>12136</v>
      </c>
      <c r="D984" s="2" t="s">
        <v>12137</v>
      </c>
      <c r="F984" s="3" t="s">
        <v>59</v>
      </c>
      <c r="G984" s="3" t="s">
        <v>60</v>
      </c>
      <c r="H984" s="3" t="s">
        <v>59</v>
      </c>
      <c r="I984" s="3" t="s">
        <v>59</v>
      </c>
      <c r="J984" s="3" t="s">
        <v>61</v>
      </c>
      <c r="K984" s="2" t="s">
        <v>12138</v>
      </c>
      <c r="L984" s="2" t="s">
        <v>12139</v>
      </c>
      <c r="M984" s="3" t="s">
        <v>7628</v>
      </c>
      <c r="N984" s="2" t="s">
        <v>12140</v>
      </c>
      <c r="O984" s="3" t="s">
        <v>64</v>
      </c>
      <c r="P984" s="3" t="s">
        <v>278</v>
      </c>
      <c r="R984" s="3" t="s">
        <v>11989</v>
      </c>
      <c r="S984" s="4">
        <v>5</v>
      </c>
      <c r="T984" s="4">
        <v>5</v>
      </c>
      <c r="U984" s="5" t="s">
        <v>12141</v>
      </c>
      <c r="V984" s="5" t="s">
        <v>12141</v>
      </c>
      <c r="W984" s="5" t="s">
        <v>12142</v>
      </c>
      <c r="X984" s="5" t="s">
        <v>12142</v>
      </c>
      <c r="Y984" s="4">
        <v>55</v>
      </c>
      <c r="Z984" s="4">
        <v>54</v>
      </c>
      <c r="AA984" s="4">
        <v>161</v>
      </c>
      <c r="AB984" s="4">
        <v>1</v>
      </c>
      <c r="AC984" s="4">
        <v>2</v>
      </c>
      <c r="AD984" s="4">
        <v>1</v>
      </c>
      <c r="AE984" s="4">
        <v>4</v>
      </c>
      <c r="AF984" s="4">
        <v>0</v>
      </c>
      <c r="AG984" s="4">
        <v>0</v>
      </c>
      <c r="AH984" s="4">
        <v>0</v>
      </c>
      <c r="AI984" s="4">
        <v>0</v>
      </c>
      <c r="AJ984" s="4">
        <v>1</v>
      </c>
      <c r="AK984" s="4">
        <v>3</v>
      </c>
      <c r="AL984" s="4">
        <v>0</v>
      </c>
      <c r="AM984" s="4">
        <v>1</v>
      </c>
      <c r="AN984" s="4">
        <v>0</v>
      </c>
      <c r="AO984" s="4">
        <v>0</v>
      </c>
      <c r="AP984" s="3" t="s">
        <v>59</v>
      </c>
      <c r="AQ984" s="3" t="s">
        <v>70</v>
      </c>
      <c r="AR984" s="6" t="str">
        <f>HYPERLINK("http://catalog.hathitrust.org/Record/006153959","HathiTrust Record")</f>
        <v>HathiTrust Record</v>
      </c>
      <c r="AS984" s="6" t="str">
        <f>HYPERLINK("https://creighton-primo.hosted.exlibrisgroup.com/primo-explore/search?tab=default_tab&amp;search_scope=EVERYTHING&amp;vid=01CRU&amp;lang=en_US&amp;offset=0&amp;query=any,contains,991000799479702656","Catalog Record")</f>
        <v>Catalog Record</v>
      </c>
      <c r="AT984" s="6" t="str">
        <f>HYPERLINK("http://www.worldcat.org/oclc/1014513","WorldCat Record")</f>
        <v>WorldCat Record</v>
      </c>
    </row>
    <row r="985" spans="1:46" ht="48" customHeight="1" x14ac:dyDescent="0.25">
      <c r="A985" s="7" t="s">
        <v>59</v>
      </c>
      <c r="B985" s="2" t="s">
        <v>12143</v>
      </c>
      <c r="C985" s="2" t="s">
        <v>12144</v>
      </c>
      <c r="D985" s="2" t="s">
        <v>12145</v>
      </c>
      <c r="F985" s="3" t="s">
        <v>59</v>
      </c>
      <c r="G985" s="3" t="s">
        <v>60</v>
      </c>
      <c r="H985" s="3" t="s">
        <v>59</v>
      </c>
      <c r="I985" s="3" t="s">
        <v>59</v>
      </c>
      <c r="J985" s="3" t="s">
        <v>61</v>
      </c>
      <c r="L985" s="2" t="s">
        <v>5275</v>
      </c>
      <c r="M985" s="3" t="s">
        <v>333</v>
      </c>
      <c r="O985" s="3" t="s">
        <v>64</v>
      </c>
      <c r="P985" s="3" t="s">
        <v>130</v>
      </c>
      <c r="Q985" s="2" t="s">
        <v>146</v>
      </c>
      <c r="R985" s="3" t="s">
        <v>11989</v>
      </c>
      <c r="S985" s="4">
        <v>1</v>
      </c>
      <c r="T985" s="4">
        <v>1</v>
      </c>
      <c r="U985" s="5" t="s">
        <v>7976</v>
      </c>
      <c r="V985" s="5" t="s">
        <v>7976</v>
      </c>
      <c r="W985" s="5" t="s">
        <v>12146</v>
      </c>
      <c r="X985" s="5" t="s">
        <v>12146</v>
      </c>
      <c r="Y985" s="4">
        <v>205</v>
      </c>
      <c r="Z985" s="4">
        <v>190</v>
      </c>
      <c r="AA985" s="4">
        <v>211</v>
      </c>
      <c r="AB985" s="4">
        <v>2</v>
      </c>
      <c r="AC985" s="4">
        <v>2</v>
      </c>
      <c r="AD985" s="4">
        <v>9</v>
      </c>
      <c r="AE985" s="4">
        <v>9</v>
      </c>
      <c r="AF985" s="4">
        <v>4</v>
      </c>
      <c r="AG985" s="4">
        <v>4</v>
      </c>
      <c r="AH985" s="4">
        <v>2</v>
      </c>
      <c r="AI985" s="4">
        <v>2</v>
      </c>
      <c r="AJ985" s="4">
        <v>5</v>
      </c>
      <c r="AK985" s="4">
        <v>5</v>
      </c>
      <c r="AL985" s="4">
        <v>1</v>
      </c>
      <c r="AM985" s="4">
        <v>1</v>
      </c>
      <c r="AN985" s="4">
        <v>0</v>
      </c>
      <c r="AO985" s="4">
        <v>0</v>
      </c>
      <c r="AP985" s="3" t="s">
        <v>59</v>
      </c>
      <c r="AQ985" s="3" t="s">
        <v>70</v>
      </c>
      <c r="AR985" s="6" t="str">
        <f>HYPERLINK("http://catalog.hathitrust.org/Record/000367519","HathiTrust Record")</f>
        <v>HathiTrust Record</v>
      </c>
      <c r="AS985" s="6" t="str">
        <f>HYPERLINK("https://creighton-primo.hosted.exlibrisgroup.com/primo-explore/search?tab=default_tab&amp;search_scope=EVERYTHING&amp;vid=01CRU&amp;lang=en_US&amp;offset=0&amp;query=any,contains,991000799749702656","Catalog Record")</f>
        <v>Catalog Record</v>
      </c>
      <c r="AT985" s="6" t="str">
        <f>HYPERLINK("http://www.worldcat.org/oclc/10948236","WorldCat Record")</f>
        <v>WorldCat Record</v>
      </c>
    </row>
    <row r="986" spans="1:46" ht="48" customHeight="1" x14ac:dyDescent="0.25">
      <c r="A986" s="7" t="s">
        <v>59</v>
      </c>
      <c r="B986" s="2" t="s">
        <v>12147</v>
      </c>
      <c r="C986" s="2" t="s">
        <v>12148</v>
      </c>
      <c r="D986" s="2" t="s">
        <v>12149</v>
      </c>
      <c r="F986" s="3" t="s">
        <v>59</v>
      </c>
      <c r="G986" s="3" t="s">
        <v>60</v>
      </c>
      <c r="H986" s="3" t="s">
        <v>59</v>
      </c>
      <c r="I986" s="3" t="s">
        <v>70</v>
      </c>
      <c r="J986" s="3" t="s">
        <v>61</v>
      </c>
      <c r="K986" s="2" t="s">
        <v>12150</v>
      </c>
      <c r="L986" s="2" t="s">
        <v>12151</v>
      </c>
      <c r="M986" s="3" t="s">
        <v>234</v>
      </c>
      <c r="N986" s="2" t="s">
        <v>926</v>
      </c>
      <c r="O986" s="3" t="s">
        <v>64</v>
      </c>
      <c r="P986" s="3" t="s">
        <v>130</v>
      </c>
      <c r="R986" s="3" t="s">
        <v>11989</v>
      </c>
      <c r="S986" s="4">
        <v>12</v>
      </c>
      <c r="T986" s="4">
        <v>12</v>
      </c>
      <c r="U986" s="5" t="s">
        <v>701</v>
      </c>
      <c r="V986" s="5" t="s">
        <v>701</v>
      </c>
      <c r="W986" s="5" t="s">
        <v>11144</v>
      </c>
      <c r="X986" s="5" t="s">
        <v>11144</v>
      </c>
      <c r="Y986" s="4">
        <v>273</v>
      </c>
      <c r="Z986" s="4">
        <v>167</v>
      </c>
      <c r="AA986" s="4">
        <v>523</v>
      </c>
      <c r="AB986" s="4">
        <v>1</v>
      </c>
      <c r="AC986" s="4">
        <v>4</v>
      </c>
      <c r="AD986" s="4">
        <v>5</v>
      </c>
      <c r="AE986" s="4">
        <v>14</v>
      </c>
      <c r="AF986" s="4">
        <v>1</v>
      </c>
      <c r="AG986" s="4">
        <v>3</v>
      </c>
      <c r="AH986" s="4">
        <v>3</v>
      </c>
      <c r="AI986" s="4">
        <v>5</v>
      </c>
      <c r="AJ986" s="4">
        <v>2</v>
      </c>
      <c r="AK986" s="4">
        <v>8</v>
      </c>
      <c r="AL986" s="4">
        <v>0</v>
      </c>
      <c r="AM986" s="4">
        <v>2</v>
      </c>
      <c r="AN986" s="4">
        <v>0</v>
      </c>
      <c r="AO986" s="4">
        <v>0</v>
      </c>
      <c r="AP986" s="3" t="s">
        <v>59</v>
      </c>
      <c r="AQ986" s="3" t="s">
        <v>70</v>
      </c>
      <c r="AR986" s="6" t="str">
        <f>HYPERLINK("http://catalog.hathitrust.org/Record/001536918","HathiTrust Record")</f>
        <v>HathiTrust Record</v>
      </c>
      <c r="AS986" s="6" t="str">
        <f>HYPERLINK("https://creighton-primo.hosted.exlibrisgroup.com/primo-explore/search?tab=default_tab&amp;search_scope=EVERYTHING&amp;vid=01CRU&amp;lang=en_US&amp;offset=0&amp;query=any,contains,991001299679702656","Catalog Record")</f>
        <v>Catalog Record</v>
      </c>
      <c r="AT986" s="6" t="str">
        <f>HYPERLINK("http://www.worldcat.org/oclc/18557129","WorldCat Record")</f>
        <v>WorldCat Record</v>
      </c>
    </row>
    <row r="987" spans="1:46" ht="48" customHeight="1" x14ac:dyDescent="0.25">
      <c r="A987" s="7" t="s">
        <v>59</v>
      </c>
      <c r="B987" s="2" t="s">
        <v>12152</v>
      </c>
      <c r="C987" s="2" t="s">
        <v>12153</v>
      </c>
      <c r="D987" s="2" t="s">
        <v>12154</v>
      </c>
      <c r="F987" s="3" t="s">
        <v>59</v>
      </c>
      <c r="G987" s="3" t="s">
        <v>60</v>
      </c>
      <c r="H987" s="3" t="s">
        <v>59</v>
      </c>
      <c r="I987" s="3" t="s">
        <v>59</v>
      </c>
      <c r="J987" s="3" t="s">
        <v>61</v>
      </c>
      <c r="L987" s="2" t="s">
        <v>12155</v>
      </c>
      <c r="M987" s="3" t="s">
        <v>190</v>
      </c>
      <c r="O987" s="3" t="s">
        <v>64</v>
      </c>
      <c r="P987" s="3" t="s">
        <v>2252</v>
      </c>
      <c r="R987" s="3" t="s">
        <v>11989</v>
      </c>
      <c r="S987" s="4">
        <v>4</v>
      </c>
      <c r="T987" s="4">
        <v>4</v>
      </c>
      <c r="U987" s="5" t="s">
        <v>12156</v>
      </c>
      <c r="V987" s="5" t="s">
        <v>12156</v>
      </c>
      <c r="W987" s="5" t="s">
        <v>12146</v>
      </c>
      <c r="X987" s="5" t="s">
        <v>12146</v>
      </c>
      <c r="Y987" s="4">
        <v>133</v>
      </c>
      <c r="Z987" s="4">
        <v>100</v>
      </c>
      <c r="AA987" s="4">
        <v>157</v>
      </c>
      <c r="AB987" s="4">
        <v>2</v>
      </c>
      <c r="AC987" s="4">
        <v>2</v>
      </c>
      <c r="AD987" s="4">
        <v>3</v>
      </c>
      <c r="AE987" s="4">
        <v>4</v>
      </c>
      <c r="AF987" s="4">
        <v>0</v>
      </c>
      <c r="AG987" s="4">
        <v>0</v>
      </c>
      <c r="AH987" s="4">
        <v>2</v>
      </c>
      <c r="AI987" s="4">
        <v>2</v>
      </c>
      <c r="AJ987" s="4">
        <v>1</v>
      </c>
      <c r="AK987" s="4">
        <v>2</v>
      </c>
      <c r="AL987" s="4">
        <v>1</v>
      </c>
      <c r="AM987" s="4">
        <v>1</v>
      </c>
      <c r="AN987" s="4">
        <v>0</v>
      </c>
      <c r="AO987" s="4">
        <v>0</v>
      </c>
      <c r="AP987" s="3" t="s">
        <v>59</v>
      </c>
      <c r="AQ987" s="3" t="s">
        <v>70</v>
      </c>
      <c r="AR987" s="6" t="str">
        <f>HYPERLINK("http://catalog.hathitrust.org/Record/000819304","HathiTrust Record")</f>
        <v>HathiTrust Record</v>
      </c>
      <c r="AS987" s="6" t="str">
        <f>HYPERLINK("https://creighton-primo.hosted.exlibrisgroup.com/primo-explore/search?tab=default_tab&amp;search_scope=EVERYTHING&amp;vid=01CRU&amp;lang=en_US&amp;offset=0&amp;query=any,contains,991001268219702656","Catalog Record")</f>
        <v>Catalog Record</v>
      </c>
      <c r="AT987" s="6" t="str">
        <f>HYPERLINK("http://www.worldcat.org/oclc/13268890","WorldCat Record")</f>
        <v>WorldCat Record</v>
      </c>
    </row>
    <row r="988" spans="1:46" ht="48" customHeight="1" x14ac:dyDescent="0.25">
      <c r="A988" s="7" t="s">
        <v>59</v>
      </c>
      <c r="B988" s="2" t="s">
        <v>12157</v>
      </c>
      <c r="C988" s="2" t="s">
        <v>12158</v>
      </c>
      <c r="D988" s="2" t="s">
        <v>12159</v>
      </c>
      <c r="F988" s="3" t="s">
        <v>59</v>
      </c>
      <c r="G988" s="3" t="s">
        <v>60</v>
      </c>
      <c r="H988" s="3" t="s">
        <v>59</v>
      </c>
      <c r="I988" s="3" t="s">
        <v>59</v>
      </c>
      <c r="J988" s="3" t="s">
        <v>61</v>
      </c>
      <c r="K988" s="2" t="s">
        <v>12160</v>
      </c>
      <c r="L988" s="2" t="s">
        <v>12161</v>
      </c>
      <c r="M988" s="3" t="s">
        <v>604</v>
      </c>
      <c r="N988" s="2" t="s">
        <v>926</v>
      </c>
      <c r="O988" s="3" t="s">
        <v>64</v>
      </c>
      <c r="P988" s="3" t="s">
        <v>2140</v>
      </c>
      <c r="R988" s="3" t="s">
        <v>11989</v>
      </c>
      <c r="S988" s="4">
        <v>25</v>
      </c>
      <c r="T988" s="4">
        <v>25</v>
      </c>
      <c r="U988" s="5" t="s">
        <v>4321</v>
      </c>
      <c r="V988" s="5" t="s">
        <v>4321</v>
      </c>
      <c r="W988" s="5" t="s">
        <v>12162</v>
      </c>
      <c r="X988" s="5" t="s">
        <v>12162</v>
      </c>
      <c r="Y988" s="4">
        <v>167</v>
      </c>
      <c r="Z988" s="4">
        <v>110</v>
      </c>
      <c r="AA988" s="4">
        <v>270</v>
      </c>
      <c r="AB988" s="4">
        <v>1</v>
      </c>
      <c r="AC988" s="4">
        <v>1</v>
      </c>
      <c r="AD988" s="4">
        <v>1</v>
      </c>
      <c r="AE988" s="4">
        <v>3</v>
      </c>
      <c r="AF988" s="4">
        <v>0</v>
      </c>
      <c r="AG988" s="4">
        <v>0</v>
      </c>
      <c r="AH988" s="4">
        <v>1</v>
      </c>
      <c r="AI988" s="4">
        <v>1</v>
      </c>
      <c r="AJ988" s="4">
        <v>0</v>
      </c>
      <c r="AK988" s="4">
        <v>2</v>
      </c>
      <c r="AL988" s="4">
        <v>0</v>
      </c>
      <c r="AM988" s="4">
        <v>0</v>
      </c>
      <c r="AN988" s="4">
        <v>0</v>
      </c>
      <c r="AO988" s="4">
        <v>0</v>
      </c>
      <c r="AP988" s="3" t="s">
        <v>59</v>
      </c>
      <c r="AQ988" s="3" t="s">
        <v>70</v>
      </c>
      <c r="AR988" s="6" t="str">
        <f>HYPERLINK("http://catalog.hathitrust.org/Record/002887601","HathiTrust Record")</f>
        <v>HathiTrust Record</v>
      </c>
      <c r="AS988" s="6" t="str">
        <f>HYPERLINK("https://creighton-primo.hosted.exlibrisgroup.com/primo-explore/search?tab=default_tab&amp;search_scope=EVERYTHING&amp;vid=01CRU&amp;lang=en_US&amp;offset=0&amp;query=any,contains,991001395489702656","Catalog Record")</f>
        <v>Catalog Record</v>
      </c>
      <c r="AT988" s="6" t="str">
        <f>HYPERLINK("http://www.worldcat.org/oclc/30700472","WorldCat Record")</f>
        <v>WorldCat Record</v>
      </c>
    </row>
    <row r="989" spans="1:46" ht="48" customHeight="1" x14ac:dyDescent="0.25">
      <c r="A989" s="7" t="s">
        <v>59</v>
      </c>
      <c r="B989" s="2" t="s">
        <v>12163</v>
      </c>
      <c r="C989" s="2" t="s">
        <v>12164</v>
      </c>
      <c r="D989" s="2" t="s">
        <v>12165</v>
      </c>
      <c r="F989" s="3" t="s">
        <v>59</v>
      </c>
      <c r="G989" s="3" t="s">
        <v>60</v>
      </c>
      <c r="H989" s="3" t="s">
        <v>59</v>
      </c>
      <c r="I989" s="3" t="s">
        <v>59</v>
      </c>
      <c r="J989" s="3" t="s">
        <v>61</v>
      </c>
      <c r="L989" s="2" t="s">
        <v>3216</v>
      </c>
      <c r="M989" s="3" t="s">
        <v>519</v>
      </c>
      <c r="O989" s="3" t="s">
        <v>64</v>
      </c>
      <c r="P989" s="3" t="s">
        <v>191</v>
      </c>
      <c r="R989" s="3" t="s">
        <v>11989</v>
      </c>
      <c r="S989" s="4">
        <v>6</v>
      </c>
      <c r="T989" s="4">
        <v>6</v>
      </c>
      <c r="U989" s="5" t="s">
        <v>12166</v>
      </c>
      <c r="V989" s="5" t="s">
        <v>12166</v>
      </c>
      <c r="W989" s="5" t="s">
        <v>12162</v>
      </c>
      <c r="X989" s="5" t="s">
        <v>12162</v>
      </c>
      <c r="Y989" s="4">
        <v>131</v>
      </c>
      <c r="Z989" s="4">
        <v>91</v>
      </c>
      <c r="AA989" s="4">
        <v>98</v>
      </c>
      <c r="AB989" s="4">
        <v>1</v>
      </c>
      <c r="AC989" s="4">
        <v>1</v>
      </c>
      <c r="AD989" s="4">
        <v>3</v>
      </c>
      <c r="AE989" s="4">
        <v>3</v>
      </c>
      <c r="AF989" s="4">
        <v>0</v>
      </c>
      <c r="AG989" s="4">
        <v>0</v>
      </c>
      <c r="AH989" s="4">
        <v>1</v>
      </c>
      <c r="AI989" s="4">
        <v>1</v>
      </c>
      <c r="AJ989" s="4">
        <v>3</v>
      </c>
      <c r="AK989" s="4">
        <v>3</v>
      </c>
      <c r="AL989" s="4">
        <v>0</v>
      </c>
      <c r="AM989" s="4">
        <v>0</v>
      </c>
      <c r="AN989" s="4">
        <v>0</v>
      </c>
      <c r="AO989" s="4">
        <v>0</v>
      </c>
      <c r="AP989" s="3" t="s">
        <v>59</v>
      </c>
      <c r="AQ989" s="3" t="s">
        <v>70</v>
      </c>
      <c r="AR989" s="6" t="str">
        <f>HYPERLINK("http://catalog.hathitrust.org/Record/002865281","HathiTrust Record")</f>
        <v>HathiTrust Record</v>
      </c>
      <c r="AS989" s="6" t="str">
        <f>HYPERLINK("https://creighton-primo.hosted.exlibrisgroup.com/primo-explore/search?tab=default_tab&amp;search_scope=EVERYTHING&amp;vid=01CRU&amp;lang=en_US&amp;offset=0&amp;query=any,contains,991001396059702656","Catalog Record")</f>
        <v>Catalog Record</v>
      </c>
      <c r="AT989" s="6" t="str">
        <f>HYPERLINK("http://www.worldcat.org/oclc/28584214","WorldCat Record")</f>
        <v>WorldCat Record</v>
      </c>
    </row>
    <row r="990" spans="1:46" ht="48" customHeight="1" x14ac:dyDescent="0.25">
      <c r="A990" s="7" t="s">
        <v>59</v>
      </c>
      <c r="B990" s="2" t="s">
        <v>12167</v>
      </c>
      <c r="C990" s="2" t="s">
        <v>12168</v>
      </c>
      <c r="D990" s="2" t="s">
        <v>12169</v>
      </c>
      <c r="F990" s="3" t="s">
        <v>59</v>
      </c>
      <c r="G990" s="3" t="s">
        <v>60</v>
      </c>
      <c r="H990" s="3" t="s">
        <v>59</v>
      </c>
      <c r="I990" s="3" t="s">
        <v>59</v>
      </c>
      <c r="J990" s="3" t="s">
        <v>61</v>
      </c>
      <c r="K990" s="2" t="s">
        <v>12170</v>
      </c>
      <c r="L990" s="2" t="s">
        <v>12171</v>
      </c>
      <c r="M990" s="3" t="s">
        <v>549</v>
      </c>
      <c r="N990" s="2" t="s">
        <v>1945</v>
      </c>
      <c r="O990" s="3" t="s">
        <v>64</v>
      </c>
      <c r="P990" s="3" t="s">
        <v>115</v>
      </c>
      <c r="R990" s="3" t="s">
        <v>11989</v>
      </c>
      <c r="S990" s="4">
        <v>6</v>
      </c>
      <c r="T990" s="4">
        <v>6</v>
      </c>
      <c r="U990" s="5" t="s">
        <v>12172</v>
      </c>
      <c r="V990" s="5" t="s">
        <v>12172</v>
      </c>
      <c r="W990" s="5" t="s">
        <v>12146</v>
      </c>
      <c r="X990" s="5" t="s">
        <v>12146</v>
      </c>
      <c r="Y990" s="4">
        <v>181</v>
      </c>
      <c r="Z990" s="4">
        <v>140</v>
      </c>
      <c r="AA990" s="4">
        <v>265</v>
      </c>
      <c r="AB990" s="4">
        <v>2</v>
      </c>
      <c r="AC990" s="4">
        <v>3</v>
      </c>
      <c r="AD990" s="4">
        <v>5</v>
      </c>
      <c r="AE990" s="4">
        <v>9</v>
      </c>
      <c r="AF990" s="4">
        <v>0</v>
      </c>
      <c r="AG990" s="4">
        <v>1</v>
      </c>
      <c r="AH990" s="4">
        <v>1</v>
      </c>
      <c r="AI990" s="4">
        <v>2</v>
      </c>
      <c r="AJ990" s="4">
        <v>4</v>
      </c>
      <c r="AK990" s="4">
        <v>7</v>
      </c>
      <c r="AL990" s="4">
        <v>1</v>
      </c>
      <c r="AM990" s="4">
        <v>2</v>
      </c>
      <c r="AN990" s="4">
        <v>0</v>
      </c>
      <c r="AO990" s="4">
        <v>0</v>
      </c>
      <c r="AP990" s="3" t="s">
        <v>59</v>
      </c>
      <c r="AQ990" s="3" t="s">
        <v>70</v>
      </c>
      <c r="AR990" s="6" t="str">
        <f>HYPERLINK("http://catalog.hathitrust.org/Record/000017207","HathiTrust Record")</f>
        <v>HathiTrust Record</v>
      </c>
      <c r="AS990" s="6" t="str">
        <f>HYPERLINK("https://creighton-primo.hosted.exlibrisgroup.com/primo-explore/search?tab=default_tab&amp;search_scope=EVERYTHING&amp;vid=01CRU&amp;lang=en_US&amp;offset=0&amp;query=any,contains,991000799789702656","Catalog Record")</f>
        <v>Catalog Record</v>
      </c>
      <c r="AT990" s="6" t="str">
        <f>HYPERLINK("http://www.worldcat.org/oclc/1529478","WorldCat Record")</f>
        <v>WorldCat Record</v>
      </c>
    </row>
    <row r="991" spans="1:46" ht="48" customHeight="1" x14ac:dyDescent="0.25">
      <c r="A991" s="7" t="s">
        <v>59</v>
      </c>
      <c r="B991" s="2" t="s">
        <v>12173</v>
      </c>
      <c r="C991" s="2" t="s">
        <v>12174</v>
      </c>
      <c r="D991" s="2" t="s">
        <v>12175</v>
      </c>
      <c r="F991" s="3" t="s">
        <v>59</v>
      </c>
      <c r="G991" s="3" t="s">
        <v>60</v>
      </c>
      <c r="H991" s="3" t="s">
        <v>59</v>
      </c>
      <c r="I991" s="3" t="s">
        <v>59</v>
      </c>
      <c r="J991" s="3" t="s">
        <v>61</v>
      </c>
      <c r="K991" s="2" t="s">
        <v>12176</v>
      </c>
      <c r="L991" s="2" t="s">
        <v>12177</v>
      </c>
      <c r="M991" s="3" t="s">
        <v>129</v>
      </c>
      <c r="N991" s="2" t="s">
        <v>114</v>
      </c>
      <c r="O991" s="3" t="s">
        <v>64</v>
      </c>
      <c r="P991" s="3" t="s">
        <v>176</v>
      </c>
      <c r="R991" s="3" t="s">
        <v>11989</v>
      </c>
      <c r="S991" s="4">
        <v>6</v>
      </c>
      <c r="T991" s="4">
        <v>6</v>
      </c>
      <c r="U991" s="5" t="s">
        <v>8493</v>
      </c>
      <c r="V991" s="5" t="s">
        <v>8493</v>
      </c>
      <c r="W991" s="5" t="s">
        <v>12178</v>
      </c>
      <c r="X991" s="5" t="s">
        <v>12178</v>
      </c>
      <c r="Y991" s="4">
        <v>174</v>
      </c>
      <c r="Z991" s="4">
        <v>111</v>
      </c>
      <c r="AA991" s="4">
        <v>298</v>
      </c>
      <c r="AB991" s="4">
        <v>2</v>
      </c>
      <c r="AC991" s="4">
        <v>2</v>
      </c>
      <c r="AD991" s="4">
        <v>2</v>
      </c>
      <c r="AE991" s="4">
        <v>12</v>
      </c>
      <c r="AF991" s="4">
        <v>0</v>
      </c>
      <c r="AG991" s="4">
        <v>4</v>
      </c>
      <c r="AH991" s="4">
        <v>1</v>
      </c>
      <c r="AI991" s="4">
        <v>5</v>
      </c>
      <c r="AJ991" s="4">
        <v>1</v>
      </c>
      <c r="AK991" s="4">
        <v>6</v>
      </c>
      <c r="AL991" s="4">
        <v>1</v>
      </c>
      <c r="AM991" s="4">
        <v>1</v>
      </c>
      <c r="AN991" s="4">
        <v>0</v>
      </c>
      <c r="AO991" s="4">
        <v>0</v>
      </c>
      <c r="AP991" s="3" t="s">
        <v>59</v>
      </c>
      <c r="AQ991" s="3" t="s">
        <v>70</v>
      </c>
      <c r="AR991" s="6" t="str">
        <f>HYPERLINK("http://catalog.hathitrust.org/Record/002503566","HathiTrust Record")</f>
        <v>HathiTrust Record</v>
      </c>
      <c r="AS991" s="6" t="str">
        <f>HYPERLINK("https://creighton-primo.hosted.exlibrisgroup.com/primo-explore/search?tab=default_tab&amp;search_scope=EVERYTHING&amp;vid=01CRU&amp;lang=en_US&amp;offset=0&amp;query=any,contains,991001036149702656","Catalog Record")</f>
        <v>Catalog Record</v>
      </c>
      <c r="AT991" s="6" t="str">
        <f>HYPERLINK("http://www.worldcat.org/oclc/23941675","WorldCat Record")</f>
        <v>WorldCat Record</v>
      </c>
    </row>
    <row r="992" spans="1:46" ht="48" customHeight="1" x14ac:dyDescent="0.25">
      <c r="A992" s="7" t="s">
        <v>59</v>
      </c>
      <c r="B992" s="2" t="s">
        <v>12179</v>
      </c>
      <c r="C992" s="2" t="s">
        <v>12180</v>
      </c>
      <c r="D992" s="2" t="s">
        <v>12181</v>
      </c>
      <c r="F992" s="3" t="s">
        <v>59</v>
      </c>
      <c r="G992" s="3" t="s">
        <v>60</v>
      </c>
      <c r="H992" s="3" t="s">
        <v>59</v>
      </c>
      <c r="I992" s="3" t="s">
        <v>59</v>
      </c>
      <c r="J992" s="3" t="s">
        <v>61</v>
      </c>
      <c r="L992" s="2" t="s">
        <v>12182</v>
      </c>
      <c r="M992" s="3" t="s">
        <v>319</v>
      </c>
      <c r="O992" s="3" t="s">
        <v>64</v>
      </c>
      <c r="P992" s="3" t="s">
        <v>84</v>
      </c>
      <c r="Q992" s="2" t="s">
        <v>12183</v>
      </c>
      <c r="R992" s="3" t="s">
        <v>11989</v>
      </c>
      <c r="S992" s="4">
        <v>6</v>
      </c>
      <c r="T992" s="4">
        <v>6</v>
      </c>
      <c r="U992" s="5" t="s">
        <v>12184</v>
      </c>
      <c r="V992" s="5" t="s">
        <v>12184</v>
      </c>
      <c r="W992" s="5" t="s">
        <v>12185</v>
      </c>
      <c r="X992" s="5" t="s">
        <v>12185</v>
      </c>
      <c r="Y992" s="4">
        <v>140</v>
      </c>
      <c r="Z992" s="4">
        <v>116</v>
      </c>
      <c r="AA992" s="4">
        <v>117</v>
      </c>
      <c r="AB992" s="4">
        <v>3</v>
      </c>
      <c r="AC992" s="4">
        <v>3</v>
      </c>
      <c r="AD992" s="4">
        <v>6</v>
      </c>
      <c r="AE992" s="4">
        <v>6</v>
      </c>
      <c r="AF992" s="4">
        <v>0</v>
      </c>
      <c r="AG992" s="4">
        <v>0</v>
      </c>
      <c r="AH992" s="4">
        <v>2</v>
      </c>
      <c r="AI992" s="4">
        <v>2</v>
      </c>
      <c r="AJ992" s="4">
        <v>4</v>
      </c>
      <c r="AK992" s="4">
        <v>4</v>
      </c>
      <c r="AL992" s="4">
        <v>2</v>
      </c>
      <c r="AM992" s="4">
        <v>2</v>
      </c>
      <c r="AN992" s="4">
        <v>0</v>
      </c>
      <c r="AO992" s="4">
        <v>0</v>
      </c>
      <c r="AP992" s="3" t="s">
        <v>59</v>
      </c>
      <c r="AQ992" s="3" t="s">
        <v>59</v>
      </c>
      <c r="AS992" s="6" t="str">
        <f>HYPERLINK("https://creighton-primo.hosted.exlibrisgroup.com/primo-explore/search?tab=default_tab&amp;search_scope=EVERYTHING&amp;vid=01CRU&amp;lang=en_US&amp;offset=0&amp;query=any,contains,991000800029702656","Catalog Record")</f>
        <v>Catalog Record</v>
      </c>
      <c r="AT992" s="6" t="str">
        <f>HYPERLINK("http://www.worldcat.org/oclc/9830013","WorldCat Record")</f>
        <v>WorldCat Record</v>
      </c>
    </row>
    <row r="993" spans="1:46" ht="48" customHeight="1" x14ac:dyDescent="0.25">
      <c r="A993" s="7" t="s">
        <v>59</v>
      </c>
      <c r="B993" s="2" t="s">
        <v>12186</v>
      </c>
      <c r="C993" s="2" t="s">
        <v>12187</v>
      </c>
      <c r="D993" s="2" t="s">
        <v>12188</v>
      </c>
      <c r="F993" s="3" t="s">
        <v>59</v>
      </c>
      <c r="G993" s="3" t="s">
        <v>60</v>
      </c>
      <c r="H993" s="3" t="s">
        <v>59</v>
      </c>
      <c r="I993" s="3" t="s">
        <v>59</v>
      </c>
      <c r="J993" s="3" t="s">
        <v>61</v>
      </c>
      <c r="L993" s="2" t="s">
        <v>10307</v>
      </c>
      <c r="M993" s="3" t="s">
        <v>925</v>
      </c>
      <c r="O993" s="3" t="s">
        <v>64</v>
      </c>
      <c r="P993" s="3" t="s">
        <v>912</v>
      </c>
      <c r="Q993" s="2" t="s">
        <v>12189</v>
      </c>
      <c r="R993" s="3" t="s">
        <v>11989</v>
      </c>
      <c r="S993" s="4">
        <v>2</v>
      </c>
      <c r="T993" s="4">
        <v>2</v>
      </c>
      <c r="U993" s="5" t="s">
        <v>12190</v>
      </c>
      <c r="V993" s="5" t="s">
        <v>12190</v>
      </c>
      <c r="W993" s="5" t="s">
        <v>12191</v>
      </c>
      <c r="X993" s="5" t="s">
        <v>12191</v>
      </c>
      <c r="Y993" s="4">
        <v>121</v>
      </c>
      <c r="Z993" s="4">
        <v>83</v>
      </c>
      <c r="AA993" s="4">
        <v>152</v>
      </c>
      <c r="AB993" s="4">
        <v>2</v>
      </c>
      <c r="AC993" s="4">
        <v>3</v>
      </c>
      <c r="AD993" s="4">
        <v>1</v>
      </c>
      <c r="AE993" s="4">
        <v>4</v>
      </c>
      <c r="AF993" s="4">
        <v>0</v>
      </c>
      <c r="AG993" s="4">
        <v>1</v>
      </c>
      <c r="AH993" s="4">
        <v>0</v>
      </c>
      <c r="AI993" s="4">
        <v>1</v>
      </c>
      <c r="AJ993" s="4">
        <v>0</v>
      </c>
      <c r="AK993" s="4">
        <v>1</v>
      </c>
      <c r="AL993" s="4">
        <v>1</v>
      </c>
      <c r="AM993" s="4">
        <v>2</v>
      </c>
      <c r="AN993" s="4">
        <v>0</v>
      </c>
      <c r="AO993" s="4">
        <v>0</v>
      </c>
      <c r="AP993" s="3" t="s">
        <v>59</v>
      </c>
      <c r="AQ993" s="3" t="s">
        <v>59</v>
      </c>
      <c r="AS993" s="6" t="str">
        <f>HYPERLINK("https://creighton-primo.hosted.exlibrisgroup.com/primo-explore/search?tab=default_tab&amp;search_scope=EVERYTHING&amp;vid=01CRU&amp;lang=en_US&amp;offset=0&amp;query=any,contains,991001409179702656","Catalog Record")</f>
        <v>Catalog Record</v>
      </c>
      <c r="AT993" s="6" t="str">
        <f>HYPERLINK("http://www.worldcat.org/oclc/39369680","WorldCat Record")</f>
        <v>WorldCat Record</v>
      </c>
    </row>
    <row r="994" spans="1:46" ht="48" customHeight="1" x14ac:dyDescent="0.25">
      <c r="A994" s="7" t="s">
        <v>59</v>
      </c>
      <c r="B994" s="2" t="s">
        <v>12192</v>
      </c>
      <c r="C994" s="2" t="s">
        <v>12193</v>
      </c>
      <c r="D994" s="2" t="s">
        <v>12194</v>
      </c>
      <c r="F994" s="3" t="s">
        <v>59</v>
      </c>
      <c r="G994" s="3" t="s">
        <v>60</v>
      </c>
      <c r="H994" s="3" t="s">
        <v>59</v>
      </c>
      <c r="I994" s="3" t="s">
        <v>59</v>
      </c>
      <c r="J994" s="3" t="s">
        <v>60</v>
      </c>
      <c r="L994" s="2" t="s">
        <v>12195</v>
      </c>
      <c r="M994" s="3" t="s">
        <v>2732</v>
      </c>
      <c r="O994" s="3" t="s">
        <v>64</v>
      </c>
      <c r="P994" s="3" t="s">
        <v>264</v>
      </c>
      <c r="Q994" s="2" t="s">
        <v>12196</v>
      </c>
      <c r="R994" s="3" t="s">
        <v>11989</v>
      </c>
      <c r="S994" s="4">
        <v>0</v>
      </c>
      <c r="T994" s="4">
        <v>0</v>
      </c>
      <c r="U994" s="5" t="s">
        <v>12197</v>
      </c>
      <c r="V994" s="5" t="s">
        <v>12197</v>
      </c>
      <c r="W994" s="5" t="s">
        <v>12197</v>
      </c>
      <c r="X994" s="5" t="s">
        <v>12197</v>
      </c>
      <c r="Y994" s="4">
        <v>95</v>
      </c>
      <c r="Z994" s="4">
        <v>55</v>
      </c>
      <c r="AA994" s="4">
        <v>1283</v>
      </c>
      <c r="AB994" s="4">
        <v>3</v>
      </c>
      <c r="AC994" s="4">
        <v>24</v>
      </c>
      <c r="AD994" s="4">
        <v>2</v>
      </c>
      <c r="AE994" s="4">
        <v>46</v>
      </c>
      <c r="AF994" s="4">
        <v>0</v>
      </c>
      <c r="AG994" s="4">
        <v>13</v>
      </c>
      <c r="AH994" s="4">
        <v>0</v>
      </c>
      <c r="AI994" s="4">
        <v>10</v>
      </c>
      <c r="AJ994" s="4">
        <v>0</v>
      </c>
      <c r="AK994" s="4">
        <v>11</v>
      </c>
      <c r="AL994" s="4">
        <v>2</v>
      </c>
      <c r="AM994" s="4">
        <v>16</v>
      </c>
      <c r="AN994" s="4">
        <v>0</v>
      </c>
      <c r="AO994" s="4">
        <v>2</v>
      </c>
      <c r="AP994" s="3" t="s">
        <v>59</v>
      </c>
      <c r="AQ994" s="3" t="s">
        <v>59</v>
      </c>
      <c r="AS994" s="6" t="str">
        <f>HYPERLINK("https://creighton-primo.hosted.exlibrisgroup.com/primo-explore/search?tab=default_tab&amp;search_scope=EVERYTHING&amp;vid=01CRU&amp;lang=en_US&amp;offset=0&amp;query=any,contains,991000034349702656","Catalog Record")</f>
        <v>Catalog Record</v>
      </c>
      <c r="AT994" s="6" t="str">
        <f>HYPERLINK("http://www.worldcat.org/oclc/326517099","WorldCat Record")</f>
        <v>WorldCat Record</v>
      </c>
    </row>
    <row r="995" spans="1:46" ht="48" customHeight="1" x14ac:dyDescent="0.25">
      <c r="A995" s="7" t="s">
        <v>59</v>
      </c>
      <c r="B995" s="2" t="s">
        <v>12198</v>
      </c>
      <c r="C995" s="2" t="s">
        <v>12199</v>
      </c>
      <c r="D995" s="2" t="s">
        <v>12200</v>
      </c>
      <c r="F995" s="3" t="s">
        <v>59</v>
      </c>
      <c r="G995" s="3" t="s">
        <v>60</v>
      </c>
      <c r="H995" s="3" t="s">
        <v>59</v>
      </c>
      <c r="I995" s="3" t="s">
        <v>59</v>
      </c>
      <c r="J995" s="3" t="s">
        <v>61</v>
      </c>
      <c r="L995" s="2" t="s">
        <v>12201</v>
      </c>
      <c r="M995" s="3" t="s">
        <v>4596</v>
      </c>
      <c r="O995" s="3" t="s">
        <v>64</v>
      </c>
      <c r="P995" s="3" t="s">
        <v>674</v>
      </c>
      <c r="R995" s="3" t="s">
        <v>11989</v>
      </c>
      <c r="S995" s="4">
        <v>5</v>
      </c>
      <c r="T995" s="4">
        <v>5</v>
      </c>
      <c r="U995" s="5" t="s">
        <v>12202</v>
      </c>
      <c r="V995" s="5" t="s">
        <v>12202</v>
      </c>
      <c r="W995" s="5" t="s">
        <v>12203</v>
      </c>
      <c r="X995" s="5" t="s">
        <v>12203</v>
      </c>
      <c r="Y995" s="4">
        <v>147</v>
      </c>
      <c r="Z995" s="4">
        <v>135</v>
      </c>
      <c r="AA995" s="4">
        <v>153</v>
      </c>
      <c r="AB995" s="4">
        <v>2</v>
      </c>
      <c r="AC995" s="4">
        <v>2</v>
      </c>
      <c r="AD995" s="4">
        <v>1</v>
      </c>
      <c r="AE995" s="4">
        <v>3</v>
      </c>
      <c r="AF995" s="4">
        <v>0</v>
      </c>
      <c r="AG995" s="4">
        <v>1</v>
      </c>
      <c r="AH995" s="4">
        <v>1</v>
      </c>
      <c r="AI995" s="4">
        <v>1</v>
      </c>
      <c r="AJ995" s="4">
        <v>0</v>
      </c>
      <c r="AK995" s="4">
        <v>2</v>
      </c>
      <c r="AL995" s="4">
        <v>0</v>
      </c>
      <c r="AM995" s="4">
        <v>0</v>
      </c>
      <c r="AN995" s="4">
        <v>0</v>
      </c>
      <c r="AO995" s="4">
        <v>0</v>
      </c>
      <c r="AP995" s="3" t="s">
        <v>59</v>
      </c>
      <c r="AQ995" s="3" t="s">
        <v>70</v>
      </c>
      <c r="AR995" s="6" t="str">
        <f>HYPERLINK("http://catalog.hathitrust.org/Record/005084221","HathiTrust Record")</f>
        <v>HathiTrust Record</v>
      </c>
      <c r="AS995" s="6" t="str">
        <f>HYPERLINK("https://creighton-primo.hosted.exlibrisgroup.com/primo-explore/search?tab=default_tab&amp;search_scope=EVERYTHING&amp;vid=01CRU&amp;lang=en_US&amp;offset=0&amp;query=any,contains,991000438289702656","Catalog Record")</f>
        <v>Catalog Record</v>
      </c>
      <c r="AT995" s="6" t="str">
        <f>HYPERLINK("http://www.worldcat.org/oclc/60211843","WorldCat Record")</f>
        <v>WorldCat Record</v>
      </c>
    </row>
    <row r="996" spans="1:46" ht="48" customHeight="1" x14ac:dyDescent="0.25">
      <c r="A996" s="7" t="s">
        <v>59</v>
      </c>
      <c r="B996" s="2" t="s">
        <v>12204</v>
      </c>
      <c r="C996" s="2" t="s">
        <v>12205</v>
      </c>
      <c r="D996" s="2" t="s">
        <v>12206</v>
      </c>
      <c r="F996" s="3" t="s">
        <v>59</v>
      </c>
      <c r="G996" s="3" t="s">
        <v>60</v>
      </c>
      <c r="H996" s="3" t="s">
        <v>59</v>
      </c>
      <c r="I996" s="3" t="s">
        <v>59</v>
      </c>
      <c r="J996" s="3" t="s">
        <v>61</v>
      </c>
      <c r="L996" s="2" t="s">
        <v>12207</v>
      </c>
      <c r="M996" s="3" t="s">
        <v>1351</v>
      </c>
      <c r="O996" s="3" t="s">
        <v>64</v>
      </c>
      <c r="P996" s="3" t="s">
        <v>84</v>
      </c>
      <c r="R996" s="3" t="s">
        <v>11989</v>
      </c>
      <c r="S996" s="4">
        <v>0</v>
      </c>
      <c r="T996" s="4">
        <v>0</v>
      </c>
      <c r="U996" s="5" t="s">
        <v>12208</v>
      </c>
      <c r="V996" s="5" t="s">
        <v>12208</v>
      </c>
      <c r="W996" s="5" t="s">
        <v>12209</v>
      </c>
      <c r="X996" s="5" t="s">
        <v>12209</v>
      </c>
      <c r="Y996" s="4">
        <v>95</v>
      </c>
      <c r="Z996" s="4">
        <v>54</v>
      </c>
      <c r="AA996" s="4">
        <v>54</v>
      </c>
      <c r="AB996" s="4">
        <v>2</v>
      </c>
      <c r="AC996" s="4">
        <v>2</v>
      </c>
      <c r="AD996" s="4">
        <v>3</v>
      </c>
      <c r="AE996" s="4">
        <v>3</v>
      </c>
      <c r="AF996" s="4">
        <v>0</v>
      </c>
      <c r="AG996" s="4">
        <v>0</v>
      </c>
      <c r="AH996" s="4">
        <v>1</v>
      </c>
      <c r="AI996" s="4">
        <v>1</v>
      </c>
      <c r="AJ996" s="4">
        <v>2</v>
      </c>
      <c r="AK996" s="4">
        <v>2</v>
      </c>
      <c r="AL996" s="4">
        <v>1</v>
      </c>
      <c r="AM996" s="4">
        <v>1</v>
      </c>
      <c r="AN996" s="4">
        <v>0</v>
      </c>
      <c r="AO996" s="4">
        <v>0</v>
      </c>
      <c r="AP996" s="3" t="s">
        <v>59</v>
      </c>
      <c r="AQ996" s="3" t="s">
        <v>59</v>
      </c>
      <c r="AS996" s="6" t="str">
        <f>HYPERLINK("https://creighton-primo.hosted.exlibrisgroup.com/primo-explore/search?tab=default_tab&amp;search_scope=EVERYTHING&amp;vid=01CRU&amp;lang=en_US&amp;offset=0&amp;query=any,contains,991000419029702656","Catalog Record")</f>
        <v>Catalog Record</v>
      </c>
      <c r="AT996" s="6" t="str">
        <f>HYPERLINK("http://www.worldcat.org/oclc/52127755","WorldCat Record")</f>
        <v>WorldCat Record</v>
      </c>
    </row>
    <row r="997" spans="1:46" ht="48" customHeight="1" x14ac:dyDescent="0.25">
      <c r="A997" s="7" t="s">
        <v>59</v>
      </c>
      <c r="B997" s="2" t="s">
        <v>12210</v>
      </c>
      <c r="C997" s="2" t="s">
        <v>12211</v>
      </c>
      <c r="D997" s="2" t="s">
        <v>12212</v>
      </c>
      <c r="F997" s="3" t="s">
        <v>59</v>
      </c>
      <c r="G997" s="3" t="s">
        <v>60</v>
      </c>
      <c r="H997" s="3" t="s">
        <v>59</v>
      </c>
      <c r="I997" s="3" t="s">
        <v>59</v>
      </c>
      <c r="J997" s="3" t="s">
        <v>61</v>
      </c>
      <c r="L997" s="2" t="s">
        <v>12213</v>
      </c>
      <c r="M997" s="3" t="s">
        <v>348</v>
      </c>
      <c r="O997" s="3" t="s">
        <v>64</v>
      </c>
      <c r="P997" s="3" t="s">
        <v>264</v>
      </c>
      <c r="R997" s="3" t="s">
        <v>11989</v>
      </c>
      <c r="S997" s="4">
        <v>25</v>
      </c>
      <c r="T997" s="4">
        <v>25</v>
      </c>
      <c r="U997" s="5" t="s">
        <v>12214</v>
      </c>
      <c r="V997" s="5" t="s">
        <v>12214</v>
      </c>
      <c r="W997" s="5" t="s">
        <v>715</v>
      </c>
      <c r="X997" s="5" t="s">
        <v>715</v>
      </c>
      <c r="Y997" s="4">
        <v>212</v>
      </c>
      <c r="Z997" s="4">
        <v>145</v>
      </c>
      <c r="AA997" s="4">
        <v>280</v>
      </c>
      <c r="AB997" s="4">
        <v>1</v>
      </c>
      <c r="AC997" s="4">
        <v>1</v>
      </c>
      <c r="AD997" s="4">
        <v>2</v>
      </c>
      <c r="AE997" s="4">
        <v>8</v>
      </c>
      <c r="AF997" s="4">
        <v>1</v>
      </c>
      <c r="AG997" s="4">
        <v>5</v>
      </c>
      <c r="AH997" s="4">
        <v>1</v>
      </c>
      <c r="AI997" s="4">
        <v>2</v>
      </c>
      <c r="AJ997" s="4">
        <v>1</v>
      </c>
      <c r="AK997" s="4">
        <v>3</v>
      </c>
      <c r="AL997" s="4">
        <v>0</v>
      </c>
      <c r="AM997" s="4">
        <v>0</v>
      </c>
      <c r="AN997" s="4">
        <v>0</v>
      </c>
      <c r="AO997" s="4">
        <v>0</v>
      </c>
      <c r="AP997" s="3" t="s">
        <v>59</v>
      </c>
      <c r="AQ997" s="3" t="s">
        <v>70</v>
      </c>
      <c r="AR997" s="6" t="str">
        <f>HYPERLINK("http://catalog.hathitrust.org/Record/002636045","HathiTrust Record")</f>
        <v>HathiTrust Record</v>
      </c>
      <c r="AS997" s="6" t="str">
        <f>HYPERLINK("https://creighton-primo.hosted.exlibrisgroup.com/primo-explore/search?tab=default_tab&amp;search_scope=EVERYTHING&amp;vid=01CRU&amp;lang=en_US&amp;offset=0&amp;query=any,contains,991001492519702656","Catalog Record")</f>
        <v>Catalog Record</v>
      </c>
      <c r="AT997" s="6" t="str">
        <f>HYPERLINK("http://www.worldcat.org/oclc/27385039","WorldCat Record")</f>
        <v>WorldCat Record</v>
      </c>
    </row>
    <row r="998" spans="1:46" ht="48" customHeight="1" x14ac:dyDescent="0.25">
      <c r="A998" s="7" t="s">
        <v>59</v>
      </c>
      <c r="B998" s="2" t="s">
        <v>12215</v>
      </c>
      <c r="C998" s="2" t="s">
        <v>12216</v>
      </c>
      <c r="D998" s="2" t="s">
        <v>12217</v>
      </c>
      <c r="F998" s="3" t="s">
        <v>59</v>
      </c>
      <c r="G998" s="3" t="s">
        <v>60</v>
      </c>
      <c r="H998" s="3" t="s">
        <v>59</v>
      </c>
      <c r="I998" s="3" t="s">
        <v>59</v>
      </c>
      <c r="J998" s="3" t="s">
        <v>61</v>
      </c>
      <c r="L998" s="2" t="s">
        <v>12218</v>
      </c>
      <c r="M998" s="3" t="s">
        <v>897</v>
      </c>
      <c r="N998" s="2" t="s">
        <v>12219</v>
      </c>
      <c r="O998" s="3" t="s">
        <v>64</v>
      </c>
      <c r="P998" s="3" t="s">
        <v>2252</v>
      </c>
      <c r="R998" s="3" t="s">
        <v>11989</v>
      </c>
      <c r="S998" s="4">
        <v>30</v>
      </c>
      <c r="T998" s="4">
        <v>30</v>
      </c>
      <c r="U998" s="5" t="s">
        <v>8571</v>
      </c>
      <c r="V998" s="5" t="s">
        <v>8571</v>
      </c>
      <c r="W998" s="5" t="s">
        <v>12220</v>
      </c>
      <c r="X998" s="5" t="s">
        <v>12220</v>
      </c>
      <c r="Y998" s="4">
        <v>492</v>
      </c>
      <c r="Z998" s="4">
        <v>399</v>
      </c>
      <c r="AA998" s="4">
        <v>838</v>
      </c>
      <c r="AB998" s="4">
        <v>2</v>
      </c>
      <c r="AC998" s="4">
        <v>6</v>
      </c>
      <c r="AD998" s="4">
        <v>12</v>
      </c>
      <c r="AE998" s="4">
        <v>27</v>
      </c>
      <c r="AF998" s="4">
        <v>4</v>
      </c>
      <c r="AG998" s="4">
        <v>10</v>
      </c>
      <c r="AH998" s="4">
        <v>2</v>
      </c>
      <c r="AI998" s="4">
        <v>5</v>
      </c>
      <c r="AJ998" s="4">
        <v>9</v>
      </c>
      <c r="AK998" s="4">
        <v>13</v>
      </c>
      <c r="AL998" s="4">
        <v>1</v>
      </c>
      <c r="AM998" s="4">
        <v>5</v>
      </c>
      <c r="AN998" s="4">
        <v>0</v>
      </c>
      <c r="AO998" s="4">
        <v>0</v>
      </c>
      <c r="AP998" s="3" t="s">
        <v>59</v>
      </c>
      <c r="AQ998" s="3" t="s">
        <v>70</v>
      </c>
      <c r="AR998" s="6" t="str">
        <f>HYPERLINK("http://catalog.hathitrust.org/Record/002427882","HathiTrust Record")</f>
        <v>HathiTrust Record</v>
      </c>
      <c r="AS998" s="6" t="str">
        <f>HYPERLINK("https://creighton-primo.hosted.exlibrisgroup.com/primo-explore/search?tab=default_tab&amp;search_scope=EVERYTHING&amp;vid=01CRU&amp;lang=en_US&amp;offset=0&amp;query=any,contains,991000762249702656","Catalog Record")</f>
        <v>Catalog Record</v>
      </c>
      <c r="AT998" s="6" t="str">
        <f>HYPERLINK("http://www.worldcat.org/oclc/20013215","WorldCat Record")</f>
        <v>WorldCat Record</v>
      </c>
    </row>
    <row r="999" spans="1:46" ht="48" customHeight="1" x14ac:dyDescent="0.25">
      <c r="A999" s="7" t="s">
        <v>59</v>
      </c>
      <c r="B999" s="2" t="s">
        <v>12221</v>
      </c>
      <c r="C999" s="2" t="s">
        <v>12222</v>
      </c>
      <c r="D999" s="2" t="s">
        <v>12223</v>
      </c>
      <c r="F999" s="3" t="s">
        <v>59</v>
      </c>
      <c r="G999" s="3" t="s">
        <v>60</v>
      </c>
      <c r="H999" s="3" t="s">
        <v>59</v>
      </c>
      <c r="I999" s="3" t="s">
        <v>59</v>
      </c>
      <c r="J999" s="3" t="s">
        <v>61</v>
      </c>
      <c r="K999" s="2" t="s">
        <v>12224</v>
      </c>
      <c r="L999" s="2" t="s">
        <v>12225</v>
      </c>
      <c r="M999" s="3" t="s">
        <v>7184</v>
      </c>
      <c r="N999" s="2" t="s">
        <v>12226</v>
      </c>
      <c r="O999" s="3" t="s">
        <v>64</v>
      </c>
      <c r="P999" s="3" t="s">
        <v>115</v>
      </c>
      <c r="R999" s="3" t="s">
        <v>11989</v>
      </c>
      <c r="S999" s="4">
        <v>2</v>
      </c>
      <c r="T999" s="4">
        <v>2</v>
      </c>
      <c r="U999" s="5" t="s">
        <v>777</v>
      </c>
      <c r="V999" s="5" t="s">
        <v>777</v>
      </c>
      <c r="W999" s="5" t="s">
        <v>12227</v>
      </c>
      <c r="X999" s="5" t="s">
        <v>12227</v>
      </c>
      <c r="Y999" s="4">
        <v>42</v>
      </c>
      <c r="Z999" s="4">
        <v>40</v>
      </c>
      <c r="AA999" s="4">
        <v>149</v>
      </c>
      <c r="AB999" s="4">
        <v>1</v>
      </c>
      <c r="AC999" s="4">
        <v>2</v>
      </c>
      <c r="AD999" s="4">
        <v>3</v>
      </c>
      <c r="AE999" s="4">
        <v>5</v>
      </c>
      <c r="AF999" s="4">
        <v>1</v>
      </c>
      <c r="AG999" s="4">
        <v>1</v>
      </c>
      <c r="AH999" s="4">
        <v>1</v>
      </c>
      <c r="AI999" s="4">
        <v>1</v>
      </c>
      <c r="AJ999" s="4">
        <v>1</v>
      </c>
      <c r="AK999" s="4">
        <v>2</v>
      </c>
      <c r="AL999" s="4">
        <v>0</v>
      </c>
      <c r="AM999" s="4">
        <v>1</v>
      </c>
      <c r="AN999" s="4">
        <v>0</v>
      </c>
      <c r="AO999" s="4">
        <v>0</v>
      </c>
      <c r="AP999" s="3" t="s">
        <v>59</v>
      </c>
      <c r="AQ999" s="3" t="s">
        <v>70</v>
      </c>
      <c r="AR999" s="6" t="str">
        <f>HYPERLINK("http://catalog.hathitrust.org/Record/009074617","HathiTrust Record")</f>
        <v>HathiTrust Record</v>
      </c>
      <c r="AS999" s="6" t="str">
        <f>HYPERLINK("https://creighton-primo.hosted.exlibrisgroup.com/primo-explore/search?tab=default_tab&amp;search_scope=EVERYTHING&amp;vid=01CRU&amp;lang=en_US&amp;offset=0&amp;query=any,contains,991000860019702656","Catalog Record")</f>
        <v>Catalog Record</v>
      </c>
      <c r="AT999" s="6" t="str">
        <f>HYPERLINK("http://www.worldcat.org/oclc/2396966","WorldCat Record")</f>
        <v>WorldCat Record</v>
      </c>
    </row>
    <row r="1000" spans="1:46" ht="48" customHeight="1" x14ac:dyDescent="0.25">
      <c r="A1000" s="7" t="s">
        <v>59</v>
      </c>
      <c r="B1000" s="2" t="s">
        <v>12228</v>
      </c>
      <c r="C1000" s="2" t="s">
        <v>12229</v>
      </c>
      <c r="D1000" s="2" t="s">
        <v>12230</v>
      </c>
      <c r="F1000" s="3" t="s">
        <v>59</v>
      </c>
      <c r="G1000" s="3" t="s">
        <v>60</v>
      </c>
      <c r="H1000" s="3" t="s">
        <v>59</v>
      </c>
      <c r="I1000" s="3" t="s">
        <v>59</v>
      </c>
      <c r="J1000" s="3" t="s">
        <v>61</v>
      </c>
      <c r="K1000" s="2" t="s">
        <v>12231</v>
      </c>
      <c r="L1000" s="2" t="s">
        <v>12232</v>
      </c>
      <c r="M1000" s="3" t="s">
        <v>319</v>
      </c>
      <c r="N1000" s="2" t="s">
        <v>114</v>
      </c>
      <c r="O1000" s="3" t="s">
        <v>64</v>
      </c>
      <c r="P1000" s="3" t="s">
        <v>2252</v>
      </c>
      <c r="R1000" s="3" t="s">
        <v>11989</v>
      </c>
      <c r="S1000" s="4">
        <v>8</v>
      </c>
      <c r="T1000" s="4">
        <v>8</v>
      </c>
      <c r="U1000" s="5" t="s">
        <v>12233</v>
      </c>
      <c r="V1000" s="5" t="s">
        <v>12233</v>
      </c>
      <c r="W1000" s="5" t="s">
        <v>12227</v>
      </c>
      <c r="X1000" s="5" t="s">
        <v>12227</v>
      </c>
      <c r="Y1000" s="4">
        <v>92</v>
      </c>
      <c r="Z1000" s="4">
        <v>67</v>
      </c>
      <c r="AA1000" s="4">
        <v>99</v>
      </c>
      <c r="AB1000" s="4">
        <v>1</v>
      </c>
      <c r="AC1000" s="4">
        <v>1</v>
      </c>
      <c r="AD1000" s="4">
        <v>1</v>
      </c>
      <c r="AE1000" s="4">
        <v>1</v>
      </c>
      <c r="AF1000" s="4">
        <v>0</v>
      </c>
      <c r="AG1000" s="4">
        <v>0</v>
      </c>
      <c r="AH1000" s="4">
        <v>1</v>
      </c>
      <c r="AI1000" s="4">
        <v>1</v>
      </c>
      <c r="AJ1000" s="4">
        <v>0</v>
      </c>
      <c r="AK1000" s="4">
        <v>0</v>
      </c>
      <c r="AL1000" s="4">
        <v>0</v>
      </c>
      <c r="AM1000" s="4">
        <v>0</v>
      </c>
      <c r="AN1000" s="4">
        <v>0</v>
      </c>
      <c r="AO1000" s="4">
        <v>0</v>
      </c>
      <c r="AP1000" s="3" t="s">
        <v>59</v>
      </c>
      <c r="AQ1000" s="3" t="s">
        <v>70</v>
      </c>
      <c r="AR1000" s="6" t="str">
        <f>HYPERLINK("http://catalog.hathitrust.org/Record/000601471","HathiTrust Record")</f>
        <v>HathiTrust Record</v>
      </c>
      <c r="AS1000" s="6" t="str">
        <f>HYPERLINK("https://creighton-primo.hosted.exlibrisgroup.com/primo-explore/search?tab=default_tab&amp;search_scope=EVERYTHING&amp;vid=01CRU&amp;lang=en_US&amp;offset=0&amp;query=any,contains,991000860059702656","Catalog Record")</f>
        <v>Catalog Record</v>
      </c>
      <c r="AT1000" s="6" t="str">
        <f>HYPERLINK("http://www.worldcat.org/oclc/10046227","WorldCat Record")</f>
        <v>WorldCat Record</v>
      </c>
    </row>
    <row r="1001" spans="1:46" ht="48" customHeight="1" x14ac:dyDescent="0.25">
      <c r="A1001" s="7" t="s">
        <v>59</v>
      </c>
      <c r="B1001" s="2" t="s">
        <v>12234</v>
      </c>
      <c r="C1001" s="2" t="s">
        <v>12235</v>
      </c>
      <c r="D1001" s="2" t="s">
        <v>3552</v>
      </c>
      <c r="F1001" s="3" t="s">
        <v>59</v>
      </c>
      <c r="G1001" s="3" t="s">
        <v>60</v>
      </c>
      <c r="H1001" s="3" t="s">
        <v>59</v>
      </c>
      <c r="I1001" s="3" t="s">
        <v>70</v>
      </c>
      <c r="J1001" s="3" t="s">
        <v>61</v>
      </c>
      <c r="K1001" s="2" t="s">
        <v>3540</v>
      </c>
      <c r="L1001" s="2" t="s">
        <v>12236</v>
      </c>
      <c r="M1001" s="3" t="s">
        <v>129</v>
      </c>
      <c r="N1001" s="2" t="s">
        <v>2933</v>
      </c>
      <c r="O1001" s="3" t="s">
        <v>64</v>
      </c>
      <c r="P1001" s="3" t="s">
        <v>115</v>
      </c>
      <c r="R1001" s="3" t="s">
        <v>11989</v>
      </c>
      <c r="S1001" s="4">
        <v>75</v>
      </c>
      <c r="T1001" s="4">
        <v>75</v>
      </c>
      <c r="U1001" s="5" t="s">
        <v>3487</v>
      </c>
      <c r="V1001" s="5" t="s">
        <v>3487</v>
      </c>
      <c r="W1001" s="5" t="s">
        <v>1777</v>
      </c>
      <c r="X1001" s="5" t="s">
        <v>1777</v>
      </c>
      <c r="Y1001" s="4">
        <v>406</v>
      </c>
      <c r="Z1001" s="4">
        <v>291</v>
      </c>
      <c r="AA1001" s="4">
        <v>929</v>
      </c>
      <c r="AB1001" s="4">
        <v>3</v>
      </c>
      <c r="AC1001" s="4">
        <v>6</v>
      </c>
      <c r="AD1001" s="4">
        <v>11</v>
      </c>
      <c r="AE1001" s="4">
        <v>30</v>
      </c>
      <c r="AF1001" s="4">
        <v>1</v>
      </c>
      <c r="AG1001" s="4">
        <v>12</v>
      </c>
      <c r="AH1001" s="4">
        <v>6</v>
      </c>
      <c r="AI1001" s="4">
        <v>10</v>
      </c>
      <c r="AJ1001" s="4">
        <v>5</v>
      </c>
      <c r="AK1001" s="4">
        <v>18</v>
      </c>
      <c r="AL1001" s="4">
        <v>2</v>
      </c>
      <c r="AM1001" s="4">
        <v>3</v>
      </c>
      <c r="AN1001" s="4">
        <v>0</v>
      </c>
      <c r="AO1001" s="4">
        <v>0</v>
      </c>
      <c r="AP1001" s="3" t="s">
        <v>59</v>
      </c>
      <c r="AQ1001" s="3" t="s">
        <v>70</v>
      </c>
      <c r="AR1001" s="6" t="str">
        <f>HYPERLINK("http://catalog.hathitrust.org/Record/002501526","HathiTrust Record")</f>
        <v>HathiTrust Record</v>
      </c>
      <c r="AS1001" s="6" t="str">
        <f>HYPERLINK("https://creighton-primo.hosted.exlibrisgroup.com/primo-explore/search?tab=default_tab&amp;search_scope=EVERYTHING&amp;vid=01CRU&amp;lang=en_US&amp;offset=0&amp;query=any,contains,991000948729702656","Catalog Record")</f>
        <v>Catalog Record</v>
      </c>
      <c r="AT1001" s="6" t="str">
        <f>HYPERLINK("http://www.worldcat.org/oclc/24501695","WorldCat Record")</f>
        <v>WorldCat Record</v>
      </c>
    </row>
    <row r="1002" spans="1:46" ht="48" customHeight="1" x14ac:dyDescent="0.25">
      <c r="A1002" s="7" t="s">
        <v>59</v>
      </c>
      <c r="B1002" s="2" t="s">
        <v>12237</v>
      </c>
      <c r="C1002" s="2" t="s">
        <v>12238</v>
      </c>
      <c r="D1002" s="2" t="s">
        <v>12239</v>
      </c>
      <c r="F1002" s="3" t="s">
        <v>59</v>
      </c>
      <c r="G1002" s="3" t="s">
        <v>60</v>
      </c>
      <c r="H1002" s="3" t="s">
        <v>59</v>
      </c>
      <c r="I1002" s="3" t="s">
        <v>70</v>
      </c>
      <c r="J1002" s="3" t="s">
        <v>61</v>
      </c>
      <c r="K1002" s="2" t="s">
        <v>3540</v>
      </c>
      <c r="L1002" s="2" t="s">
        <v>12240</v>
      </c>
      <c r="M1002" s="3" t="s">
        <v>83</v>
      </c>
      <c r="N1002" s="2" t="s">
        <v>647</v>
      </c>
      <c r="O1002" s="3" t="s">
        <v>64</v>
      </c>
      <c r="P1002" s="3" t="s">
        <v>115</v>
      </c>
      <c r="R1002" s="3" t="s">
        <v>11989</v>
      </c>
      <c r="S1002" s="4">
        <v>59</v>
      </c>
      <c r="T1002" s="4">
        <v>59</v>
      </c>
      <c r="U1002" s="5" t="s">
        <v>12241</v>
      </c>
      <c r="V1002" s="5" t="s">
        <v>12241</v>
      </c>
      <c r="W1002" s="5" t="s">
        <v>12242</v>
      </c>
      <c r="X1002" s="5" t="s">
        <v>12242</v>
      </c>
      <c r="Y1002" s="4">
        <v>651</v>
      </c>
      <c r="Z1002" s="4">
        <v>466</v>
      </c>
      <c r="AA1002" s="4">
        <v>929</v>
      </c>
      <c r="AB1002" s="4">
        <v>3</v>
      </c>
      <c r="AC1002" s="4">
        <v>6</v>
      </c>
      <c r="AD1002" s="4">
        <v>14</v>
      </c>
      <c r="AE1002" s="4">
        <v>30</v>
      </c>
      <c r="AF1002" s="4">
        <v>6</v>
      </c>
      <c r="AG1002" s="4">
        <v>12</v>
      </c>
      <c r="AH1002" s="4">
        <v>5</v>
      </c>
      <c r="AI1002" s="4">
        <v>10</v>
      </c>
      <c r="AJ1002" s="4">
        <v>7</v>
      </c>
      <c r="AK1002" s="4">
        <v>18</v>
      </c>
      <c r="AL1002" s="4">
        <v>1</v>
      </c>
      <c r="AM1002" s="4">
        <v>3</v>
      </c>
      <c r="AN1002" s="4">
        <v>0</v>
      </c>
      <c r="AO1002" s="4">
        <v>0</v>
      </c>
      <c r="AP1002" s="3" t="s">
        <v>59</v>
      </c>
      <c r="AQ1002" s="3" t="s">
        <v>70</v>
      </c>
      <c r="AR1002" s="6" t="str">
        <f>HYPERLINK("http://catalog.hathitrust.org/Record/003105897","HathiTrust Record")</f>
        <v>HathiTrust Record</v>
      </c>
      <c r="AS1002" s="6" t="str">
        <f>HYPERLINK("https://creighton-primo.hosted.exlibrisgroup.com/primo-explore/search?tab=default_tab&amp;search_scope=EVERYTHING&amp;vid=01CRU&amp;lang=en_US&amp;offset=0&amp;query=any,contains,991001552239702656","Catalog Record")</f>
        <v>Catalog Record</v>
      </c>
      <c r="AT1002" s="6" t="str">
        <f>HYPERLINK("http://www.worldcat.org/oclc/33821149","WorldCat Record")</f>
        <v>WorldCat Record</v>
      </c>
    </row>
    <row r="1003" spans="1:46" ht="48" customHeight="1" x14ac:dyDescent="0.25">
      <c r="A1003" s="7" t="s">
        <v>59</v>
      </c>
      <c r="B1003" s="2" t="s">
        <v>12243</v>
      </c>
      <c r="C1003" s="2" t="s">
        <v>12244</v>
      </c>
      <c r="D1003" s="2" t="s">
        <v>12245</v>
      </c>
      <c r="F1003" s="3" t="s">
        <v>59</v>
      </c>
      <c r="G1003" s="3" t="s">
        <v>60</v>
      </c>
      <c r="H1003" s="3" t="s">
        <v>59</v>
      </c>
      <c r="I1003" s="3" t="s">
        <v>59</v>
      </c>
      <c r="J1003" s="3" t="s">
        <v>61</v>
      </c>
      <c r="K1003" s="2" t="s">
        <v>3540</v>
      </c>
      <c r="L1003" s="2" t="s">
        <v>12246</v>
      </c>
      <c r="M1003" s="3" t="s">
        <v>471</v>
      </c>
      <c r="N1003" s="2" t="s">
        <v>2003</v>
      </c>
      <c r="O1003" s="3" t="s">
        <v>64</v>
      </c>
      <c r="P1003" s="3" t="s">
        <v>115</v>
      </c>
      <c r="R1003" s="3" t="s">
        <v>11989</v>
      </c>
      <c r="S1003" s="4">
        <v>8</v>
      </c>
      <c r="T1003" s="4">
        <v>8</v>
      </c>
      <c r="U1003" s="5" t="s">
        <v>12247</v>
      </c>
      <c r="V1003" s="5" t="s">
        <v>12247</v>
      </c>
      <c r="W1003" s="5" t="s">
        <v>12012</v>
      </c>
      <c r="X1003" s="5" t="s">
        <v>12012</v>
      </c>
      <c r="Y1003" s="4">
        <v>370</v>
      </c>
      <c r="Z1003" s="4">
        <v>271</v>
      </c>
      <c r="AA1003" s="4">
        <v>615</v>
      </c>
      <c r="AB1003" s="4">
        <v>2</v>
      </c>
      <c r="AC1003" s="4">
        <v>5</v>
      </c>
      <c r="AD1003" s="4">
        <v>7</v>
      </c>
      <c r="AE1003" s="4">
        <v>22</v>
      </c>
      <c r="AF1003" s="4">
        <v>3</v>
      </c>
      <c r="AG1003" s="4">
        <v>8</v>
      </c>
      <c r="AH1003" s="4">
        <v>1</v>
      </c>
      <c r="AI1003" s="4">
        <v>5</v>
      </c>
      <c r="AJ1003" s="4">
        <v>3</v>
      </c>
      <c r="AK1003" s="4">
        <v>9</v>
      </c>
      <c r="AL1003" s="4">
        <v>1</v>
      </c>
      <c r="AM1003" s="4">
        <v>3</v>
      </c>
      <c r="AN1003" s="4">
        <v>0</v>
      </c>
      <c r="AO1003" s="4">
        <v>0</v>
      </c>
      <c r="AP1003" s="3" t="s">
        <v>59</v>
      </c>
      <c r="AQ1003" s="3" t="s">
        <v>70</v>
      </c>
      <c r="AR1003" s="6" t="str">
        <f>HYPERLINK("http://catalog.hathitrust.org/Record/000011519","HathiTrust Record")</f>
        <v>HathiTrust Record</v>
      </c>
      <c r="AS1003" s="6" t="str">
        <f>HYPERLINK("https://creighton-primo.hosted.exlibrisgroup.com/primo-explore/search?tab=default_tab&amp;search_scope=EVERYTHING&amp;vid=01CRU&amp;lang=en_US&amp;offset=0&amp;query=any,contains,991000860089702656","Catalog Record")</f>
        <v>Catalog Record</v>
      </c>
      <c r="AT1003" s="6" t="str">
        <f>HYPERLINK("http://www.worldcat.org/oclc/783352","WorldCat Record")</f>
        <v>WorldCat Record</v>
      </c>
    </row>
    <row r="1004" spans="1:46" ht="48" customHeight="1" x14ac:dyDescent="0.25">
      <c r="A1004" s="7" t="s">
        <v>59</v>
      </c>
      <c r="B1004" s="2" t="s">
        <v>12248</v>
      </c>
      <c r="C1004" s="2" t="s">
        <v>12249</v>
      </c>
      <c r="D1004" s="2" t="s">
        <v>12250</v>
      </c>
      <c r="E1004" s="3" t="s">
        <v>12251</v>
      </c>
      <c r="F1004" s="3" t="s">
        <v>70</v>
      </c>
      <c r="G1004" s="3" t="s">
        <v>60</v>
      </c>
      <c r="H1004" s="3" t="s">
        <v>59</v>
      </c>
      <c r="I1004" s="3" t="s">
        <v>70</v>
      </c>
      <c r="J1004" s="3" t="s">
        <v>61</v>
      </c>
      <c r="L1004" s="2" t="s">
        <v>12252</v>
      </c>
      <c r="M1004" s="3" t="s">
        <v>63</v>
      </c>
      <c r="N1004" s="2" t="s">
        <v>12253</v>
      </c>
      <c r="O1004" s="3" t="s">
        <v>64</v>
      </c>
      <c r="P1004" s="3" t="s">
        <v>65</v>
      </c>
      <c r="R1004" s="3" t="s">
        <v>11989</v>
      </c>
      <c r="S1004" s="4">
        <v>2</v>
      </c>
      <c r="T1004" s="4">
        <v>5</v>
      </c>
      <c r="U1004" s="5" t="s">
        <v>12254</v>
      </c>
      <c r="V1004" s="5" t="s">
        <v>12254</v>
      </c>
      <c r="W1004" s="5" t="s">
        <v>12255</v>
      </c>
      <c r="X1004" s="5" t="s">
        <v>12255</v>
      </c>
      <c r="Y1004" s="4">
        <v>101</v>
      </c>
      <c r="Z1004" s="4">
        <v>78</v>
      </c>
      <c r="AA1004" s="4">
        <v>574</v>
      </c>
      <c r="AB1004" s="4">
        <v>0</v>
      </c>
      <c r="AC1004" s="4">
        <v>4</v>
      </c>
      <c r="AD1004" s="4">
        <v>2</v>
      </c>
      <c r="AE1004" s="4">
        <v>18</v>
      </c>
      <c r="AF1004" s="4">
        <v>0</v>
      </c>
      <c r="AG1004" s="4">
        <v>8</v>
      </c>
      <c r="AH1004" s="4">
        <v>1</v>
      </c>
      <c r="AI1004" s="4">
        <v>4</v>
      </c>
      <c r="AJ1004" s="4">
        <v>1</v>
      </c>
      <c r="AK1004" s="4">
        <v>9</v>
      </c>
      <c r="AL1004" s="4">
        <v>0</v>
      </c>
      <c r="AM1004" s="4">
        <v>3</v>
      </c>
      <c r="AN1004" s="4">
        <v>0</v>
      </c>
      <c r="AO1004" s="4">
        <v>0</v>
      </c>
      <c r="AP1004" s="3" t="s">
        <v>59</v>
      </c>
      <c r="AQ1004" s="3" t="s">
        <v>70</v>
      </c>
      <c r="AR1004" s="6" t="str">
        <f>HYPERLINK("http://catalog.hathitrust.org/Record/008331199","HathiTrust Record")</f>
        <v>HathiTrust Record</v>
      </c>
      <c r="AS1004" s="6" t="str">
        <f>HYPERLINK("https://creighton-primo.hosted.exlibrisgroup.com/primo-explore/search?tab=default_tab&amp;search_scope=EVERYTHING&amp;vid=01CRU&amp;lang=en_US&amp;offset=0&amp;query=any,contains,991001280619702656","Catalog Record")</f>
        <v>Catalog Record</v>
      </c>
      <c r="AT1004" s="6" t="str">
        <f>HYPERLINK("http://www.worldcat.org/oclc/4171915","WorldCat Record")</f>
        <v>WorldCat Record</v>
      </c>
    </row>
    <row r="1005" spans="1:46" ht="48" customHeight="1" x14ac:dyDescent="0.25">
      <c r="A1005" s="7" t="s">
        <v>59</v>
      </c>
      <c r="B1005" s="2" t="s">
        <v>12248</v>
      </c>
      <c r="C1005" s="2" t="s">
        <v>12249</v>
      </c>
      <c r="D1005" s="2" t="s">
        <v>12250</v>
      </c>
      <c r="E1005" s="3" t="s">
        <v>12256</v>
      </c>
      <c r="F1005" s="3" t="s">
        <v>70</v>
      </c>
      <c r="G1005" s="3" t="s">
        <v>60</v>
      </c>
      <c r="H1005" s="3" t="s">
        <v>59</v>
      </c>
      <c r="I1005" s="3" t="s">
        <v>70</v>
      </c>
      <c r="J1005" s="3" t="s">
        <v>61</v>
      </c>
      <c r="L1005" s="2" t="s">
        <v>12252</v>
      </c>
      <c r="M1005" s="3" t="s">
        <v>63</v>
      </c>
      <c r="N1005" s="2" t="s">
        <v>12253</v>
      </c>
      <c r="O1005" s="3" t="s">
        <v>64</v>
      </c>
      <c r="P1005" s="3" t="s">
        <v>65</v>
      </c>
      <c r="R1005" s="3" t="s">
        <v>11989</v>
      </c>
      <c r="S1005" s="4">
        <v>3</v>
      </c>
      <c r="T1005" s="4">
        <v>5</v>
      </c>
      <c r="U1005" s="5" t="s">
        <v>12254</v>
      </c>
      <c r="V1005" s="5" t="s">
        <v>12254</v>
      </c>
      <c r="W1005" s="5" t="s">
        <v>12255</v>
      </c>
      <c r="X1005" s="5" t="s">
        <v>12255</v>
      </c>
      <c r="Y1005" s="4">
        <v>101</v>
      </c>
      <c r="Z1005" s="4">
        <v>78</v>
      </c>
      <c r="AA1005" s="4">
        <v>574</v>
      </c>
      <c r="AB1005" s="4">
        <v>0</v>
      </c>
      <c r="AC1005" s="4">
        <v>4</v>
      </c>
      <c r="AD1005" s="4">
        <v>2</v>
      </c>
      <c r="AE1005" s="4">
        <v>18</v>
      </c>
      <c r="AF1005" s="4">
        <v>0</v>
      </c>
      <c r="AG1005" s="4">
        <v>8</v>
      </c>
      <c r="AH1005" s="4">
        <v>1</v>
      </c>
      <c r="AI1005" s="4">
        <v>4</v>
      </c>
      <c r="AJ1005" s="4">
        <v>1</v>
      </c>
      <c r="AK1005" s="4">
        <v>9</v>
      </c>
      <c r="AL1005" s="4">
        <v>0</v>
      </c>
      <c r="AM1005" s="4">
        <v>3</v>
      </c>
      <c r="AN1005" s="4">
        <v>0</v>
      </c>
      <c r="AO1005" s="4">
        <v>0</v>
      </c>
      <c r="AP1005" s="3" t="s">
        <v>59</v>
      </c>
      <c r="AQ1005" s="3" t="s">
        <v>70</v>
      </c>
      <c r="AR1005" s="6" t="str">
        <f>HYPERLINK("http://catalog.hathitrust.org/Record/008331199","HathiTrust Record")</f>
        <v>HathiTrust Record</v>
      </c>
      <c r="AS1005" s="6" t="str">
        <f>HYPERLINK("https://creighton-primo.hosted.exlibrisgroup.com/primo-explore/search?tab=default_tab&amp;search_scope=EVERYTHING&amp;vid=01CRU&amp;lang=en_US&amp;offset=0&amp;query=any,contains,991001280619702656","Catalog Record")</f>
        <v>Catalog Record</v>
      </c>
      <c r="AT1005" s="6" t="str">
        <f>HYPERLINK("http://www.worldcat.org/oclc/4171915","WorldCat Record")</f>
        <v>WorldCat Record</v>
      </c>
    </row>
    <row r="1006" spans="1:46" ht="48" customHeight="1" x14ac:dyDescent="0.25">
      <c r="A1006" s="7" t="s">
        <v>59</v>
      </c>
      <c r="B1006" s="2" t="s">
        <v>12257</v>
      </c>
      <c r="C1006" s="2" t="s">
        <v>12258</v>
      </c>
      <c r="D1006" s="2" t="s">
        <v>12259</v>
      </c>
      <c r="E1006" s="3" t="s">
        <v>512</v>
      </c>
      <c r="F1006" s="3" t="s">
        <v>70</v>
      </c>
      <c r="G1006" s="3" t="s">
        <v>60</v>
      </c>
      <c r="H1006" s="3" t="s">
        <v>59</v>
      </c>
      <c r="I1006" s="3" t="s">
        <v>59</v>
      </c>
      <c r="J1006" s="3" t="s">
        <v>61</v>
      </c>
      <c r="L1006" s="2" t="s">
        <v>12260</v>
      </c>
      <c r="M1006" s="3" t="s">
        <v>485</v>
      </c>
      <c r="O1006" s="3" t="s">
        <v>64</v>
      </c>
      <c r="P1006" s="3" t="s">
        <v>65</v>
      </c>
      <c r="Q1006" s="2" t="s">
        <v>12261</v>
      </c>
      <c r="R1006" s="3" t="s">
        <v>11989</v>
      </c>
      <c r="S1006" s="4">
        <v>4</v>
      </c>
      <c r="T1006" s="4">
        <v>11</v>
      </c>
      <c r="U1006" s="5" t="s">
        <v>898</v>
      </c>
      <c r="V1006" s="5" t="s">
        <v>898</v>
      </c>
      <c r="W1006" s="5" t="s">
        <v>12262</v>
      </c>
      <c r="X1006" s="5" t="s">
        <v>12262</v>
      </c>
      <c r="Y1006" s="4">
        <v>324</v>
      </c>
      <c r="Z1006" s="4">
        <v>271</v>
      </c>
      <c r="AA1006" s="4">
        <v>275</v>
      </c>
      <c r="AB1006" s="4">
        <v>3</v>
      </c>
      <c r="AC1006" s="4">
        <v>3</v>
      </c>
      <c r="AD1006" s="4">
        <v>12</v>
      </c>
      <c r="AE1006" s="4">
        <v>12</v>
      </c>
      <c r="AF1006" s="4">
        <v>2</v>
      </c>
      <c r="AG1006" s="4">
        <v>2</v>
      </c>
      <c r="AH1006" s="4">
        <v>4</v>
      </c>
      <c r="AI1006" s="4">
        <v>4</v>
      </c>
      <c r="AJ1006" s="4">
        <v>7</v>
      </c>
      <c r="AK1006" s="4">
        <v>7</v>
      </c>
      <c r="AL1006" s="4">
        <v>2</v>
      </c>
      <c r="AM1006" s="4">
        <v>2</v>
      </c>
      <c r="AN1006" s="4">
        <v>0</v>
      </c>
      <c r="AO1006" s="4">
        <v>0</v>
      </c>
      <c r="AP1006" s="3" t="s">
        <v>59</v>
      </c>
      <c r="AQ1006" s="3" t="s">
        <v>70</v>
      </c>
      <c r="AR1006" s="6" t="str">
        <f>HYPERLINK("http://catalog.hathitrust.org/Record/000145376","HathiTrust Record")</f>
        <v>HathiTrust Record</v>
      </c>
      <c r="AS1006" s="6" t="str">
        <f>HYPERLINK("https://creighton-primo.hosted.exlibrisgroup.com/primo-explore/search?tab=default_tab&amp;search_scope=EVERYTHING&amp;vid=01CRU&amp;lang=en_US&amp;offset=0&amp;query=any,contains,991001280839702656","Catalog Record")</f>
        <v>Catalog Record</v>
      </c>
      <c r="AT1006" s="6" t="str">
        <f>HYPERLINK("http://www.worldcat.org/oclc/4775901","WorldCat Record")</f>
        <v>WorldCat Record</v>
      </c>
    </row>
    <row r="1007" spans="1:46" ht="48" customHeight="1" x14ac:dyDescent="0.25">
      <c r="A1007" s="7" t="s">
        <v>59</v>
      </c>
      <c r="B1007" s="2" t="s">
        <v>12257</v>
      </c>
      <c r="C1007" s="2" t="s">
        <v>12258</v>
      </c>
      <c r="D1007" s="2" t="s">
        <v>12259</v>
      </c>
      <c r="E1007" s="3" t="s">
        <v>159</v>
      </c>
      <c r="F1007" s="3" t="s">
        <v>70</v>
      </c>
      <c r="G1007" s="3" t="s">
        <v>60</v>
      </c>
      <c r="H1007" s="3" t="s">
        <v>59</v>
      </c>
      <c r="I1007" s="3" t="s">
        <v>59</v>
      </c>
      <c r="J1007" s="3" t="s">
        <v>61</v>
      </c>
      <c r="L1007" s="2" t="s">
        <v>12260</v>
      </c>
      <c r="M1007" s="3" t="s">
        <v>485</v>
      </c>
      <c r="O1007" s="3" t="s">
        <v>64</v>
      </c>
      <c r="P1007" s="3" t="s">
        <v>65</v>
      </c>
      <c r="Q1007" s="2" t="s">
        <v>12261</v>
      </c>
      <c r="R1007" s="3" t="s">
        <v>11989</v>
      </c>
      <c r="S1007" s="4">
        <v>7</v>
      </c>
      <c r="T1007" s="4">
        <v>11</v>
      </c>
      <c r="U1007" s="5" t="s">
        <v>1777</v>
      </c>
      <c r="V1007" s="5" t="s">
        <v>898</v>
      </c>
      <c r="W1007" s="5" t="s">
        <v>12263</v>
      </c>
      <c r="X1007" s="5" t="s">
        <v>12262</v>
      </c>
      <c r="Y1007" s="4">
        <v>324</v>
      </c>
      <c r="Z1007" s="4">
        <v>271</v>
      </c>
      <c r="AA1007" s="4">
        <v>275</v>
      </c>
      <c r="AB1007" s="4">
        <v>3</v>
      </c>
      <c r="AC1007" s="4">
        <v>3</v>
      </c>
      <c r="AD1007" s="4">
        <v>12</v>
      </c>
      <c r="AE1007" s="4">
        <v>12</v>
      </c>
      <c r="AF1007" s="4">
        <v>2</v>
      </c>
      <c r="AG1007" s="4">
        <v>2</v>
      </c>
      <c r="AH1007" s="4">
        <v>4</v>
      </c>
      <c r="AI1007" s="4">
        <v>4</v>
      </c>
      <c r="AJ1007" s="4">
        <v>7</v>
      </c>
      <c r="AK1007" s="4">
        <v>7</v>
      </c>
      <c r="AL1007" s="4">
        <v>2</v>
      </c>
      <c r="AM1007" s="4">
        <v>2</v>
      </c>
      <c r="AN1007" s="4">
        <v>0</v>
      </c>
      <c r="AO1007" s="4">
        <v>0</v>
      </c>
      <c r="AP1007" s="3" t="s">
        <v>59</v>
      </c>
      <c r="AQ1007" s="3" t="s">
        <v>70</v>
      </c>
      <c r="AR1007" s="6" t="str">
        <f>HYPERLINK("http://catalog.hathitrust.org/Record/000145376","HathiTrust Record")</f>
        <v>HathiTrust Record</v>
      </c>
      <c r="AS1007" s="6" t="str">
        <f>HYPERLINK("https://creighton-primo.hosted.exlibrisgroup.com/primo-explore/search?tab=default_tab&amp;search_scope=EVERYTHING&amp;vid=01CRU&amp;lang=en_US&amp;offset=0&amp;query=any,contains,991001280839702656","Catalog Record")</f>
        <v>Catalog Record</v>
      </c>
      <c r="AT1007" s="6" t="str">
        <f>HYPERLINK("http://www.worldcat.org/oclc/4775901","WorldCat Record")</f>
        <v>WorldCat Record</v>
      </c>
    </row>
    <row r="1008" spans="1:46" ht="48" customHeight="1" x14ac:dyDescent="0.25">
      <c r="A1008" s="7" t="s">
        <v>59</v>
      </c>
      <c r="B1008" s="2" t="s">
        <v>12264</v>
      </c>
      <c r="C1008" s="2" t="s">
        <v>12265</v>
      </c>
      <c r="D1008" s="2" t="s">
        <v>12266</v>
      </c>
      <c r="E1008" s="3" t="s">
        <v>512</v>
      </c>
      <c r="F1008" s="3" t="s">
        <v>70</v>
      </c>
      <c r="G1008" s="3" t="s">
        <v>60</v>
      </c>
      <c r="H1008" s="3" t="s">
        <v>59</v>
      </c>
      <c r="I1008" s="3" t="s">
        <v>59</v>
      </c>
      <c r="J1008" s="3" t="s">
        <v>61</v>
      </c>
      <c r="L1008" s="2" t="s">
        <v>12267</v>
      </c>
      <c r="M1008" s="3" t="s">
        <v>6695</v>
      </c>
      <c r="O1008" s="3" t="s">
        <v>64</v>
      </c>
      <c r="P1008" s="3" t="s">
        <v>1394</v>
      </c>
      <c r="Q1008" s="2" t="s">
        <v>12268</v>
      </c>
      <c r="R1008" s="3" t="s">
        <v>11989</v>
      </c>
      <c r="S1008" s="4">
        <v>0</v>
      </c>
      <c r="T1008" s="4">
        <v>4</v>
      </c>
      <c r="V1008" s="5" t="s">
        <v>10009</v>
      </c>
      <c r="W1008" s="5" t="s">
        <v>12269</v>
      </c>
      <c r="X1008" s="5" t="s">
        <v>12269</v>
      </c>
      <c r="Y1008" s="4">
        <v>51</v>
      </c>
      <c r="Z1008" s="4">
        <v>49</v>
      </c>
      <c r="AA1008" s="4">
        <v>308</v>
      </c>
      <c r="AB1008" s="4">
        <v>1</v>
      </c>
      <c r="AC1008" s="4">
        <v>4</v>
      </c>
      <c r="AD1008" s="4">
        <v>4</v>
      </c>
      <c r="AE1008" s="4">
        <v>12</v>
      </c>
      <c r="AF1008" s="4">
        <v>1</v>
      </c>
      <c r="AG1008" s="4">
        <v>2</v>
      </c>
      <c r="AH1008" s="4">
        <v>1</v>
      </c>
      <c r="AI1008" s="4">
        <v>2</v>
      </c>
      <c r="AJ1008" s="4">
        <v>2</v>
      </c>
      <c r="AK1008" s="4">
        <v>6</v>
      </c>
      <c r="AL1008" s="4">
        <v>0</v>
      </c>
      <c r="AM1008" s="4">
        <v>3</v>
      </c>
      <c r="AN1008" s="4">
        <v>0</v>
      </c>
      <c r="AO1008" s="4">
        <v>0</v>
      </c>
      <c r="AP1008" s="3" t="s">
        <v>59</v>
      </c>
      <c r="AQ1008" s="3" t="s">
        <v>59</v>
      </c>
      <c r="AS1008" s="6" t="str">
        <f>HYPERLINK("https://creighton-primo.hosted.exlibrisgroup.com/primo-explore/search?tab=default_tab&amp;search_scope=EVERYTHING&amp;vid=01CRU&amp;lang=en_US&amp;offset=0&amp;query=any,contains,991000860359702656","Catalog Record")</f>
        <v>Catalog Record</v>
      </c>
      <c r="AT1008" s="6" t="str">
        <f>HYPERLINK("http://www.worldcat.org/oclc/3367388","WorldCat Record")</f>
        <v>WorldCat Record</v>
      </c>
    </row>
    <row r="1009" spans="1:46" ht="48" customHeight="1" x14ac:dyDescent="0.25">
      <c r="A1009" s="7" t="s">
        <v>59</v>
      </c>
      <c r="B1009" s="2" t="s">
        <v>12264</v>
      </c>
      <c r="C1009" s="2" t="s">
        <v>12265</v>
      </c>
      <c r="D1009" s="2" t="s">
        <v>12266</v>
      </c>
      <c r="E1009" s="3" t="s">
        <v>159</v>
      </c>
      <c r="F1009" s="3" t="s">
        <v>70</v>
      </c>
      <c r="G1009" s="3" t="s">
        <v>60</v>
      </c>
      <c r="H1009" s="3" t="s">
        <v>59</v>
      </c>
      <c r="I1009" s="3" t="s">
        <v>59</v>
      </c>
      <c r="J1009" s="3" t="s">
        <v>61</v>
      </c>
      <c r="L1009" s="2" t="s">
        <v>12267</v>
      </c>
      <c r="M1009" s="3" t="s">
        <v>6695</v>
      </c>
      <c r="O1009" s="3" t="s">
        <v>64</v>
      </c>
      <c r="P1009" s="3" t="s">
        <v>1394</v>
      </c>
      <c r="Q1009" s="2" t="s">
        <v>12268</v>
      </c>
      <c r="R1009" s="3" t="s">
        <v>11989</v>
      </c>
      <c r="S1009" s="4">
        <v>4</v>
      </c>
      <c r="T1009" s="4">
        <v>4</v>
      </c>
      <c r="U1009" s="5" t="s">
        <v>10009</v>
      </c>
      <c r="V1009" s="5" t="s">
        <v>10009</v>
      </c>
      <c r="W1009" s="5" t="s">
        <v>12270</v>
      </c>
      <c r="X1009" s="5" t="s">
        <v>12269</v>
      </c>
      <c r="Y1009" s="4">
        <v>51</v>
      </c>
      <c r="Z1009" s="4">
        <v>49</v>
      </c>
      <c r="AA1009" s="4">
        <v>308</v>
      </c>
      <c r="AB1009" s="4">
        <v>1</v>
      </c>
      <c r="AC1009" s="4">
        <v>4</v>
      </c>
      <c r="AD1009" s="4">
        <v>4</v>
      </c>
      <c r="AE1009" s="4">
        <v>12</v>
      </c>
      <c r="AF1009" s="4">
        <v>1</v>
      </c>
      <c r="AG1009" s="4">
        <v>2</v>
      </c>
      <c r="AH1009" s="4">
        <v>1</v>
      </c>
      <c r="AI1009" s="4">
        <v>2</v>
      </c>
      <c r="AJ1009" s="4">
        <v>2</v>
      </c>
      <c r="AK1009" s="4">
        <v>6</v>
      </c>
      <c r="AL1009" s="4">
        <v>0</v>
      </c>
      <c r="AM1009" s="4">
        <v>3</v>
      </c>
      <c r="AN1009" s="4">
        <v>0</v>
      </c>
      <c r="AO1009" s="4">
        <v>0</v>
      </c>
      <c r="AP1009" s="3" t="s">
        <v>59</v>
      </c>
      <c r="AQ1009" s="3" t="s">
        <v>59</v>
      </c>
      <c r="AS1009" s="6" t="str">
        <f>HYPERLINK("https://creighton-primo.hosted.exlibrisgroup.com/primo-explore/search?tab=default_tab&amp;search_scope=EVERYTHING&amp;vid=01CRU&amp;lang=en_US&amp;offset=0&amp;query=any,contains,991000860359702656","Catalog Record")</f>
        <v>Catalog Record</v>
      </c>
      <c r="AT1009" s="6" t="str">
        <f>HYPERLINK("http://www.worldcat.org/oclc/3367388","WorldCat Record")</f>
        <v>WorldCat Record</v>
      </c>
    </row>
    <row r="1010" spans="1:46" ht="48" customHeight="1" x14ac:dyDescent="0.25">
      <c r="A1010" s="7" t="s">
        <v>59</v>
      </c>
      <c r="B1010" s="2" t="s">
        <v>12271</v>
      </c>
      <c r="C1010" s="2" t="s">
        <v>12272</v>
      </c>
      <c r="D1010" s="2" t="s">
        <v>12273</v>
      </c>
      <c r="E1010" s="3" t="s">
        <v>12274</v>
      </c>
      <c r="F1010" s="3" t="s">
        <v>70</v>
      </c>
      <c r="G1010" s="3" t="s">
        <v>60</v>
      </c>
      <c r="H1010" s="3" t="s">
        <v>59</v>
      </c>
      <c r="I1010" s="3" t="s">
        <v>59</v>
      </c>
      <c r="J1010" s="3" t="s">
        <v>61</v>
      </c>
      <c r="L1010" s="2" t="s">
        <v>12275</v>
      </c>
      <c r="M1010" s="3" t="s">
        <v>248</v>
      </c>
      <c r="O1010" s="3" t="s">
        <v>64</v>
      </c>
      <c r="P1010" s="3" t="s">
        <v>65</v>
      </c>
      <c r="Q1010" s="2" t="s">
        <v>12276</v>
      </c>
      <c r="R1010" s="3" t="s">
        <v>11989</v>
      </c>
      <c r="S1010" s="4">
        <v>1</v>
      </c>
      <c r="T1010" s="4">
        <v>4</v>
      </c>
      <c r="U1010" s="5" t="s">
        <v>7705</v>
      </c>
      <c r="V1010" s="5" t="s">
        <v>7705</v>
      </c>
      <c r="W1010" s="5" t="s">
        <v>12255</v>
      </c>
      <c r="X1010" s="5" t="s">
        <v>12255</v>
      </c>
      <c r="Y1010" s="4">
        <v>66</v>
      </c>
      <c r="Z1010" s="4">
        <v>55</v>
      </c>
      <c r="AA1010" s="4">
        <v>57</v>
      </c>
      <c r="AB1010" s="4">
        <v>2</v>
      </c>
      <c r="AC1010" s="4">
        <v>2</v>
      </c>
      <c r="AD1010" s="4">
        <v>1</v>
      </c>
      <c r="AE1010" s="4">
        <v>1</v>
      </c>
      <c r="AF1010" s="4">
        <v>0</v>
      </c>
      <c r="AG1010" s="4">
        <v>0</v>
      </c>
      <c r="AH1010" s="4">
        <v>1</v>
      </c>
      <c r="AI1010" s="4">
        <v>1</v>
      </c>
      <c r="AJ1010" s="4">
        <v>0</v>
      </c>
      <c r="AK1010" s="4">
        <v>0</v>
      </c>
      <c r="AL1010" s="4">
        <v>0</v>
      </c>
      <c r="AM1010" s="4">
        <v>0</v>
      </c>
      <c r="AN1010" s="4">
        <v>0</v>
      </c>
      <c r="AO1010" s="4">
        <v>0</v>
      </c>
      <c r="AP1010" s="3" t="s">
        <v>59</v>
      </c>
      <c r="AQ1010" s="3" t="s">
        <v>70</v>
      </c>
      <c r="AR1010" s="6" t="str">
        <f>HYPERLINK("http://catalog.hathitrust.org/Record/010597494","HathiTrust Record")</f>
        <v>HathiTrust Record</v>
      </c>
      <c r="AS1010" s="6" t="str">
        <f>HYPERLINK("https://creighton-primo.hosted.exlibrisgroup.com/primo-explore/search?tab=default_tab&amp;search_scope=EVERYTHING&amp;vid=01CRU&amp;lang=en_US&amp;offset=0&amp;query=any,contains,991001280649702656","Catalog Record")</f>
        <v>Catalog Record</v>
      </c>
      <c r="AT1010" s="6" t="str">
        <f>HYPERLINK("http://www.worldcat.org/oclc/8096346","WorldCat Record")</f>
        <v>WorldCat Record</v>
      </c>
    </row>
    <row r="1011" spans="1:46" ht="48" customHeight="1" x14ac:dyDescent="0.25">
      <c r="A1011" s="7" t="s">
        <v>59</v>
      </c>
      <c r="B1011" s="2" t="s">
        <v>12271</v>
      </c>
      <c r="C1011" s="2" t="s">
        <v>12272</v>
      </c>
      <c r="D1011" s="2" t="s">
        <v>12273</v>
      </c>
      <c r="E1011" s="3" t="s">
        <v>12277</v>
      </c>
      <c r="F1011" s="3" t="s">
        <v>70</v>
      </c>
      <c r="G1011" s="3" t="s">
        <v>60</v>
      </c>
      <c r="H1011" s="3" t="s">
        <v>59</v>
      </c>
      <c r="I1011" s="3" t="s">
        <v>59</v>
      </c>
      <c r="J1011" s="3" t="s">
        <v>61</v>
      </c>
      <c r="L1011" s="2" t="s">
        <v>12275</v>
      </c>
      <c r="M1011" s="3" t="s">
        <v>248</v>
      </c>
      <c r="O1011" s="3" t="s">
        <v>64</v>
      </c>
      <c r="P1011" s="3" t="s">
        <v>65</v>
      </c>
      <c r="Q1011" s="2" t="s">
        <v>12276</v>
      </c>
      <c r="R1011" s="3" t="s">
        <v>11989</v>
      </c>
      <c r="S1011" s="4">
        <v>3</v>
      </c>
      <c r="T1011" s="4">
        <v>4</v>
      </c>
      <c r="U1011" s="5" t="s">
        <v>7705</v>
      </c>
      <c r="V1011" s="5" t="s">
        <v>7705</v>
      </c>
      <c r="W1011" s="5" t="s">
        <v>12255</v>
      </c>
      <c r="X1011" s="5" t="s">
        <v>12255</v>
      </c>
      <c r="Y1011" s="4">
        <v>66</v>
      </c>
      <c r="Z1011" s="4">
        <v>55</v>
      </c>
      <c r="AA1011" s="4">
        <v>57</v>
      </c>
      <c r="AB1011" s="4">
        <v>2</v>
      </c>
      <c r="AC1011" s="4">
        <v>2</v>
      </c>
      <c r="AD1011" s="4">
        <v>1</v>
      </c>
      <c r="AE1011" s="4">
        <v>1</v>
      </c>
      <c r="AF1011" s="4">
        <v>0</v>
      </c>
      <c r="AG1011" s="4">
        <v>0</v>
      </c>
      <c r="AH1011" s="4">
        <v>1</v>
      </c>
      <c r="AI1011" s="4">
        <v>1</v>
      </c>
      <c r="AJ1011" s="4">
        <v>0</v>
      </c>
      <c r="AK1011" s="4">
        <v>0</v>
      </c>
      <c r="AL1011" s="4">
        <v>0</v>
      </c>
      <c r="AM1011" s="4">
        <v>0</v>
      </c>
      <c r="AN1011" s="4">
        <v>0</v>
      </c>
      <c r="AO1011" s="4">
        <v>0</v>
      </c>
      <c r="AP1011" s="3" t="s">
        <v>59</v>
      </c>
      <c r="AQ1011" s="3" t="s">
        <v>70</v>
      </c>
      <c r="AR1011" s="6" t="str">
        <f>HYPERLINK("http://catalog.hathitrust.org/Record/010597494","HathiTrust Record")</f>
        <v>HathiTrust Record</v>
      </c>
      <c r="AS1011" s="6" t="str">
        <f>HYPERLINK("https://creighton-primo.hosted.exlibrisgroup.com/primo-explore/search?tab=default_tab&amp;search_scope=EVERYTHING&amp;vid=01CRU&amp;lang=en_US&amp;offset=0&amp;query=any,contains,991001280649702656","Catalog Record")</f>
        <v>Catalog Record</v>
      </c>
      <c r="AT1011" s="6" t="str">
        <f>HYPERLINK("http://www.worldcat.org/oclc/8096346","WorldCat Record")</f>
        <v>WorldCat Record</v>
      </c>
    </row>
    <row r="1012" spans="1:46" ht="48" customHeight="1" x14ac:dyDescent="0.25">
      <c r="A1012" s="7" t="s">
        <v>59</v>
      </c>
      <c r="B1012" s="2" t="s">
        <v>12278</v>
      </c>
      <c r="C1012" s="2" t="s">
        <v>12279</v>
      </c>
      <c r="D1012" s="2" t="s">
        <v>12280</v>
      </c>
      <c r="F1012" s="3" t="s">
        <v>59</v>
      </c>
      <c r="G1012" s="3" t="s">
        <v>60</v>
      </c>
      <c r="H1012" s="3" t="s">
        <v>59</v>
      </c>
      <c r="I1012" s="3" t="s">
        <v>59</v>
      </c>
      <c r="J1012" s="3" t="s">
        <v>61</v>
      </c>
      <c r="L1012" s="2" t="s">
        <v>12281</v>
      </c>
      <c r="M1012" s="3" t="s">
        <v>417</v>
      </c>
      <c r="O1012" s="3" t="s">
        <v>64</v>
      </c>
      <c r="P1012" s="3" t="s">
        <v>65</v>
      </c>
      <c r="Q1012" s="2" t="s">
        <v>12282</v>
      </c>
      <c r="R1012" s="3" t="s">
        <v>11989</v>
      </c>
      <c r="S1012" s="4">
        <v>5</v>
      </c>
      <c r="T1012" s="4">
        <v>5</v>
      </c>
      <c r="U1012" s="5" t="s">
        <v>12283</v>
      </c>
      <c r="V1012" s="5" t="s">
        <v>12283</v>
      </c>
      <c r="W1012" s="5" t="s">
        <v>12255</v>
      </c>
      <c r="X1012" s="5" t="s">
        <v>12255</v>
      </c>
      <c r="Y1012" s="4">
        <v>342</v>
      </c>
      <c r="Z1012" s="4">
        <v>283</v>
      </c>
      <c r="AA1012" s="4">
        <v>290</v>
      </c>
      <c r="AB1012" s="4">
        <v>3</v>
      </c>
      <c r="AC1012" s="4">
        <v>3</v>
      </c>
      <c r="AD1012" s="4">
        <v>10</v>
      </c>
      <c r="AE1012" s="4">
        <v>10</v>
      </c>
      <c r="AF1012" s="4">
        <v>3</v>
      </c>
      <c r="AG1012" s="4">
        <v>3</v>
      </c>
      <c r="AH1012" s="4">
        <v>1</v>
      </c>
      <c r="AI1012" s="4">
        <v>1</v>
      </c>
      <c r="AJ1012" s="4">
        <v>6</v>
      </c>
      <c r="AK1012" s="4">
        <v>6</v>
      </c>
      <c r="AL1012" s="4">
        <v>2</v>
      </c>
      <c r="AM1012" s="4">
        <v>2</v>
      </c>
      <c r="AN1012" s="4">
        <v>0</v>
      </c>
      <c r="AO1012" s="4">
        <v>0</v>
      </c>
      <c r="AP1012" s="3" t="s">
        <v>59</v>
      </c>
      <c r="AQ1012" s="3" t="s">
        <v>70</v>
      </c>
      <c r="AR1012" s="6" t="str">
        <f>HYPERLINK("http://catalog.hathitrust.org/Record/000222737","HathiTrust Record")</f>
        <v>HathiTrust Record</v>
      </c>
      <c r="AS1012" s="6" t="str">
        <f>HYPERLINK("https://creighton-primo.hosted.exlibrisgroup.com/primo-explore/search?tab=default_tab&amp;search_scope=EVERYTHING&amp;vid=01CRU&amp;lang=en_US&amp;offset=0&amp;query=any,contains,991000764479702656","Catalog Record")</f>
        <v>Catalog Record</v>
      </c>
      <c r="AT1012" s="6" t="str">
        <f>HYPERLINK("http://www.worldcat.org/oclc/4134347","WorldCat Record")</f>
        <v>WorldCat Record</v>
      </c>
    </row>
    <row r="1013" spans="1:46" ht="48" customHeight="1" x14ac:dyDescent="0.25">
      <c r="A1013" s="7" t="s">
        <v>59</v>
      </c>
      <c r="B1013" s="2" t="s">
        <v>12284</v>
      </c>
      <c r="C1013" s="2" t="s">
        <v>12285</v>
      </c>
      <c r="D1013" s="2" t="s">
        <v>12286</v>
      </c>
      <c r="E1013" s="3" t="s">
        <v>12287</v>
      </c>
      <c r="F1013" s="3" t="s">
        <v>70</v>
      </c>
      <c r="G1013" s="3" t="s">
        <v>60</v>
      </c>
      <c r="H1013" s="3" t="s">
        <v>59</v>
      </c>
      <c r="I1013" s="3" t="s">
        <v>59</v>
      </c>
      <c r="J1013" s="3" t="s">
        <v>61</v>
      </c>
      <c r="L1013" s="2" t="s">
        <v>12288</v>
      </c>
      <c r="M1013" s="3" t="s">
        <v>319</v>
      </c>
      <c r="O1013" s="3" t="s">
        <v>64</v>
      </c>
      <c r="P1013" s="3" t="s">
        <v>65</v>
      </c>
      <c r="Q1013" s="2" t="s">
        <v>12289</v>
      </c>
      <c r="R1013" s="3" t="s">
        <v>11989</v>
      </c>
      <c r="S1013" s="4">
        <v>6</v>
      </c>
      <c r="T1013" s="4">
        <v>6</v>
      </c>
      <c r="U1013" s="5" t="s">
        <v>10415</v>
      </c>
      <c r="V1013" s="5" t="s">
        <v>10415</v>
      </c>
      <c r="W1013" s="5" t="s">
        <v>12255</v>
      </c>
      <c r="X1013" s="5" t="s">
        <v>12290</v>
      </c>
      <c r="Y1013" s="4">
        <v>70</v>
      </c>
      <c r="Z1013" s="4">
        <v>60</v>
      </c>
      <c r="AA1013" s="4">
        <v>61</v>
      </c>
      <c r="AB1013" s="4">
        <v>1</v>
      </c>
      <c r="AC1013" s="4">
        <v>1</v>
      </c>
      <c r="AD1013" s="4">
        <v>2</v>
      </c>
      <c r="AE1013" s="4">
        <v>2</v>
      </c>
      <c r="AF1013" s="4">
        <v>1</v>
      </c>
      <c r="AG1013" s="4">
        <v>1</v>
      </c>
      <c r="AH1013" s="4">
        <v>2</v>
      </c>
      <c r="AI1013" s="4">
        <v>2</v>
      </c>
      <c r="AJ1013" s="4">
        <v>0</v>
      </c>
      <c r="AK1013" s="4">
        <v>0</v>
      </c>
      <c r="AL1013" s="4">
        <v>0</v>
      </c>
      <c r="AM1013" s="4">
        <v>0</v>
      </c>
      <c r="AN1013" s="4">
        <v>0</v>
      </c>
      <c r="AO1013" s="4">
        <v>0</v>
      </c>
      <c r="AP1013" s="3" t="s">
        <v>59</v>
      </c>
      <c r="AQ1013" s="3" t="s">
        <v>59</v>
      </c>
      <c r="AS1013" s="6" t="str">
        <f>HYPERLINK("https://creighton-primo.hosted.exlibrisgroup.com/primo-explore/search?tab=default_tab&amp;search_scope=EVERYTHING&amp;vid=01CRU&amp;lang=en_US&amp;offset=0&amp;query=any,contains,991001280709702656","Catalog Record")</f>
        <v>Catalog Record</v>
      </c>
      <c r="AT1013" s="6" t="str">
        <f>HYPERLINK("http://www.worldcat.org/oclc/10631459","WorldCat Record")</f>
        <v>WorldCat Record</v>
      </c>
    </row>
    <row r="1014" spans="1:46" ht="48" customHeight="1" x14ac:dyDescent="0.25">
      <c r="A1014" s="7" t="s">
        <v>59</v>
      </c>
      <c r="B1014" s="2" t="s">
        <v>12284</v>
      </c>
      <c r="C1014" s="2" t="s">
        <v>12285</v>
      </c>
      <c r="D1014" s="2" t="s">
        <v>12286</v>
      </c>
      <c r="E1014" s="3" t="s">
        <v>12291</v>
      </c>
      <c r="F1014" s="3" t="s">
        <v>70</v>
      </c>
      <c r="H1014" s="3" t="s">
        <v>59</v>
      </c>
      <c r="I1014" s="3" t="s">
        <v>59</v>
      </c>
      <c r="J1014" s="3" t="s">
        <v>61</v>
      </c>
      <c r="L1014" s="2" t="s">
        <v>12288</v>
      </c>
      <c r="M1014" s="3" t="s">
        <v>319</v>
      </c>
      <c r="O1014" s="3" t="s">
        <v>64</v>
      </c>
      <c r="P1014" s="3" t="s">
        <v>65</v>
      </c>
      <c r="Q1014" s="2" t="s">
        <v>12289</v>
      </c>
      <c r="R1014" s="3" t="s">
        <v>11989</v>
      </c>
      <c r="S1014" s="4">
        <v>0</v>
      </c>
      <c r="T1014" s="4">
        <v>6</v>
      </c>
      <c r="V1014" s="5" t="s">
        <v>10415</v>
      </c>
      <c r="W1014" s="5" t="s">
        <v>12290</v>
      </c>
      <c r="X1014" s="5" t="s">
        <v>12290</v>
      </c>
      <c r="Y1014" s="4">
        <v>70</v>
      </c>
      <c r="Z1014" s="4">
        <v>60</v>
      </c>
      <c r="AA1014" s="4">
        <v>61</v>
      </c>
      <c r="AB1014" s="4">
        <v>1</v>
      </c>
      <c r="AC1014" s="4">
        <v>1</v>
      </c>
      <c r="AD1014" s="4">
        <v>2</v>
      </c>
      <c r="AE1014" s="4">
        <v>2</v>
      </c>
      <c r="AF1014" s="4">
        <v>1</v>
      </c>
      <c r="AG1014" s="4">
        <v>1</v>
      </c>
      <c r="AH1014" s="4">
        <v>2</v>
      </c>
      <c r="AI1014" s="4">
        <v>2</v>
      </c>
      <c r="AJ1014" s="4">
        <v>0</v>
      </c>
      <c r="AK1014" s="4">
        <v>0</v>
      </c>
      <c r="AL1014" s="4">
        <v>0</v>
      </c>
      <c r="AM1014" s="4">
        <v>0</v>
      </c>
      <c r="AN1014" s="4">
        <v>0</v>
      </c>
      <c r="AO1014" s="4">
        <v>0</v>
      </c>
      <c r="AP1014" s="3" t="s">
        <v>59</v>
      </c>
      <c r="AQ1014" s="3" t="s">
        <v>59</v>
      </c>
      <c r="AS1014" s="6" t="str">
        <f>HYPERLINK("https://creighton-primo.hosted.exlibrisgroup.com/primo-explore/search?tab=default_tab&amp;search_scope=EVERYTHING&amp;vid=01CRU&amp;lang=en_US&amp;offset=0&amp;query=any,contains,991001280709702656","Catalog Record")</f>
        <v>Catalog Record</v>
      </c>
      <c r="AT1014" s="6" t="str">
        <f>HYPERLINK("http://www.worldcat.org/oclc/10631459","WorldCat Record")</f>
        <v>WorldCat Record</v>
      </c>
    </row>
    <row r="1015" spans="1:46" ht="48" customHeight="1" x14ac:dyDescent="0.25">
      <c r="A1015" s="7" t="s">
        <v>59</v>
      </c>
      <c r="B1015" s="2" t="s">
        <v>12292</v>
      </c>
      <c r="C1015" s="2" t="s">
        <v>12293</v>
      </c>
      <c r="D1015" s="2" t="s">
        <v>12294</v>
      </c>
      <c r="E1015" s="3" t="s">
        <v>12295</v>
      </c>
      <c r="F1015" s="3" t="s">
        <v>70</v>
      </c>
      <c r="G1015" s="3" t="s">
        <v>60</v>
      </c>
      <c r="H1015" s="3" t="s">
        <v>59</v>
      </c>
      <c r="I1015" s="3" t="s">
        <v>59</v>
      </c>
      <c r="J1015" s="3" t="s">
        <v>61</v>
      </c>
      <c r="L1015" s="2" t="s">
        <v>12296</v>
      </c>
      <c r="M1015" s="3" t="s">
        <v>319</v>
      </c>
      <c r="O1015" s="3" t="s">
        <v>64</v>
      </c>
      <c r="P1015" s="3" t="s">
        <v>65</v>
      </c>
      <c r="Q1015" s="2" t="s">
        <v>12297</v>
      </c>
      <c r="R1015" s="3" t="s">
        <v>11989</v>
      </c>
      <c r="S1015" s="4">
        <v>7</v>
      </c>
      <c r="T1015" s="4">
        <v>11</v>
      </c>
      <c r="U1015" s="5" t="s">
        <v>12298</v>
      </c>
      <c r="V1015" s="5" t="s">
        <v>12298</v>
      </c>
      <c r="W1015" s="5" t="s">
        <v>2457</v>
      </c>
      <c r="X1015" s="5" t="s">
        <v>2457</v>
      </c>
      <c r="Y1015" s="4">
        <v>48</v>
      </c>
      <c r="Z1015" s="4">
        <v>42</v>
      </c>
      <c r="AA1015" s="4">
        <v>43</v>
      </c>
      <c r="AB1015" s="4">
        <v>1</v>
      </c>
      <c r="AC1015" s="4">
        <v>1</v>
      </c>
      <c r="AD1015" s="4">
        <v>1</v>
      </c>
      <c r="AE1015" s="4">
        <v>1</v>
      </c>
      <c r="AF1015" s="4">
        <v>0</v>
      </c>
      <c r="AG1015" s="4">
        <v>0</v>
      </c>
      <c r="AH1015" s="4">
        <v>1</v>
      </c>
      <c r="AI1015" s="4">
        <v>1</v>
      </c>
      <c r="AJ1015" s="4">
        <v>0</v>
      </c>
      <c r="AK1015" s="4">
        <v>0</v>
      </c>
      <c r="AL1015" s="4">
        <v>0</v>
      </c>
      <c r="AM1015" s="4">
        <v>0</v>
      </c>
      <c r="AN1015" s="4">
        <v>0</v>
      </c>
      <c r="AO1015" s="4">
        <v>0</v>
      </c>
      <c r="AP1015" s="3" t="s">
        <v>59</v>
      </c>
      <c r="AQ1015" s="3" t="s">
        <v>59</v>
      </c>
      <c r="AS1015" s="6" t="str">
        <f>HYPERLINK("https://creighton-primo.hosted.exlibrisgroup.com/primo-explore/search?tab=default_tab&amp;search_scope=EVERYTHING&amp;vid=01CRU&amp;lang=en_US&amp;offset=0&amp;query=any,contains,991001374779702656","Catalog Record")</f>
        <v>Catalog Record</v>
      </c>
      <c r="AT1015" s="6" t="str">
        <f>HYPERLINK("http://www.worldcat.org/oclc/11377550","WorldCat Record")</f>
        <v>WorldCat Record</v>
      </c>
    </row>
    <row r="1016" spans="1:46" ht="48" customHeight="1" x14ac:dyDescent="0.25">
      <c r="A1016" s="7" t="s">
        <v>59</v>
      </c>
      <c r="B1016" s="2" t="s">
        <v>12292</v>
      </c>
      <c r="C1016" s="2" t="s">
        <v>12293</v>
      </c>
      <c r="D1016" s="2" t="s">
        <v>12294</v>
      </c>
      <c r="E1016" s="3" t="s">
        <v>12299</v>
      </c>
      <c r="F1016" s="3" t="s">
        <v>70</v>
      </c>
      <c r="G1016" s="3" t="s">
        <v>60</v>
      </c>
      <c r="H1016" s="3" t="s">
        <v>59</v>
      </c>
      <c r="I1016" s="3" t="s">
        <v>59</v>
      </c>
      <c r="J1016" s="3" t="s">
        <v>61</v>
      </c>
      <c r="L1016" s="2" t="s">
        <v>12296</v>
      </c>
      <c r="M1016" s="3" t="s">
        <v>319</v>
      </c>
      <c r="O1016" s="3" t="s">
        <v>64</v>
      </c>
      <c r="P1016" s="3" t="s">
        <v>65</v>
      </c>
      <c r="Q1016" s="2" t="s">
        <v>12297</v>
      </c>
      <c r="R1016" s="3" t="s">
        <v>11989</v>
      </c>
      <c r="S1016" s="4">
        <v>4</v>
      </c>
      <c r="T1016" s="4">
        <v>11</v>
      </c>
      <c r="U1016" s="5" t="s">
        <v>12298</v>
      </c>
      <c r="V1016" s="5" t="s">
        <v>12298</v>
      </c>
      <c r="W1016" s="5" t="s">
        <v>2457</v>
      </c>
      <c r="X1016" s="5" t="s">
        <v>2457</v>
      </c>
      <c r="Y1016" s="4">
        <v>48</v>
      </c>
      <c r="Z1016" s="4">
        <v>42</v>
      </c>
      <c r="AA1016" s="4">
        <v>43</v>
      </c>
      <c r="AB1016" s="4">
        <v>1</v>
      </c>
      <c r="AC1016" s="4">
        <v>1</v>
      </c>
      <c r="AD1016" s="4">
        <v>1</v>
      </c>
      <c r="AE1016" s="4">
        <v>1</v>
      </c>
      <c r="AF1016" s="4">
        <v>0</v>
      </c>
      <c r="AG1016" s="4">
        <v>0</v>
      </c>
      <c r="AH1016" s="4">
        <v>1</v>
      </c>
      <c r="AI1016" s="4">
        <v>1</v>
      </c>
      <c r="AJ1016" s="4">
        <v>0</v>
      </c>
      <c r="AK1016" s="4">
        <v>0</v>
      </c>
      <c r="AL1016" s="4">
        <v>0</v>
      </c>
      <c r="AM1016" s="4">
        <v>0</v>
      </c>
      <c r="AN1016" s="4">
        <v>0</v>
      </c>
      <c r="AO1016" s="4">
        <v>0</v>
      </c>
      <c r="AP1016" s="3" t="s">
        <v>59</v>
      </c>
      <c r="AQ1016" s="3" t="s">
        <v>59</v>
      </c>
      <c r="AS1016" s="6" t="str">
        <f>HYPERLINK("https://creighton-primo.hosted.exlibrisgroup.com/primo-explore/search?tab=default_tab&amp;search_scope=EVERYTHING&amp;vid=01CRU&amp;lang=en_US&amp;offset=0&amp;query=any,contains,991001374779702656","Catalog Record")</f>
        <v>Catalog Record</v>
      </c>
      <c r="AT1016" s="6" t="str">
        <f>HYPERLINK("http://www.worldcat.org/oclc/11377550","WorldCat Record")</f>
        <v>WorldCat Record</v>
      </c>
    </row>
    <row r="1017" spans="1:46" ht="48" customHeight="1" x14ac:dyDescent="0.25">
      <c r="A1017" s="7" t="s">
        <v>59</v>
      </c>
      <c r="B1017" s="2" t="s">
        <v>12300</v>
      </c>
      <c r="C1017" s="2" t="s">
        <v>12301</v>
      </c>
      <c r="D1017" s="2" t="s">
        <v>12302</v>
      </c>
      <c r="E1017" s="3" t="s">
        <v>12274</v>
      </c>
      <c r="F1017" s="3" t="s">
        <v>70</v>
      </c>
      <c r="G1017" s="3" t="s">
        <v>3645</v>
      </c>
      <c r="H1017" s="3" t="s">
        <v>70</v>
      </c>
      <c r="I1017" s="3" t="s">
        <v>59</v>
      </c>
      <c r="J1017" s="3" t="s">
        <v>61</v>
      </c>
      <c r="L1017" s="2" t="s">
        <v>12303</v>
      </c>
      <c r="M1017" s="3" t="s">
        <v>333</v>
      </c>
      <c r="O1017" s="3" t="s">
        <v>64</v>
      </c>
      <c r="P1017" s="3" t="s">
        <v>65</v>
      </c>
      <c r="Q1017" s="2" t="s">
        <v>12304</v>
      </c>
      <c r="R1017" s="3" t="s">
        <v>11989</v>
      </c>
      <c r="S1017" s="4">
        <v>1</v>
      </c>
      <c r="T1017" s="4">
        <v>6</v>
      </c>
      <c r="U1017" s="5" t="s">
        <v>12283</v>
      </c>
      <c r="V1017" s="5" t="s">
        <v>12283</v>
      </c>
      <c r="W1017" s="5" t="s">
        <v>12255</v>
      </c>
      <c r="X1017" s="5" t="s">
        <v>12305</v>
      </c>
      <c r="Y1017" s="4">
        <v>311</v>
      </c>
      <c r="Z1017" s="4">
        <v>244</v>
      </c>
      <c r="AA1017" s="4">
        <v>249</v>
      </c>
      <c r="AB1017" s="4">
        <v>3</v>
      </c>
      <c r="AC1017" s="4">
        <v>3</v>
      </c>
      <c r="AD1017" s="4">
        <v>9</v>
      </c>
      <c r="AE1017" s="4">
        <v>9</v>
      </c>
      <c r="AF1017" s="4">
        <v>1</v>
      </c>
      <c r="AG1017" s="4">
        <v>1</v>
      </c>
      <c r="AH1017" s="4">
        <v>2</v>
      </c>
      <c r="AI1017" s="4">
        <v>2</v>
      </c>
      <c r="AJ1017" s="4">
        <v>5</v>
      </c>
      <c r="AK1017" s="4">
        <v>5</v>
      </c>
      <c r="AL1017" s="4">
        <v>2</v>
      </c>
      <c r="AM1017" s="4">
        <v>2</v>
      </c>
      <c r="AN1017" s="4">
        <v>0</v>
      </c>
      <c r="AO1017" s="4">
        <v>0</v>
      </c>
      <c r="AP1017" s="3" t="s">
        <v>59</v>
      </c>
      <c r="AQ1017" s="3" t="s">
        <v>70</v>
      </c>
      <c r="AR1017" s="6" t="str">
        <f>HYPERLINK("http://catalog.hathitrust.org/Record/000372273","HathiTrust Record")</f>
        <v>HathiTrust Record</v>
      </c>
      <c r="AS1017" s="6" t="str">
        <f>HYPERLINK("https://creighton-primo.hosted.exlibrisgroup.com/primo-explore/search?tab=default_tab&amp;search_scope=EVERYTHING&amp;vid=01CRU&amp;lang=en_US&amp;offset=0&amp;query=any,contains,991000860519702656","Catalog Record")</f>
        <v>Catalog Record</v>
      </c>
      <c r="AT1017" s="6" t="str">
        <f>HYPERLINK("http://www.worldcat.org/oclc/11468311","WorldCat Record")</f>
        <v>WorldCat Record</v>
      </c>
    </row>
    <row r="1018" spans="1:46" ht="48" customHeight="1" x14ac:dyDescent="0.25">
      <c r="A1018" s="7" t="s">
        <v>59</v>
      </c>
      <c r="B1018" s="2" t="s">
        <v>12300</v>
      </c>
      <c r="C1018" s="2" t="s">
        <v>12301</v>
      </c>
      <c r="D1018" s="2" t="s">
        <v>12302</v>
      </c>
      <c r="E1018" s="3" t="s">
        <v>159</v>
      </c>
      <c r="F1018" s="3" t="s">
        <v>70</v>
      </c>
      <c r="G1018" s="3" t="s">
        <v>60</v>
      </c>
      <c r="H1018" s="3" t="s">
        <v>59</v>
      </c>
      <c r="I1018" s="3" t="s">
        <v>59</v>
      </c>
      <c r="J1018" s="3" t="s">
        <v>61</v>
      </c>
      <c r="L1018" s="2" t="s">
        <v>12303</v>
      </c>
      <c r="M1018" s="3" t="s">
        <v>333</v>
      </c>
      <c r="O1018" s="3" t="s">
        <v>64</v>
      </c>
      <c r="P1018" s="3" t="s">
        <v>65</v>
      </c>
      <c r="Q1018" s="2" t="s">
        <v>12304</v>
      </c>
      <c r="R1018" s="3" t="s">
        <v>11989</v>
      </c>
      <c r="S1018" s="4">
        <v>1</v>
      </c>
      <c r="T1018" s="4">
        <v>6</v>
      </c>
      <c r="U1018" s="5" t="s">
        <v>12306</v>
      </c>
      <c r="V1018" s="5" t="s">
        <v>12283</v>
      </c>
      <c r="W1018" s="5" t="s">
        <v>12255</v>
      </c>
      <c r="X1018" s="5" t="s">
        <v>12305</v>
      </c>
      <c r="Y1018" s="4">
        <v>311</v>
      </c>
      <c r="Z1018" s="4">
        <v>244</v>
      </c>
      <c r="AA1018" s="4">
        <v>249</v>
      </c>
      <c r="AB1018" s="4">
        <v>3</v>
      </c>
      <c r="AC1018" s="4">
        <v>3</v>
      </c>
      <c r="AD1018" s="4">
        <v>9</v>
      </c>
      <c r="AE1018" s="4">
        <v>9</v>
      </c>
      <c r="AF1018" s="4">
        <v>1</v>
      </c>
      <c r="AG1018" s="4">
        <v>1</v>
      </c>
      <c r="AH1018" s="4">
        <v>2</v>
      </c>
      <c r="AI1018" s="4">
        <v>2</v>
      </c>
      <c r="AJ1018" s="4">
        <v>5</v>
      </c>
      <c r="AK1018" s="4">
        <v>5</v>
      </c>
      <c r="AL1018" s="4">
        <v>2</v>
      </c>
      <c r="AM1018" s="4">
        <v>2</v>
      </c>
      <c r="AN1018" s="4">
        <v>0</v>
      </c>
      <c r="AO1018" s="4">
        <v>0</v>
      </c>
      <c r="AP1018" s="3" t="s">
        <v>59</v>
      </c>
      <c r="AQ1018" s="3" t="s">
        <v>70</v>
      </c>
      <c r="AR1018" s="6" t="str">
        <f>HYPERLINK("http://catalog.hathitrust.org/Record/000372273","HathiTrust Record")</f>
        <v>HathiTrust Record</v>
      </c>
      <c r="AS1018" s="6" t="str">
        <f>HYPERLINK("https://creighton-primo.hosted.exlibrisgroup.com/primo-explore/search?tab=default_tab&amp;search_scope=EVERYTHING&amp;vid=01CRU&amp;lang=en_US&amp;offset=0&amp;query=any,contains,991000860519702656","Catalog Record")</f>
        <v>Catalog Record</v>
      </c>
      <c r="AT1018" s="6" t="str">
        <f>HYPERLINK("http://www.worldcat.org/oclc/11468311","WorldCat Record")</f>
        <v>WorldCat Record</v>
      </c>
    </row>
    <row r="1019" spans="1:46" ht="48" customHeight="1" x14ac:dyDescent="0.25">
      <c r="A1019" s="7" t="s">
        <v>59</v>
      </c>
      <c r="B1019" s="2" t="s">
        <v>12300</v>
      </c>
      <c r="C1019" s="2" t="s">
        <v>12301</v>
      </c>
      <c r="D1019" s="2" t="s">
        <v>12302</v>
      </c>
      <c r="E1019" s="3" t="s">
        <v>12274</v>
      </c>
      <c r="F1019" s="3" t="s">
        <v>70</v>
      </c>
      <c r="G1019" s="3" t="s">
        <v>60</v>
      </c>
      <c r="H1019" s="3" t="s">
        <v>70</v>
      </c>
      <c r="I1019" s="3" t="s">
        <v>59</v>
      </c>
      <c r="J1019" s="3" t="s">
        <v>61</v>
      </c>
      <c r="L1019" s="2" t="s">
        <v>12303</v>
      </c>
      <c r="M1019" s="3" t="s">
        <v>333</v>
      </c>
      <c r="O1019" s="3" t="s">
        <v>64</v>
      </c>
      <c r="P1019" s="3" t="s">
        <v>65</v>
      </c>
      <c r="Q1019" s="2" t="s">
        <v>12304</v>
      </c>
      <c r="R1019" s="3" t="s">
        <v>11989</v>
      </c>
      <c r="S1019" s="4">
        <v>3</v>
      </c>
      <c r="T1019" s="4">
        <v>6</v>
      </c>
      <c r="U1019" s="5" t="s">
        <v>12307</v>
      </c>
      <c r="V1019" s="5" t="s">
        <v>12283</v>
      </c>
      <c r="W1019" s="5" t="s">
        <v>12305</v>
      </c>
      <c r="X1019" s="5" t="s">
        <v>12305</v>
      </c>
      <c r="Y1019" s="4">
        <v>311</v>
      </c>
      <c r="Z1019" s="4">
        <v>244</v>
      </c>
      <c r="AA1019" s="4">
        <v>249</v>
      </c>
      <c r="AB1019" s="4">
        <v>3</v>
      </c>
      <c r="AC1019" s="4">
        <v>3</v>
      </c>
      <c r="AD1019" s="4">
        <v>9</v>
      </c>
      <c r="AE1019" s="4">
        <v>9</v>
      </c>
      <c r="AF1019" s="4">
        <v>1</v>
      </c>
      <c r="AG1019" s="4">
        <v>1</v>
      </c>
      <c r="AH1019" s="4">
        <v>2</v>
      </c>
      <c r="AI1019" s="4">
        <v>2</v>
      </c>
      <c r="AJ1019" s="4">
        <v>5</v>
      </c>
      <c r="AK1019" s="4">
        <v>5</v>
      </c>
      <c r="AL1019" s="4">
        <v>2</v>
      </c>
      <c r="AM1019" s="4">
        <v>2</v>
      </c>
      <c r="AN1019" s="4">
        <v>0</v>
      </c>
      <c r="AO1019" s="4">
        <v>0</v>
      </c>
      <c r="AP1019" s="3" t="s">
        <v>59</v>
      </c>
      <c r="AQ1019" s="3" t="s">
        <v>70</v>
      </c>
      <c r="AR1019" s="6" t="str">
        <f>HYPERLINK("http://catalog.hathitrust.org/Record/000372273","HathiTrust Record")</f>
        <v>HathiTrust Record</v>
      </c>
      <c r="AS1019" s="6" t="str">
        <f>HYPERLINK("https://creighton-primo.hosted.exlibrisgroup.com/primo-explore/search?tab=default_tab&amp;search_scope=EVERYTHING&amp;vid=01CRU&amp;lang=en_US&amp;offset=0&amp;query=any,contains,991000860519702656","Catalog Record")</f>
        <v>Catalog Record</v>
      </c>
      <c r="AT1019" s="6" t="str">
        <f>HYPERLINK("http://www.worldcat.org/oclc/11468311","WorldCat Record")</f>
        <v>WorldCat Record</v>
      </c>
    </row>
    <row r="1020" spans="1:46" ht="48" customHeight="1" x14ac:dyDescent="0.25">
      <c r="A1020" s="7" t="s">
        <v>59</v>
      </c>
      <c r="B1020" s="2" t="s">
        <v>12308</v>
      </c>
      <c r="C1020" s="2" t="s">
        <v>12309</v>
      </c>
      <c r="D1020" s="2" t="s">
        <v>12310</v>
      </c>
      <c r="E1020" s="3" t="s">
        <v>2280</v>
      </c>
      <c r="F1020" s="3" t="s">
        <v>59</v>
      </c>
      <c r="G1020" s="3" t="s">
        <v>60</v>
      </c>
      <c r="H1020" s="3" t="s">
        <v>59</v>
      </c>
      <c r="I1020" s="3" t="s">
        <v>59</v>
      </c>
      <c r="J1020" s="3" t="s">
        <v>61</v>
      </c>
      <c r="L1020" s="2" t="s">
        <v>12311</v>
      </c>
      <c r="M1020" s="3" t="s">
        <v>190</v>
      </c>
      <c r="O1020" s="3" t="s">
        <v>64</v>
      </c>
      <c r="P1020" s="3" t="s">
        <v>65</v>
      </c>
      <c r="Q1020" s="2" t="s">
        <v>12312</v>
      </c>
      <c r="R1020" s="3" t="s">
        <v>11989</v>
      </c>
      <c r="S1020" s="4">
        <v>6</v>
      </c>
      <c r="T1020" s="4">
        <v>6</v>
      </c>
      <c r="U1020" s="5" t="s">
        <v>12313</v>
      </c>
      <c r="V1020" s="5" t="s">
        <v>12313</v>
      </c>
      <c r="W1020" s="5" t="s">
        <v>12255</v>
      </c>
      <c r="X1020" s="5" t="s">
        <v>12255</v>
      </c>
      <c r="Y1020" s="4">
        <v>77</v>
      </c>
      <c r="Z1020" s="4">
        <v>61</v>
      </c>
      <c r="AA1020" s="4">
        <v>62</v>
      </c>
      <c r="AB1020" s="4">
        <v>1</v>
      </c>
      <c r="AC1020" s="4">
        <v>1</v>
      </c>
      <c r="AD1020" s="4">
        <v>2</v>
      </c>
      <c r="AE1020" s="4">
        <v>2</v>
      </c>
      <c r="AF1020" s="4">
        <v>1</v>
      </c>
      <c r="AG1020" s="4">
        <v>1</v>
      </c>
      <c r="AH1020" s="4">
        <v>1</v>
      </c>
      <c r="AI1020" s="4">
        <v>1</v>
      </c>
      <c r="AJ1020" s="4">
        <v>0</v>
      </c>
      <c r="AK1020" s="4">
        <v>0</v>
      </c>
      <c r="AL1020" s="4">
        <v>0</v>
      </c>
      <c r="AM1020" s="4">
        <v>0</v>
      </c>
      <c r="AN1020" s="4">
        <v>0</v>
      </c>
      <c r="AO1020" s="4">
        <v>0</v>
      </c>
      <c r="AP1020" s="3" t="s">
        <v>59</v>
      </c>
      <c r="AQ1020" s="3" t="s">
        <v>59</v>
      </c>
      <c r="AS1020" s="6" t="str">
        <f>HYPERLINK("https://creighton-primo.hosted.exlibrisgroup.com/primo-explore/search?tab=default_tab&amp;search_scope=EVERYTHING&amp;vid=01CRU&amp;lang=en_US&amp;offset=0&amp;query=any,contains,991001280769702656","Catalog Record")</f>
        <v>Catalog Record</v>
      </c>
      <c r="AT1020" s="6" t="str">
        <f>HYPERLINK("http://www.worldcat.org/oclc/14286669","WorldCat Record")</f>
        <v>WorldCat Record</v>
      </c>
    </row>
    <row r="1021" spans="1:46" ht="48" customHeight="1" x14ac:dyDescent="0.25">
      <c r="A1021" s="7" t="s">
        <v>59</v>
      </c>
      <c r="B1021" s="2" t="s">
        <v>12314</v>
      </c>
      <c r="C1021" s="2" t="s">
        <v>12315</v>
      </c>
      <c r="D1021" s="2" t="s">
        <v>12316</v>
      </c>
      <c r="E1021" s="3" t="s">
        <v>12287</v>
      </c>
      <c r="F1021" s="3" t="s">
        <v>70</v>
      </c>
      <c r="G1021" s="3" t="s">
        <v>60</v>
      </c>
      <c r="H1021" s="3" t="s">
        <v>59</v>
      </c>
      <c r="I1021" s="3" t="s">
        <v>59</v>
      </c>
      <c r="J1021" s="3" t="s">
        <v>61</v>
      </c>
      <c r="L1021" s="2" t="s">
        <v>12317</v>
      </c>
      <c r="M1021" s="3" t="s">
        <v>190</v>
      </c>
      <c r="O1021" s="3" t="s">
        <v>64</v>
      </c>
      <c r="P1021" s="3" t="s">
        <v>65</v>
      </c>
      <c r="Q1021" s="2" t="s">
        <v>12318</v>
      </c>
      <c r="R1021" s="3" t="s">
        <v>11989</v>
      </c>
      <c r="S1021" s="4">
        <v>7</v>
      </c>
      <c r="T1021" s="4">
        <v>13</v>
      </c>
      <c r="U1021" s="5" t="s">
        <v>12319</v>
      </c>
      <c r="V1021" s="5" t="s">
        <v>4030</v>
      </c>
      <c r="W1021" s="5" t="s">
        <v>12255</v>
      </c>
      <c r="X1021" s="5" t="s">
        <v>12255</v>
      </c>
      <c r="Y1021" s="4">
        <v>56</v>
      </c>
      <c r="Z1021" s="4">
        <v>42</v>
      </c>
      <c r="AA1021" s="4">
        <v>43</v>
      </c>
      <c r="AB1021" s="4">
        <v>1</v>
      </c>
      <c r="AC1021" s="4">
        <v>1</v>
      </c>
      <c r="AD1021" s="4">
        <v>1</v>
      </c>
      <c r="AE1021" s="4">
        <v>1</v>
      </c>
      <c r="AF1021" s="4">
        <v>0</v>
      </c>
      <c r="AG1021" s="4">
        <v>0</v>
      </c>
      <c r="AH1021" s="4">
        <v>1</v>
      </c>
      <c r="AI1021" s="4">
        <v>1</v>
      </c>
      <c r="AJ1021" s="4">
        <v>0</v>
      </c>
      <c r="AK1021" s="4">
        <v>0</v>
      </c>
      <c r="AL1021" s="4">
        <v>0</v>
      </c>
      <c r="AM1021" s="4">
        <v>0</v>
      </c>
      <c r="AN1021" s="4">
        <v>0</v>
      </c>
      <c r="AO1021" s="4">
        <v>0</v>
      </c>
      <c r="AP1021" s="3" t="s">
        <v>59</v>
      </c>
      <c r="AQ1021" s="3" t="s">
        <v>59</v>
      </c>
      <c r="AS1021" s="6" t="str">
        <f>HYPERLINK("https://creighton-primo.hosted.exlibrisgroup.com/primo-explore/search?tab=default_tab&amp;search_scope=EVERYTHING&amp;vid=01CRU&amp;lang=en_US&amp;offset=0&amp;query=any,contains,991000764439702656","Catalog Record")</f>
        <v>Catalog Record</v>
      </c>
      <c r="AT1021" s="6" t="str">
        <f>HYPERLINK("http://www.worldcat.org/oclc/13612665","WorldCat Record")</f>
        <v>WorldCat Record</v>
      </c>
    </row>
    <row r="1022" spans="1:46" ht="48" customHeight="1" x14ac:dyDescent="0.25">
      <c r="A1022" s="7" t="s">
        <v>59</v>
      </c>
      <c r="B1022" s="2" t="s">
        <v>12314</v>
      </c>
      <c r="C1022" s="2" t="s">
        <v>12315</v>
      </c>
      <c r="D1022" s="2" t="s">
        <v>12316</v>
      </c>
      <c r="E1022" s="3" t="s">
        <v>12291</v>
      </c>
      <c r="F1022" s="3" t="s">
        <v>70</v>
      </c>
      <c r="G1022" s="3" t="s">
        <v>60</v>
      </c>
      <c r="H1022" s="3" t="s">
        <v>59</v>
      </c>
      <c r="I1022" s="3" t="s">
        <v>59</v>
      </c>
      <c r="J1022" s="3" t="s">
        <v>61</v>
      </c>
      <c r="L1022" s="2" t="s">
        <v>12317</v>
      </c>
      <c r="M1022" s="3" t="s">
        <v>190</v>
      </c>
      <c r="O1022" s="3" t="s">
        <v>64</v>
      </c>
      <c r="P1022" s="3" t="s">
        <v>65</v>
      </c>
      <c r="Q1022" s="2" t="s">
        <v>12318</v>
      </c>
      <c r="R1022" s="3" t="s">
        <v>11989</v>
      </c>
      <c r="S1022" s="4">
        <v>6</v>
      </c>
      <c r="T1022" s="4">
        <v>13</v>
      </c>
      <c r="U1022" s="5" t="s">
        <v>4030</v>
      </c>
      <c r="V1022" s="5" t="s">
        <v>4030</v>
      </c>
      <c r="W1022" s="5" t="s">
        <v>12255</v>
      </c>
      <c r="X1022" s="5" t="s">
        <v>12255</v>
      </c>
      <c r="Y1022" s="4">
        <v>56</v>
      </c>
      <c r="Z1022" s="4">
        <v>42</v>
      </c>
      <c r="AA1022" s="4">
        <v>43</v>
      </c>
      <c r="AB1022" s="4">
        <v>1</v>
      </c>
      <c r="AC1022" s="4">
        <v>1</v>
      </c>
      <c r="AD1022" s="4">
        <v>1</v>
      </c>
      <c r="AE1022" s="4">
        <v>1</v>
      </c>
      <c r="AF1022" s="4">
        <v>0</v>
      </c>
      <c r="AG1022" s="4">
        <v>0</v>
      </c>
      <c r="AH1022" s="4">
        <v>1</v>
      </c>
      <c r="AI1022" s="4">
        <v>1</v>
      </c>
      <c r="AJ1022" s="4">
        <v>0</v>
      </c>
      <c r="AK1022" s="4">
        <v>0</v>
      </c>
      <c r="AL1022" s="4">
        <v>0</v>
      </c>
      <c r="AM1022" s="4">
        <v>0</v>
      </c>
      <c r="AN1022" s="4">
        <v>0</v>
      </c>
      <c r="AO1022" s="4">
        <v>0</v>
      </c>
      <c r="AP1022" s="3" t="s">
        <v>59</v>
      </c>
      <c r="AQ1022" s="3" t="s">
        <v>59</v>
      </c>
      <c r="AS1022" s="6" t="str">
        <f>HYPERLINK("https://creighton-primo.hosted.exlibrisgroup.com/primo-explore/search?tab=default_tab&amp;search_scope=EVERYTHING&amp;vid=01CRU&amp;lang=en_US&amp;offset=0&amp;query=any,contains,991000764439702656","Catalog Record")</f>
        <v>Catalog Record</v>
      </c>
      <c r="AT1022" s="6" t="str">
        <f>HYPERLINK("http://www.worldcat.org/oclc/13612665","WorldCat Record")</f>
        <v>WorldCat Record</v>
      </c>
    </row>
    <row r="1023" spans="1:46" ht="48" customHeight="1" x14ac:dyDescent="0.25">
      <c r="A1023" s="7" t="s">
        <v>59</v>
      </c>
      <c r="B1023" s="2" t="s">
        <v>12320</v>
      </c>
      <c r="C1023" s="2" t="s">
        <v>12321</v>
      </c>
      <c r="D1023" s="2" t="s">
        <v>12302</v>
      </c>
      <c r="E1023" s="3" t="s">
        <v>12277</v>
      </c>
      <c r="F1023" s="3" t="s">
        <v>70</v>
      </c>
      <c r="G1023" s="3" t="s">
        <v>3645</v>
      </c>
      <c r="H1023" s="3" t="s">
        <v>70</v>
      </c>
      <c r="I1023" s="3" t="s">
        <v>59</v>
      </c>
      <c r="J1023" s="3" t="s">
        <v>61</v>
      </c>
      <c r="L1023" s="2" t="s">
        <v>12303</v>
      </c>
      <c r="M1023" s="3" t="s">
        <v>333</v>
      </c>
      <c r="O1023" s="3" t="s">
        <v>64</v>
      </c>
      <c r="P1023" s="3" t="s">
        <v>65</v>
      </c>
      <c r="Q1023" s="2" t="s">
        <v>12304</v>
      </c>
      <c r="R1023" s="3" t="s">
        <v>11989</v>
      </c>
      <c r="S1023" s="4">
        <v>1</v>
      </c>
      <c r="T1023" s="4">
        <v>6</v>
      </c>
      <c r="U1023" s="5" t="s">
        <v>12283</v>
      </c>
      <c r="V1023" s="5" t="s">
        <v>12283</v>
      </c>
      <c r="W1023" s="5" t="s">
        <v>12255</v>
      </c>
      <c r="X1023" s="5" t="s">
        <v>12305</v>
      </c>
      <c r="Y1023" s="4">
        <v>311</v>
      </c>
      <c r="Z1023" s="4">
        <v>244</v>
      </c>
      <c r="AA1023" s="4">
        <v>249</v>
      </c>
      <c r="AB1023" s="4">
        <v>3</v>
      </c>
      <c r="AC1023" s="4">
        <v>3</v>
      </c>
      <c r="AD1023" s="4">
        <v>9</v>
      </c>
      <c r="AE1023" s="4">
        <v>9</v>
      </c>
      <c r="AF1023" s="4">
        <v>1</v>
      </c>
      <c r="AG1023" s="4">
        <v>1</v>
      </c>
      <c r="AH1023" s="4">
        <v>2</v>
      </c>
      <c r="AI1023" s="4">
        <v>2</v>
      </c>
      <c r="AJ1023" s="4">
        <v>5</v>
      </c>
      <c r="AK1023" s="4">
        <v>5</v>
      </c>
      <c r="AL1023" s="4">
        <v>2</v>
      </c>
      <c r="AM1023" s="4">
        <v>2</v>
      </c>
      <c r="AN1023" s="4">
        <v>0</v>
      </c>
      <c r="AO1023" s="4">
        <v>0</v>
      </c>
      <c r="AP1023" s="3" t="s">
        <v>59</v>
      </c>
      <c r="AQ1023" s="3" t="s">
        <v>70</v>
      </c>
      <c r="AR1023" s="6" t="str">
        <f>HYPERLINK("http://catalog.hathitrust.org/Record/000372273","HathiTrust Record")</f>
        <v>HathiTrust Record</v>
      </c>
      <c r="AS1023" s="6" t="str">
        <f>HYPERLINK("https://creighton-primo.hosted.exlibrisgroup.com/primo-explore/search?tab=default_tab&amp;search_scope=EVERYTHING&amp;vid=01CRU&amp;lang=en_US&amp;offset=0&amp;query=any,contains,991000860519702656","Catalog Record")</f>
        <v>Catalog Record</v>
      </c>
      <c r="AT1023" s="6" t="str">
        <f>HYPERLINK("http://www.worldcat.org/oclc/11468311","WorldCat Record")</f>
        <v>WorldCat Record</v>
      </c>
    </row>
    <row r="1024" spans="1:46" ht="48" customHeight="1" x14ac:dyDescent="0.25">
      <c r="A1024" s="7" t="s">
        <v>59</v>
      </c>
      <c r="B1024" s="2" t="s">
        <v>12320</v>
      </c>
      <c r="C1024" s="2" t="s">
        <v>12321</v>
      </c>
      <c r="D1024" s="2" t="s">
        <v>12302</v>
      </c>
      <c r="E1024" s="3" t="s">
        <v>12277</v>
      </c>
      <c r="F1024" s="3" t="s">
        <v>70</v>
      </c>
      <c r="G1024" s="3" t="s">
        <v>60</v>
      </c>
      <c r="H1024" s="3" t="s">
        <v>70</v>
      </c>
      <c r="I1024" s="3" t="s">
        <v>59</v>
      </c>
      <c r="J1024" s="3" t="s">
        <v>61</v>
      </c>
      <c r="L1024" s="2" t="s">
        <v>12303</v>
      </c>
      <c r="M1024" s="3" t="s">
        <v>333</v>
      </c>
      <c r="O1024" s="3" t="s">
        <v>64</v>
      </c>
      <c r="P1024" s="3" t="s">
        <v>65</v>
      </c>
      <c r="Q1024" s="2" t="s">
        <v>12304</v>
      </c>
      <c r="R1024" s="3" t="s">
        <v>11989</v>
      </c>
      <c r="S1024" s="4">
        <v>0</v>
      </c>
      <c r="T1024" s="4">
        <v>6</v>
      </c>
      <c r="V1024" s="5" t="s">
        <v>12283</v>
      </c>
      <c r="W1024" s="5" t="s">
        <v>12305</v>
      </c>
      <c r="X1024" s="5" t="s">
        <v>12305</v>
      </c>
      <c r="Y1024" s="4">
        <v>311</v>
      </c>
      <c r="Z1024" s="4">
        <v>244</v>
      </c>
      <c r="AA1024" s="4">
        <v>249</v>
      </c>
      <c r="AB1024" s="4">
        <v>3</v>
      </c>
      <c r="AC1024" s="4">
        <v>3</v>
      </c>
      <c r="AD1024" s="4">
        <v>9</v>
      </c>
      <c r="AE1024" s="4">
        <v>9</v>
      </c>
      <c r="AF1024" s="4">
        <v>1</v>
      </c>
      <c r="AG1024" s="4">
        <v>1</v>
      </c>
      <c r="AH1024" s="4">
        <v>2</v>
      </c>
      <c r="AI1024" s="4">
        <v>2</v>
      </c>
      <c r="AJ1024" s="4">
        <v>5</v>
      </c>
      <c r="AK1024" s="4">
        <v>5</v>
      </c>
      <c r="AL1024" s="4">
        <v>2</v>
      </c>
      <c r="AM1024" s="4">
        <v>2</v>
      </c>
      <c r="AN1024" s="4">
        <v>0</v>
      </c>
      <c r="AO1024" s="4">
        <v>0</v>
      </c>
      <c r="AP1024" s="3" t="s">
        <v>59</v>
      </c>
      <c r="AQ1024" s="3" t="s">
        <v>70</v>
      </c>
      <c r="AR1024" s="6" t="str">
        <f>HYPERLINK("http://catalog.hathitrust.org/Record/000372273","HathiTrust Record")</f>
        <v>HathiTrust Record</v>
      </c>
      <c r="AS1024" s="6" t="str">
        <f>HYPERLINK("https://creighton-primo.hosted.exlibrisgroup.com/primo-explore/search?tab=default_tab&amp;search_scope=EVERYTHING&amp;vid=01CRU&amp;lang=en_US&amp;offset=0&amp;query=any,contains,991000860519702656","Catalog Record")</f>
        <v>Catalog Record</v>
      </c>
      <c r="AT1024" s="6" t="str">
        <f>HYPERLINK("http://www.worldcat.org/oclc/11468311","WorldCat Record")</f>
        <v>WorldCat Record</v>
      </c>
    </row>
    <row r="1025" spans="1:46" ht="48" customHeight="1" x14ac:dyDescent="0.25">
      <c r="A1025" s="7" t="s">
        <v>59</v>
      </c>
      <c r="B1025" s="2" t="s">
        <v>12322</v>
      </c>
      <c r="C1025" s="2" t="s">
        <v>12323</v>
      </c>
      <c r="D1025" s="2" t="s">
        <v>12324</v>
      </c>
      <c r="E1025" s="3" t="s">
        <v>12325</v>
      </c>
      <c r="F1025" s="3" t="s">
        <v>70</v>
      </c>
      <c r="G1025" s="3" t="s">
        <v>60</v>
      </c>
      <c r="H1025" s="3" t="s">
        <v>59</v>
      </c>
      <c r="I1025" s="3" t="s">
        <v>59</v>
      </c>
      <c r="J1025" s="3" t="s">
        <v>61</v>
      </c>
      <c r="L1025" s="2" t="s">
        <v>12326</v>
      </c>
      <c r="M1025" s="3" t="s">
        <v>113</v>
      </c>
      <c r="O1025" s="3" t="s">
        <v>64</v>
      </c>
      <c r="P1025" s="3" t="s">
        <v>65</v>
      </c>
      <c r="Q1025" s="2" t="s">
        <v>12327</v>
      </c>
      <c r="R1025" s="3" t="s">
        <v>11989</v>
      </c>
      <c r="S1025" s="4">
        <v>2</v>
      </c>
      <c r="T1025" s="4">
        <v>3</v>
      </c>
      <c r="U1025" s="5" t="s">
        <v>12313</v>
      </c>
      <c r="V1025" s="5" t="s">
        <v>12313</v>
      </c>
      <c r="W1025" s="5" t="s">
        <v>12328</v>
      </c>
      <c r="X1025" s="5" t="s">
        <v>12328</v>
      </c>
      <c r="Y1025" s="4">
        <v>50</v>
      </c>
      <c r="Z1025" s="4">
        <v>46</v>
      </c>
      <c r="AA1025" s="4">
        <v>47</v>
      </c>
      <c r="AB1025" s="4">
        <v>1</v>
      </c>
      <c r="AC1025" s="4">
        <v>1</v>
      </c>
      <c r="AD1025" s="4">
        <v>1</v>
      </c>
      <c r="AE1025" s="4">
        <v>1</v>
      </c>
      <c r="AF1025" s="4">
        <v>0</v>
      </c>
      <c r="AG1025" s="4">
        <v>0</v>
      </c>
      <c r="AH1025" s="4">
        <v>1</v>
      </c>
      <c r="AI1025" s="4">
        <v>1</v>
      </c>
      <c r="AJ1025" s="4">
        <v>0</v>
      </c>
      <c r="AK1025" s="4">
        <v>0</v>
      </c>
      <c r="AL1025" s="4">
        <v>0</v>
      </c>
      <c r="AM1025" s="4">
        <v>0</v>
      </c>
      <c r="AN1025" s="4">
        <v>0</v>
      </c>
      <c r="AO1025" s="4">
        <v>0</v>
      </c>
      <c r="AP1025" s="3" t="s">
        <v>59</v>
      </c>
      <c r="AQ1025" s="3" t="s">
        <v>59</v>
      </c>
      <c r="AS1025" s="6" t="str">
        <f>HYPERLINK("https://creighton-primo.hosted.exlibrisgroup.com/primo-explore/search?tab=default_tab&amp;search_scope=EVERYTHING&amp;vid=01CRU&amp;lang=en_US&amp;offset=0&amp;query=any,contains,991001532419702656","Catalog Record")</f>
        <v>Catalog Record</v>
      </c>
      <c r="AT1025" s="6" t="str">
        <f>HYPERLINK("http://www.worldcat.org/oclc/16850191","WorldCat Record")</f>
        <v>WorldCat Record</v>
      </c>
    </row>
    <row r="1026" spans="1:46" ht="48" customHeight="1" x14ac:dyDescent="0.25">
      <c r="A1026" s="7" t="s">
        <v>59</v>
      </c>
      <c r="B1026" s="2" t="s">
        <v>12322</v>
      </c>
      <c r="C1026" s="2" t="s">
        <v>12323</v>
      </c>
      <c r="D1026" s="2" t="s">
        <v>12324</v>
      </c>
      <c r="E1026" s="3" t="s">
        <v>12329</v>
      </c>
      <c r="F1026" s="3" t="s">
        <v>70</v>
      </c>
      <c r="G1026" s="3" t="s">
        <v>60</v>
      </c>
      <c r="H1026" s="3" t="s">
        <v>59</v>
      </c>
      <c r="I1026" s="3" t="s">
        <v>59</v>
      </c>
      <c r="J1026" s="3" t="s">
        <v>61</v>
      </c>
      <c r="L1026" s="2" t="s">
        <v>12326</v>
      </c>
      <c r="M1026" s="3" t="s">
        <v>113</v>
      </c>
      <c r="O1026" s="3" t="s">
        <v>64</v>
      </c>
      <c r="P1026" s="3" t="s">
        <v>65</v>
      </c>
      <c r="Q1026" s="2" t="s">
        <v>12327</v>
      </c>
      <c r="R1026" s="3" t="s">
        <v>11989</v>
      </c>
      <c r="S1026" s="4">
        <v>1</v>
      </c>
      <c r="T1026" s="4">
        <v>3</v>
      </c>
      <c r="V1026" s="5" t="s">
        <v>12313</v>
      </c>
      <c r="W1026" s="5" t="s">
        <v>12328</v>
      </c>
      <c r="X1026" s="5" t="s">
        <v>12328</v>
      </c>
      <c r="Y1026" s="4">
        <v>50</v>
      </c>
      <c r="Z1026" s="4">
        <v>46</v>
      </c>
      <c r="AA1026" s="4">
        <v>47</v>
      </c>
      <c r="AB1026" s="4">
        <v>1</v>
      </c>
      <c r="AC1026" s="4">
        <v>1</v>
      </c>
      <c r="AD1026" s="4">
        <v>1</v>
      </c>
      <c r="AE1026" s="4">
        <v>1</v>
      </c>
      <c r="AF1026" s="4">
        <v>0</v>
      </c>
      <c r="AG1026" s="4">
        <v>0</v>
      </c>
      <c r="AH1026" s="4">
        <v>1</v>
      </c>
      <c r="AI1026" s="4">
        <v>1</v>
      </c>
      <c r="AJ1026" s="4">
        <v>0</v>
      </c>
      <c r="AK1026" s="4">
        <v>0</v>
      </c>
      <c r="AL1026" s="4">
        <v>0</v>
      </c>
      <c r="AM1026" s="4">
        <v>0</v>
      </c>
      <c r="AN1026" s="4">
        <v>0</v>
      </c>
      <c r="AO1026" s="4">
        <v>0</v>
      </c>
      <c r="AP1026" s="3" t="s">
        <v>59</v>
      </c>
      <c r="AQ1026" s="3" t="s">
        <v>59</v>
      </c>
      <c r="AS1026" s="6" t="str">
        <f>HYPERLINK("https://creighton-primo.hosted.exlibrisgroup.com/primo-explore/search?tab=default_tab&amp;search_scope=EVERYTHING&amp;vid=01CRU&amp;lang=en_US&amp;offset=0&amp;query=any,contains,991001532419702656","Catalog Record")</f>
        <v>Catalog Record</v>
      </c>
      <c r="AT1026" s="6" t="str">
        <f>HYPERLINK("http://www.worldcat.org/oclc/16850191","WorldCat Record")</f>
        <v>WorldCat Record</v>
      </c>
    </row>
    <row r="1027" spans="1:46" ht="48" customHeight="1" x14ac:dyDescent="0.25">
      <c r="A1027" s="7" t="s">
        <v>59</v>
      </c>
      <c r="B1027" s="2" t="s">
        <v>12330</v>
      </c>
      <c r="C1027" s="2" t="s">
        <v>12331</v>
      </c>
      <c r="D1027" s="2" t="s">
        <v>12332</v>
      </c>
      <c r="E1027" s="3" t="s">
        <v>2280</v>
      </c>
      <c r="F1027" s="3" t="s">
        <v>59</v>
      </c>
      <c r="G1027" s="3" t="s">
        <v>60</v>
      </c>
      <c r="H1027" s="3" t="s">
        <v>59</v>
      </c>
      <c r="I1027" s="3" t="s">
        <v>59</v>
      </c>
      <c r="J1027" s="3" t="s">
        <v>61</v>
      </c>
      <c r="L1027" s="2" t="s">
        <v>12333</v>
      </c>
      <c r="M1027" s="3" t="s">
        <v>113</v>
      </c>
      <c r="O1027" s="3" t="s">
        <v>64</v>
      </c>
      <c r="P1027" s="3" t="s">
        <v>65</v>
      </c>
      <c r="Q1027" s="2" t="s">
        <v>12334</v>
      </c>
      <c r="R1027" s="3" t="s">
        <v>11989</v>
      </c>
      <c r="S1027" s="4">
        <v>3</v>
      </c>
      <c r="T1027" s="4">
        <v>3</v>
      </c>
      <c r="U1027" s="5" t="s">
        <v>12306</v>
      </c>
      <c r="V1027" s="5" t="s">
        <v>12306</v>
      </c>
      <c r="W1027" s="5" t="s">
        <v>12335</v>
      </c>
      <c r="X1027" s="5" t="s">
        <v>12335</v>
      </c>
      <c r="Y1027" s="4">
        <v>56</v>
      </c>
      <c r="Z1027" s="4">
        <v>46</v>
      </c>
      <c r="AA1027" s="4">
        <v>47</v>
      </c>
      <c r="AB1027" s="4">
        <v>1</v>
      </c>
      <c r="AC1027" s="4">
        <v>1</v>
      </c>
      <c r="AD1027" s="4">
        <v>1</v>
      </c>
      <c r="AE1027" s="4">
        <v>1</v>
      </c>
      <c r="AF1027" s="4">
        <v>0</v>
      </c>
      <c r="AG1027" s="4">
        <v>0</v>
      </c>
      <c r="AH1027" s="4">
        <v>1</v>
      </c>
      <c r="AI1027" s="4">
        <v>1</v>
      </c>
      <c r="AJ1027" s="4">
        <v>0</v>
      </c>
      <c r="AK1027" s="4">
        <v>0</v>
      </c>
      <c r="AL1027" s="4">
        <v>0</v>
      </c>
      <c r="AM1027" s="4">
        <v>0</v>
      </c>
      <c r="AN1027" s="4">
        <v>0</v>
      </c>
      <c r="AO1027" s="4">
        <v>0</v>
      </c>
      <c r="AP1027" s="3" t="s">
        <v>59</v>
      </c>
      <c r="AQ1027" s="3" t="s">
        <v>59</v>
      </c>
      <c r="AS1027" s="6" t="str">
        <f>HYPERLINK("https://creighton-primo.hosted.exlibrisgroup.com/primo-explore/search?tab=default_tab&amp;search_scope=EVERYTHING&amp;vid=01CRU&amp;lang=en_US&amp;offset=0&amp;query=any,contains,991001426649702656","Catalog Record")</f>
        <v>Catalog Record</v>
      </c>
      <c r="AT1027" s="6" t="str">
        <f>HYPERLINK("http://www.worldcat.org/oclc/15788727","WorldCat Record")</f>
        <v>WorldCat Record</v>
      </c>
    </row>
    <row r="1028" spans="1:46" ht="48" customHeight="1" x14ac:dyDescent="0.25">
      <c r="A1028" s="7" t="s">
        <v>59</v>
      </c>
      <c r="B1028" s="2" t="s">
        <v>12336</v>
      </c>
      <c r="C1028" s="2" t="s">
        <v>12337</v>
      </c>
      <c r="D1028" s="2" t="s">
        <v>12338</v>
      </c>
      <c r="E1028" s="3" t="s">
        <v>509</v>
      </c>
      <c r="F1028" s="3" t="s">
        <v>59</v>
      </c>
      <c r="G1028" s="3" t="s">
        <v>60</v>
      </c>
      <c r="H1028" s="3" t="s">
        <v>59</v>
      </c>
      <c r="I1028" s="3" t="s">
        <v>59</v>
      </c>
      <c r="J1028" s="3" t="s">
        <v>61</v>
      </c>
      <c r="L1028" s="2" t="s">
        <v>12339</v>
      </c>
      <c r="M1028" s="3" t="s">
        <v>234</v>
      </c>
      <c r="O1028" s="3" t="s">
        <v>64</v>
      </c>
      <c r="P1028" s="3" t="s">
        <v>65</v>
      </c>
      <c r="Q1028" s="2" t="s">
        <v>12340</v>
      </c>
      <c r="R1028" s="3" t="s">
        <v>11989</v>
      </c>
      <c r="S1028" s="4">
        <v>14</v>
      </c>
      <c r="T1028" s="4">
        <v>14</v>
      </c>
      <c r="U1028" s="5" t="s">
        <v>12341</v>
      </c>
      <c r="V1028" s="5" t="s">
        <v>12341</v>
      </c>
      <c r="W1028" s="5" t="s">
        <v>2457</v>
      </c>
      <c r="X1028" s="5" t="s">
        <v>2457</v>
      </c>
      <c r="Y1028" s="4">
        <v>31</v>
      </c>
      <c r="Z1028" s="4">
        <v>24</v>
      </c>
      <c r="AA1028" s="4">
        <v>27</v>
      </c>
      <c r="AB1028" s="4">
        <v>1</v>
      </c>
      <c r="AC1028" s="4">
        <v>1</v>
      </c>
      <c r="AD1028" s="4">
        <v>1</v>
      </c>
      <c r="AE1028" s="4">
        <v>1</v>
      </c>
      <c r="AF1028" s="4">
        <v>0</v>
      </c>
      <c r="AG1028" s="4">
        <v>0</v>
      </c>
      <c r="AH1028" s="4">
        <v>1</v>
      </c>
      <c r="AI1028" s="4">
        <v>1</v>
      </c>
      <c r="AJ1028" s="4">
        <v>0</v>
      </c>
      <c r="AK1028" s="4">
        <v>0</v>
      </c>
      <c r="AL1028" s="4">
        <v>0</v>
      </c>
      <c r="AM1028" s="4">
        <v>0</v>
      </c>
      <c r="AN1028" s="4">
        <v>0</v>
      </c>
      <c r="AO1028" s="4">
        <v>0</v>
      </c>
      <c r="AP1028" s="3" t="s">
        <v>59</v>
      </c>
      <c r="AQ1028" s="3" t="s">
        <v>59</v>
      </c>
      <c r="AS1028" s="6" t="str">
        <f>HYPERLINK("https://creighton-primo.hosted.exlibrisgroup.com/primo-explore/search?tab=default_tab&amp;search_scope=EVERYTHING&amp;vid=01CRU&amp;lang=en_US&amp;offset=0&amp;query=any,contains,991001448869702656","Catalog Record")</f>
        <v>Catalog Record</v>
      </c>
      <c r="AT1028" s="6" t="str">
        <f>HYPERLINK("http://www.worldcat.org/oclc/20619403","WorldCat Record")</f>
        <v>WorldCat Record</v>
      </c>
    </row>
    <row r="1029" spans="1:46" ht="48" customHeight="1" x14ac:dyDescent="0.25">
      <c r="A1029" s="7" t="s">
        <v>59</v>
      </c>
      <c r="B1029" s="2" t="s">
        <v>12342</v>
      </c>
      <c r="C1029" s="2" t="s">
        <v>12343</v>
      </c>
      <c r="D1029" s="2" t="s">
        <v>12344</v>
      </c>
      <c r="F1029" s="3" t="s">
        <v>59</v>
      </c>
      <c r="G1029" s="3" t="s">
        <v>60</v>
      </c>
      <c r="H1029" s="3" t="s">
        <v>59</v>
      </c>
      <c r="I1029" s="3" t="s">
        <v>59</v>
      </c>
      <c r="J1029" s="3" t="s">
        <v>61</v>
      </c>
      <c r="L1029" s="2" t="s">
        <v>12339</v>
      </c>
      <c r="M1029" s="3" t="s">
        <v>234</v>
      </c>
      <c r="N1029" s="2" t="s">
        <v>12345</v>
      </c>
      <c r="O1029" s="3" t="s">
        <v>64</v>
      </c>
      <c r="P1029" s="3" t="s">
        <v>65</v>
      </c>
      <c r="Q1029" s="2" t="s">
        <v>12346</v>
      </c>
      <c r="R1029" s="3" t="s">
        <v>11989</v>
      </c>
      <c r="S1029" s="4">
        <v>19</v>
      </c>
      <c r="T1029" s="4">
        <v>19</v>
      </c>
      <c r="U1029" s="5" t="s">
        <v>12341</v>
      </c>
      <c r="V1029" s="5" t="s">
        <v>12341</v>
      </c>
      <c r="W1029" s="5" t="s">
        <v>12347</v>
      </c>
      <c r="X1029" s="5" t="s">
        <v>12347</v>
      </c>
      <c r="Y1029" s="4">
        <v>39</v>
      </c>
      <c r="Z1029" s="4">
        <v>28</v>
      </c>
      <c r="AA1029" s="4">
        <v>30</v>
      </c>
      <c r="AB1029" s="4">
        <v>1</v>
      </c>
      <c r="AC1029" s="4">
        <v>1</v>
      </c>
      <c r="AD1029" s="4">
        <v>1</v>
      </c>
      <c r="AE1029" s="4">
        <v>1</v>
      </c>
      <c r="AF1029" s="4">
        <v>0</v>
      </c>
      <c r="AG1029" s="4">
        <v>0</v>
      </c>
      <c r="AH1029" s="4">
        <v>1</v>
      </c>
      <c r="AI1029" s="4">
        <v>1</v>
      </c>
      <c r="AJ1029" s="4">
        <v>0</v>
      </c>
      <c r="AK1029" s="4">
        <v>0</v>
      </c>
      <c r="AL1029" s="4">
        <v>0</v>
      </c>
      <c r="AM1029" s="4">
        <v>0</v>
      </c>
      <c r="AN1029" s="4">
        <v>0</v>
      </c>
      <c r="AO1029" s="4">
        <v>0</v>
      </c>
      <c r="AP1029" s="3" t="s">
        <v>59</v>
      </c>
      <c r="AQ1029" s="3" t="s">
        <v>59</v>
      </c>
      <c r="AS1029" s="6" t="str">
        <f>HYPERLINK("https://creighton-primo.hosted.exlibrisgroup.com/primo-explore/search?tab=default_tab&amp;search_scope=EVERYTHING&amp;vid=01CRU&amp;lang=en_US&amp;offset=0&amp;query=any,contains,991001322899702656","Catalog Record")</f>
        <v>Catalog Record</v>
      </c>
      <c r="AT1029" s="6" t="str">
        <f>HYPERLINK("http://www.worldcat.org/oclc/20507328","WorldCat Record")</f>
        <v>WorldCat Record</v>
      </c>
    </row>
    <row r="1030" spans="1:46" ht="48" customHeight="1" x14ac:dyDescent="0.25">
      <c r="A1030" s="7" t="s">
        <v>59</v>
      </c>
      <c r="B1030" s="2" t="s">
        <v>12348</v>
      </c>
      <c r="C1030" s="2" t="s">
        <v>12349</v>
      </c>
      <c r="D1030" s="2" t="s">
        <v>12350</v>
      </c>
      <c r="E1030" s="3" t="s">
        <v>2280</v>
      </c>
      <c r="F1030" s="3" t="s">
        <v>59</v>
      </c>
      <c r="G1030" s="3" t="s">
        <v>60</v>
      </c>
      <c r="H1030" s="3" t="s">
        <v>59</v>
      </c>
      <c r="I1030" s="3" t="s">
        <v>59</v>
      </c>
      <c r="J1030" s="3" t="s">
        <v>61</v>
      </c>
      <c r="L1030" s="2" t="s">
        <v>12351</v>
      </c>
      <c r="M1030" s="3" t="s">
        <v>897</v>
      </c>
      <c r="N1030" s="2" t="s">
        <v>12345</v>
      </c>
      <c r="O1030" s="3" t="s">
        <v>64</v>
      </c>
      <c r="P1030" s="3" t="s">
        <v>65</v>
      </c>
      <c r="Q1030" s="2" t="s">
        <v>12352</v>
      </c>
      <c r="R1030" s="3" t="s">
        <v>11989</v>
      </c>
      <c r="S1030" s="4">
        <v>10</v>
      </c>
      <c r="T1030" s="4">
        <v>10</v>
      </c>
      <c r="U1030" s="5" t="s">
        <v>12341</v>
      </c>
      <c r="V1030" s="5" t="s">
        <v>12341</v>
      </c>
      <c r="W1030" s="5" t="s">
        <v>12353</v>
      </c>
      <c r="X1030" s="5" t="s">
        <v>12353</v>
      </c>
      <c r="Y1030" s="4">
        <v>41</v>
      </c>
      <c r="Z1030" s="4">
        <v>32</v>
      </c>
      <c r="AA1030" s="4">
        <v>32</v>
      </c>
      <c r="AB1030" s="4">
        <v>1</v>
      </c>
      <c r="AC1030" s="4">
        <v>1</v>
      </c>
      <c r="AD1030" s="4">
        <v>0</v>
      </c>
      <c r="AE1030" s="4">
        <v>0</v>
      </c>
      <c r="AF1030" s="4">
        <v>0</v>
      </c>
      <c r="AG1030" s="4">
        <v>0</v>
      </c>
      <c r="AH1030" s="4">
        <v>0</v>
      </c>
      <c r="AI1030" s="4">
        <v>0</v>
      </c>
      <c r="AJ1030" s="4">
        <v>0</v>
      </c>
      <c r="AK1030" s="4">
        <v>0</v>
      </c>
      <c r="AL1030" s="4">
        <v>0</v>
      </c>
      <c r="AM1030" s="4">
        <v>0</v>
      </c>
      <c r="AN1030" s="4">
        <v>0</v>
      </c>
      <c r="AO1030" s="4">
        <v>0</v>
      </c>
      <c r="AP1030" s="3" t="s">
        <v>59</v>
      </c>
      <c r="AQ1030" s="3" t="s">
        <v>59</v>
      </c>
      <c r="AS1030" s="6" t="str">
        <f>HYPERLINK("https://creighton-primo.hosted.exlibrisgroup.com/primo-explore/search?tab=default_tab&amp;search_scope=EVERYTHING&amp;vid=01CRU&amp;lang=en_US&amp;offset=0&amp;query=any,contains,991000932849702656","Catalog Record")</f>
        <v>Catalog Record</v>
      </c>
      <c r="AT1030" s="6" t="str">
        <f>HYPERLINK("http://www.worldcat.org/oclc/23246688","WorldCat Record")</f>
        <v>WorldCat Record</v>
      </c>
    </row>
    <row r="1031" spans="1:46" ht="48" customHeight="1" x14ac:dyDescent="0.25">
      <c r="A1031" s="7" t="s">
        <v>59</v>
      </c>
      <c r="B1031" s="2" t="s">
        <v>12354</v>
      </c>
      <c r="C1031" s="2" t="s">
        <v>12355</v>
      </c>
      <c r="D1031" s="2" t="s">
        <v>12356</v>
      </c>
      <c r="E1031" s="3" t="s">
        <v>2280</v>
      </c>
      <c r="F1031" s="3" t="s">
        <v>59</v>
      </c>
      <c r="G1031" s="3" t="s">
        <v>60</v>
      </c>
      <c r="H1031" s="3" t="s">
        <v>59</v>
      </c>
      <c r="I1031" s="3" t="s">
        <v>59</v>
      </c>
      <c r="J1031" s="3" t="s">
        <v>61</v>
      </c>
      <c r="L1031" s="2" t="s">
        <v>12357</v>
      </c>
      <c r="M1031" s="3" t="s">
        <v>1986</v>
      </c>
      <c r="O1031" s="3" t="s">
        <v>64</v>
      </c>
      <c r="P1031" s="3" t="s">
        <v>130</v>
      </c>
      <c r="Q1031" s="2" t="s">
        <v>12358</v>
      </c>
      <c r="R1031" s="3" t="s">
        <v>11989</v>
      </c>
      <c r="S1031" s="4">
        <v>0</v>
      </c>
      <c r="T1031" s="4">
        <v>0</v>
      </c>
      <c r="U1031" s="5" t="s">
        <v>12359</v>
      </c>
      <c r="V1031" s="5" t="s">
        <v>12359</v>
      </c>
      <c r="W1031" s="5" t="s">
        <v>12360</v>
      </c>
      <c r="X1031" s="5" t="s">
        <v>12360</v>
      </c>
      <c r="Y1031" s="4">
        <v>43</v>
      </c>
      <c r="Z1031" s="4">
        <v>40</v>
      </c>
      <c r="AA1031" s="4">
        <v>40</v>
      </c>
      <c r="AB1031" s="4">
        <v>1</v>
      </c>
      <c r="AC1031" s="4">
        <v>1</v>
      </c>
      <c r="AD1031" s="4">
        <v>0</v>
      </c>
      <c r="AE1031" s="4">
        <v>0</v>
      </c>
      <c r="AF1031" s="4">
        <v>0</v>
      </c>
      <c r="AG1031" s="4">
        <v>0</v>
      </c>
      <c r="AH1031" s="4">
        <v>0</v>
      </c>
      <c r="AI1031" s="4">
        <v>0</v>
      </c>
      <c r="AJ1031" s="4">
        <v>0</v>
      </c>
      <c r="AK1031" s="4">
        <v>0</v>
      </c>
      <c r="AL1031" s="4">
        <v>0</v>
      </c>
      <c r="AM1031" s="4">
        <v>0</v>
      </c>
      <c r="AN1031" s="4">
        <v>0</v>
      </c>
      <c r="AO1031" s="4">
        <v>0</v>
      </c>
      <c r="AP1031" s="3" t="s">
        <v>59</v>
      </c>
      <c r="AQ1031" s="3" t="s">
        <v>59</v>
      </c>
      <c r="AS1031" s="6" t="str">
        <f>HYPERLINK("https://creighton-primo.hosted.exlibrisgroup.com/primo-explore/search?tab=default_tab&amp;search_scope=EVERYTHING&amp;vid=01CRU&amp;lang=en_US&amp;offset=0&amp;query=any,contains,991000352189702656","Catalog Record")</f>
        <v>Catalog Record</v>
      </c>
      <c r="AT1031" s="6" t="str">
        <f>HYPERLINK("http://www.worldcat.org/oclc/45952118","WorldCat Record")</f>
        <v>WorldCat Record</v>
      </c>
    </row>
    <row r="1032" spans="1:46" ht="48" customHeight="1" x14ac:dyDescent="0.25">
      <c r="A1032" s="7" t="s">
        <v>59</v>
      </c>
      <c r="B1032" s="2" t="s">
        <v>12361</v>
      </c>
      <c r="C1032" s="2" t="s">
        <v>12362</v>
      </c>
      <c r="D1032" s="2" t="s">
        <v>12363</v>
      </c>
      <c r="F1032" s="3" t="s">
        <v>59</v>
      </c>
      <c r="G1032" s="3" t="s">
        <v>60</v>
      </c>
      <c r="H1032" s="3" t="s">
        <v>59</v>
      </c>
      <c r="I1032" s="3" t="s">
        <v>59</v>
      </c>
      <c r="J1032" s="3" t="s">
        <v>61</v>
      </c>
      <c r="K1032" s="2" t="s">
        <v>3591</v>
      </c>
      <c r="L1032" s="2" t="s">
        <v>12364</v>
      </c>
      <c r="M1032" s="3" t="s">
        <v>98</v>
      </c>
      <c r="N1032" s="2" t="s">
        <v>2003</v>
      </c>
      <c r="O1032" s="3" t="s">
        <v>64</v>
      </c>
      <c r="P1032" s="3" t="s">
        <v>130</v>
      </c>
      <c r="R1032" s="3" t="s">
        <v>11989</v>
      </c>
      <c r="S1032" s="4">
        <v>9</v>
      </c>
      <c r="T1032" s="4">
        <v>9</v>
      </c>
      <c r="U1032" s="5" t="s">
        <v>12365</v>
      </c>
      <c r="V1032" s="5" t="s">
        <v>12365</v>
      </c>
      <c r="W1032" s="5" t="s">
        <v>12142</v>
      </c>
      <c r="X1032" s="5" t="s">
        <v>12142</v>
      </c>
      <c r="Y1032" s="4">
        <v>212</v>
      </c>
      <c r="Z1032" s="4">
        <v>171</v>
      </c>
      <c r="AA1032" s="4">
        <v>432</v>
      </c>
      <c r="AB1032" s="4">
        <v>3</v>
      </c>
      <c r="AC1032" s="4">
        <v>6</v>
      </c>
      <c r="AD1032" s="4">
        <v>6</v>
      </c>
      <c r="AE1032" s="4">
        <v>15</v>
      </c>
      <c r="AF1032" s="4">
        <v>2</v>
      </c>
      <c r="AG1032" s="4">
        <v>6</v>
      </c>
      <c r="AH1032" s="4">
        <v>2</v>
      </c>
      <c r="AI1032" s="4">
        <v>2</v>
      </c>
      <c r="AJ1032" s="4">
        <v>0</v>
      </c>
      <c r="AK1032" s="4">
        <v>4</v>
      </c>
      <c r="AL1032" s="4">
        <v>2</v>
      </c>
      <c r="AM1032" s="4">
        <v>5</v>
      </c>
      <c r="AN1032" s="4">
        <v>0</v>
      </c>
      <c r="AO1032" s="4">
        <v>0</v>
      </c>
      <c r="AP1032" s="3" t="s">
        <v>59</v>
      </c>
      <c r="AQ1032" s="3" t="s">
        <v>59</v>
      </c>
      <c r="AS1032" s="6" t="str">
        <f>HYPERLINK("https://creighton-primo.hosted.exlibrisgroup.com/primo-explore/search?tab=default_tab&amp;search_scope=EVERYTHING&amp;vid=01CRU&amp;lang=en_US&amp;offset=0&amp;query=any,contains,991000860229702656","Catalog Record")</f>
        <v>Catalog Record</v>
      </c>
      <c r="AT1032" s="6" t="str">
        <f>HYPERLINK("http://www.worldcat.org/oclc/154237","WorldCat Record")</f>
        <v>WorldCat Record</v>
      </c>
    </row>
    <row r="1033" spans="1:46" ht="48" customHeight="1" x14ac:dyDescent="0.25">
      <c r="A1033" s="7" t="s">
        <v>59</v>
      </c>
      <c r="B1033" s="2" t="s">
        <v>12366</v>
      </c>
      <c r="C1033" s="2" t="s">
        <v>12367</v>
      </c>
      <c r="D1033" s="2" t="s">
        <v>12368</v>
      </c>
      <c r="F1033" s="3" t="s">
        <v>59</v>
      </c>
      <c r="G1033" s="3" t="s">
        <v>60</v>
      </c>
      <c r="H1033" s="3" t="s">
        <v>59</v>
      </c>
      <c r="I1033" s="3" t="s">
        <v>59</v>
      </c>
      <c r="J1033" s="3" t="s">
        <v>61</v>
      </c>
      <c r="K1033" s="2" t="s">
        <v>12369</v>
      </c>
      <c r="L1033" s="2" t="s">
        <v>12370</v>
      </c>
      <c r="M1033" s="3" t="s">
        <v>319</v>
      </c>
      <c r="N1033" s="2" t="s">
        <v>926</v>
      </c>
      <c r="O1033" s="3" t="s">
        <v>64</v>
      </c>
      <c r="P1033" s="3" t="s">
        <v>4582</v>
      </c>
      <c r="R1033" s="3" t="s">
        <v>11989</v>
      </c>
      <c r="S1033" s="4">
        <v>9</v>
      </c>
      <c r="T1033" s="4">
        <v>9</v>
      </c>
      <c r="U1033" s="5" t="s">
        <v>1536</v>
      </c>
      <c r="V1033" s="5" t="s">
        <v>1536</v>
      </c>
      <c r="W1033" s="5" t="s">
        <v>12227</v>
      </c>
      <c r="X1033" s="5" t="s">
        <v>12227</v>
      </c>
      <c r="Y1033" s="4">
        <v>104</v>
      </c>
      <c r="Z1033" s="4">
        <v>89</v>
      </c>
      <c r="AA1033" s="4">
        <v>238</v>
      </c>
      <c r="AB1033" s="4">
        <v>1</v>
      </c>
      <c r="AC1033" s="4">
        <v>2</v>
      </c>
      <c r="AD1033" s="4">
        <v>1</v>
      </c>
      <c r="AE1033" s="4">
        <v>9</v>
      </c>
      <c r="AF1033" s="4">
        <v>1</v>
      </c>
      <c r="AG1033" s="4">
        <v>2</v>
      </c>
      <c r="AH1033" s="4">
        <v>0</v>
      </c>
      <c r="AI1033" s="4">
        <v>3</v>
      </c>
      <c r="AJ1033" s="4">
        <v>1</v>
      </c>
      <c r="AK1033" s="4">
        <v>6</v>
      </c>
      <c r="AL1033" s="4">
        <v>0</v>
      </c>
      <c r="AM1033" s="4">
        <v>1</v>
      </c>
      <c r="AN1033" s="4">
        <v>0</v>
      </c>
      <c r="AO1033" s="4">
        <v>0</v>
      </c>
      <c r="AP1033" s="3" t="s">
        <v>59</v>
      </c>
      <c r="AQ1033" s="3" t="s">
        <v>59</v>
      </c>
      <c r="AS1033" s="6" t="str">
        <f>HYPERLINK("https://creighton-primo.hosted.exlibrisgroup.com/primo-explore/search?tab=default_tab&amp;search_scope=EVERYTHING&amp;vid=01CRU&amp;lang=en_US&amp;offset=0&amp;query=any,contains,991000860139702656","Catalog Record")</f>
        <v>Catalog Record</v>
      </c>
      <c r="AT1033" s="6" t="str">
        <f>HYPERLINK("http://www.worldcat.org/oclc/9896323","WorldCat Record")</f>
        <v>WorldCat Record</v>
      </c>
    </row>
    <row r="1034" spans="1:46" ht="48" customHeight="1" x14ac:dyDescent="0.25">
      <c r="A1034" s="7" t="s">
        <v>59</v>
      </c>
      <c r="B1034" s="2" t="s">
        <v>12371</v>
      </c>
      <c r="C1034" s="2" t="s">
        <v>12372</v>
      </c>
      <c r="D1034" s="2" t="s">
        <v>12373</v>
      </c>
      <c r="F1034" s="3" t="s">
        <v>59</v>
      </c>
      <c r="G1034" s="3" t="s">
        <v>60</v>
      </c>
      <c r="H1034" s="3" t="s">
        <v>59</v>
      </c>
      <c r="I1034" s="3" t="s">
        <v>59</v>
      </c>
      <c r="J1034" s="3" t="s">
        <v>61</v>
      </c>
      <c r="K1034" s="2" t="s">
        <v>12374</v>
      </c>
      <c r="L1034" s="2" t="s">
        <v>12375</v>
      </c>
      <c r="M1034" s="3" t="s">
        <v>12376</v>
      </c>
      <c r="O1034" s="3" t="s">
        <v>64</v>
      </c>
      <c r="P1034" s="3" t="s">
        <v>84</v>
      </c>
      <c r="R1034" s="3" t="s">
        <v>11989</v>
      </c>
      <c r="S1034" s="4">
        <v>5</v>
      </c>
      <c r="T1034" s="4">
        <v>5</v>
      </c>
      <c r="U1034" s="5" t="s">
        <v>12377</v>
      </c>
      <c r="V1034" s="5" t="s">
        <v>12377</v>
      </c>
      <c r="W1034" s="5" t="s">
        <v>12227</v>
      </c>
      <c r="X1034" s="5" t="s">
        <v>12227</v>
      </c>
      <c r="Y1034" s="4">
        <v>84</v>
      </c>
      <c r="Z1034" s="4">
        <v>52</v>
      </c>
      <c r="AA1034" s="4">
        <v>62</v>
      </c>
      <c r="AB1034" s="4">
        <v>1</v>
      </c>
      <c r="AC1034" s="4">
        <v>1</v>
      </c>
      <c r="AD1034" s="4">
        <v>0</v>
      </c>
      <c r="AE1034" s="4">
        <v>0</v>
      </c>
      <c r="AF1034" s="4">
        <v>0</v>
      </c>
      <c r="AG1034" s="4">
        <v>0</v>
      </c>
      <c r="AH1034" s="4">
        <v>0</v>
      </c>
      <c r="AI1034" s="4">
        <v>0</v>
      </c>
      <c r="AJ1034" s="4">
        <v>0</v>
      </c>
      <c r="AK1034" s="4">
        <v>0</v>
      </c>
      <c r="AL1034" s="4">
        <v>0</v>
      </c>
      <c r="AM1034" s="4">
        <v>0</v>
      </c>
      <c r="AN1034" s="4">
        <v>0</v>
      </c>
      <c r="AO1034" s="4">
        <v>0</v>
      </c>
      <c r="AP1034" s="3" t="s">
        <v>59</v>
      </c>
      <c r="AQ1034" s="3" t="s">
        <v>59</v>
      </c>
      <c r="AS1034" s="6" t="str">
        <f>HYPERLINK("https://creighton-primo.hosted.exlibrisgroup.com/primo-explore/search?tab=default_tab&amp;search_scope=EVERYTHING&amp;vid=01CRU&amp;lang=en_US&amp;offset=0&amp;query=any,contains,991000860189702656","Catalog Record")</f>
        <v>Catalog Record</v>
      </c>
      <c r="AT1034" s="6" t="str">
        <f>HYPERLINK("http://www.worldcat.org/oclc/3654443","WorldCat Record")</f>
        <v>WorldCat Record</v>
      </c>
    </row>
    <row r="1035" spans="1:46" ht="48" customHeight="1" x14ac:dyDescent="0.25">
      <c r="A1035" s="7" t="s">
        <v>59</v>
      </c>
      <c r="B1035" s="2" t="s">
        <v>12378</v>
      </c>
      <c r="C1035" s="2" t="s">
        <v>12379</v>
      </c>
      <c r="D1035" s="2" t="s">
        <v>12380</v>
      </c>
      <c r="F1035" s="3" t="s">
        <v>59</v>
      </c>
      <c r="G1035" s="3" t="s">
        <v>60</v>
      </c>
      <c r="H1035" s="3" t="s">
        <v>59</v>
      </c>
      <c r="I1035" s="3" t="s">
        <v>59</v>
      </c>
      <c r="J1035" s="3" t="s">
        <v>61</v>
      </c>
      <c r="K1035" s="2" t="s">
        <v>12381</v>
      </c>
      <c r="L1035" s="2" t="s">
        <v>12382</v>
      </c>
      <c r="M1035" s="3" t="s">
        <v>417</v>
      </c>
      <c r="O1035" s="3" t="s">
        <v>64</v>
      </c>
      <c r="P1035" s="3" t="s">
        <v>278</v>
      </c>
      <c r="Q1035" s="2" t="s">
        <v>12383</v>
      </c>
      <c r="R1035" s="3" t="s">
        <v>11989</v>
      </c>
      <c r="S1035" s="4">
        <v>43</v>
      </c>
      <c r="T1035" s="4">
        <v>43</v>
      </c>
      <c r="U1035" s="5" t="s">
        <v>12384</v>
      </c>
      <c r="V1035" s="5" t="s">
        <v>12384</v>
      </c>
      <c r="W1035" s="5" t="s">
        <v>12146</v>
      </c>
      <c r="X1035" s="5" t="s">
        <v>12146</v>
      </c>
      <c r="Y1035" s="4">
        <v>21</v>
      </c>
      <c r="Z1035" s="4">
        <v>11</v>
      </c>
      <c r="AA1035" s="4">
        <v>75</v>
      </c>
      <c r="AB1035" s="4">
        <v>1</v>
      </c>
      <c r="AC1035" s="4">
        <v>1</v>
      </c>
      <c r="AD1035" s="4">
        <v>0</v>
      </c>
      <c r="AE1035" s="4">
        <v>1</v>
      </c>
      <c r="AF1035" s="4">
        <v>0</v>
      </c>
      <c r="AG1035" s="4">
        <v>0</v>
      </c>
      <c r="AH1035" s="4">
        <v>0</v>
      </c>
      <c r="AI1035" s="4">
        <v>1</v>
      </c>
      <c r="AJ1035" s="4">
        <v>0</v>
      </c>
      <c r="AK1035" s="4">
        <v>1</v>
      </c>
      <c r="AL1035" s="4">
        <v>0</v>
      </c>
      <c r="AM1035" s="4">
        <v>0</v>
      </c>
      <c r="AN1035" s="4">
        <v>0</v>
      </c>
      <c r="AO1035" s="4">
        <v>0</v>
      </c>
      <c r="AP1035" s="3" t="s">
        <v>59</v>
      </c>
      <c r="AQ1035" s="3" t="s">
        <v>59</v>
      </c>
      <c r="AS1035" s="6" t="str">
        <f>HYPERLINK("https://creighton-primo.hosted.exlibrisgroup.com/primo-explore/search?tab=default_tab&amp;search_scope=EVERYTHING&amp;vid=01CRU&amp;lang=en_US&amp;offset=0&amp;query=any,contains,991000860559702656","Catalog Record")</f>
        <v>Catalog Record</v>
      </c>
      <c r="AT1035" s="6" t="str">
        <f>HYPERLINK("http://www.worldcat.org/oclc/10724421","WorldCat Record")</f>
        <v>WorldCat Record</v>
      </c>
    </row>
    <row r="1036" spans="1:46" ht="48" customHeight="1" x14ac:dyDescent="0.25">
      <c r="A1036" s="7" t="s">
        <v>59</v>
      </c>
      <c r="B1036" s="2" t="s">
        <v>12385</v>
      </c>
      <c r="C1036" s="2" t="s">
        <v>12386</v>
      </c>
      <c r="D1036" s="2" t="s">
        <v>12387</v>
      </c>
      <c r="F1036" s="3" t="s">
        <v>59</v>
      </c>
      <c r="G1036" s="3" t="s">
        <v>60</v>
      </c>
      <c r="H1036" s="3" t="s">
        <v>59</v>
      </c>
      <c r="I1036" s="3" t="s">
        <v>59</v>
      </c>
      <c r="J1036" s="3" t="s">
        <v>61</v>
      </c>
      <c r="L1036" s="2" t="s">
        <v>12388</v>
      </c>
      <c r="M1036" s="3" t="s">
        <v>1351</v>
      </c>
      <c r="O1036" s="3" t="s">
        <v>64</v>
      </c>
      <c r="P1036" s="3" t="s">
        <v>84</v>
      </c>
      <c r="R1036" s="3" t="s">
        <v>11989</v>
      </c>
      <c r="S1036" s="4">
        <v>1</v>
      </c>
      <c r="T1036" s="4">
        <v>1</v>
      </c>
      <c r="U1036" s="5" t="s">
        <v>6288</v>
      </c>
      <c r="V1036" s="5" t="s">
        <v>6288</v>
      </c>
      <c r="W1036" s="5" t="s">
        <v>12389</v>
      </c>
      <c r="X1036" s="5" t="s">
        <v>12389</v>
      </c>
      <c r="Y1036" s="4">
        <v>43</v>
      </c>
      <c r="Z1036" s="4">
        <v>22</v>
      </c>
      <c r="AA1036" s="4">
        <v>60</v>
      </c>
      <c r="AB1036" s="4">
        <v>1</v>
      </c>
      <c r="AC1036" s="4">
        <v>1</v>
      </c>
      <c r="AD1036" s="4">
        <v>1</v>
      </c>
      <c r="AE1036" s="4">
        <v>2</v>
      </c>
      <c r="AF1036" s="4">
        <v>1</v>
      </c>
      <c r="AG1036" s="4">
        <v>2</v>
      </c>
      <c r="AH1036" s="4">
        <v>0</v>
      </c>
      <c r="AI1036" s="4">
        <v>0</v>
      </c>
      <c r="AJ1036" s="4">
        <v>0</v>
      </c>
      <c r="AK1036" s="4">
        <v>1</v>
      </c>
      <c r="AL1036" s="4">
        <v>0</v>
      </c>
      <c r="AM1036" s="4">
        <v>0</v>
      </c>
      <c r="AN1036" s="4">
        <v>0</v>
      </c>
      <c r="AO1036" s="4">
        <v>0</v>
      </c>
      <c r="AP1036" s="3" t="s">
        <v>59</v>
      </c>
      <c r="AQ1036" s="3" t="s">
        <v>59</v>
      </c>
      <c r="AS1036" s="6" t="str">
        <f>HYPERLINK("https://creighton-primo.hosted.exlibrisgroup.com/primo-explore/search?tab=default_tab&amp;search_scope=EVERYTHING&amp;vid=01CRU&amp;lang=en_US&amp;offset=0&amp;query=any,contains,991000445849702656","Catalog Record")</f>
        <v>Catalog Record</v>
      </c>
      <c r="AT1036" s="6" t="str">
        <f>HYPERLINK("http://www.worldcat.org/oclc/57565067","WorldCat Record")</f>
        <v>WorldCat Record</v>
      </c>
    </row>
    <row r="1037" spans="1:46" ht="48" customHeight="1" x14ac:dyDescent="0.25">
      <c r="A1037" s="7" t="s">
        <v>59</v>
      </c>
      <c r="B1037" s="2" t="s">
        <v>12390</v>
      </c>
      <c r="C1037" s="2" t="s">
        <v>12391</v>
      </c>
      <c r="D1037" s="2" t="s">
        <v>12392</v>
      </c>
      <c r="F1037" s="3" t="s">
        <v>59</v>
      </c>
      <c r="G1037" s="3" t="s">
        <v>60</v>
      </c>
      <c r="H1037" s="3" t="s">
        <v>59</v>
      </c>
      <c r="I1037" s="3" t="s">
        <v>59</v>
      </c>
      <c r="J1037" s="3" t="s">
        <v>61</v>
      </c>
      <c r="L1037" s="2" t="s">
        <v>12393</v>
      </c>
      <c r="M1037" s="3" t="s">
        <v>12394</v>
      </c>
      <c r="O1037" s="3" t="s">
        <v>64</v>
      </c>
      <c r="P1037" s="3" t="s">
        <v>115</v>
      </c>
      <c r="R1037" s="3" t="s">
        <v>11989</v>
      </c>
      <c r="S1037" s="4">
        <v>1</v>
      </c>
      <c r="T1037" s="4">
        <v>1</v>
      </c>
      <c r="U1037" s="5" t="s">
        <v>12395</v>
      </c>
      <c r="V1037" s="5" t="s">
        <v>12395</v>
      </c>
      <c r="W1037" s="5" t="s">
        <v>12227</v>
      </c>
      <c r="X1037" s="5" t="s">
        <v>12227</v>
      </c>
      <c r="Y1037" s="4">
        <v>183</v>
      </c>
      <c r="Z1037" s="4">
        <v>148</v>
      </c>
      <c r="AA1037" s="4">
        <v>228</v>
      </c>
      <c r="AB1037" s="4">
        <v>2</v>
      </c>
      <c r="AC1037" s="4">
        <v>2</v>
      </c>
      <c r="AD1037" s="4">
        <v>4</v>
      </c>
      <c r="AE1037" s="4">
        <v>4</v>
      </c>
      <c r="AF1037" s="4">
        <v>1</v>
      </c>
      <c r="AG1037" s="4">
        <v>1</v>
      </c>
      <c r="AH1037" s="4">
        <v>1</v>
      </c>
      <c r="AI1037" s="4">
        <v>1</v>
      </c>
      <c r="AJ1037" s="4">
        <v>2</v>
      </c>
      <c r="AK1037" s="4">
        <v>2</v>
      </c>
      <c r="AL1037" s="4">
        <v>1</v>
      </c>
      <c r="AM1037" s="4">
        <v>1</v>
      </c>
      <c r="AN1037" s="4">
        <v>0</v>
      </c>
      <c r="AO1037" s="4">
        <v>0</v>
      </c>
      <c r="AP1037" s="3" t="s">
        <v>59</v>
      </c>
      <c r="AQ1037" s="3" t="s">
        <v>70</v>
      </c>
      <c r="AR1037" s="6" t="str">
        <f>HYPERLINK("http://catalog.hathitrust.org/Record/001553420","HathiTrust Record")</f>
        <v>HathiTrust Record</v>
      </c>
      <c r="AS1037" s="6" t="str">
        <f>HYPERLINK("https://creighton-primo.hosted.exlibrisgroup.com/primo-explore/search?tab=default_tab&amp;search_scope=EVERYTHING&amp;vid=01CRU&amp;lang=en_US&amp;offset=0&amp;query=any,contains,991000860719702656","Catalog Record")</f>
        <v>Catalog Record</v>
      </c>
      <c r="AT1037" s="6" t="str">
        <f>HYPERLINK("http://www.worldcat.org/oclc/3233011","WorldCat Record")</f>
        <v>WorldCat Record</v>
      </c>
    </row>
    <row r="1038" spans="1:46" ht="48" customHeight="1" x14ac:dyDescent="0.25">
      <c r="A1038" s="7" t="s">
        <v>59</v>
      </c>
      <c r="B1038" s="2" t="s">
        <v>12396</v>
      </c>
      <c r="C1038" s="2" t="s">
        <v>12397</v>
      </c>
      <c r="D1038" s="2" t="s">
        <v>12398</v>
      </c>
      <c r="F1038" s="3" t="s">
        <v>59</v>
      </c>
      <c r="G1038" s="3" t="s">
        <v>60</v>
      </c>
      <c r="H1038" s="3" t="s">
        <v>59</v>
      </c>
      <c r="I1038" s="3" t="s">
        <v>59</v>
      </c>
      <c r="J1038" s="3" t="s">
        <v>61</v>
      </c>
      <c r="L1038" s="2" t="s">
        <v>12399</v>
      </c>
      <c r="M1038" s="3" t="s">
        <v>219</v>
      </c>
      <c r="O1038" s="3" t="s">
        <v>64</v>
      </c>
      <c r="P1038" s="3" t="s">
        <v>2252</v>
      </c>
      <c r="R1038" s="3" t="s">
        <v>11989</v>
      </c>
      <c r="S1038" s="4">
        <v>86</v>
      </c>
      <c r="T1038" s="4">
        <v>86</v>
      </c>
      <c r="U1038" s="5" t="s">
        <v>12400</v>
      </c>
      <c r="V1038" s="5" t="s">
        <v>12400</v>
      </c>
      <c r="W1038" s="5" t="s">
        <v>12401</v>
      </c>
      <c r="X1038" s="5" t="s">
        <v>12401</v>
      </c>
      <c r="Y1038" s="4">
        <v>216</v>
      </c>
      <c r="Z1038" s="4">
        <v>142</v>
      </c>
      <c r="AA1038" s="4">
        <v>369</v>
      </c>
      <c r="AB1038" s="4">
        <v>2</v>
      </c>
      <c r="AC1038" s="4">
        <v>3</v>
      </c>
      <c r="AD1038" s="4">
        <v>5</v>
      </c>
      <c r="AE1038" s="4">
        <v>10</v>
      </c>
      <c r="AF1038" s="4">
        <v>1</v>
      </c>
      <c r="AG1038" s="4">
        <v>2</v>
      </c>
      <c r="AH1038" s="4">
        <v>1</v>
      </c>
      <c r="AI1038" s="4">
        <v>3</v>
      </c>
      <c r="AJ1038" s="4">
        <v>4</v>
      </c>
      <c r="AK1038" s="4">
        <v>6</v>
      </c>
      <c r="AL1038" s="4">
        <v>1</v>
      </c>
      <c r="AM1038" s="4">
        <v>1</v>
      </c>
      <c r="AN1038" s="4">
        <v>0</v>
      </c>
      <c r="AO1038" s="4">
        <v>0</v>
      </c>
      <c r="AP1038" s="3" t="s">
        <v>59</v>
      </c>
      <c r="AQ1038" s="3" t="s">
        <v>59</v>
      </c>
      <c r="AS1038" s="6" t="str">
        <f>HYPERLINK("https://creighton-primo.hosted.exlibrisgroup.com/primo-explore/search?tab=default_tab&amp;search_scope=EVERYTHING&amp;vid=01CRU&amp;lang=en_US&amp;offset=0&amp;query=any,contains,991001452129702656","Catalog Record")</f>
        <v>Catalog Record</v>
      </c>
      <c r="AT1038" s="6" t="str">
        <f>HYPERLINK("http://www.worldcat.org/oclc/20392062","WorldCat Record")</f>
        <v>WorldCat Record</v>
      </c>
    </row>
    <row r="1039" spans="1:46" ht="48" customHeight="1" x14ac:dyDescent="0.25">
      <c r="A1039" s="7" t="s">
        <v>59</v>
      </c>
      <c r="B1039" s="2" t="s">
        <v>12402</v>
      </c>
      <c r="C1039" s="2" t="s">
        <v>12403</v>
      </c>
      <c r="D1039" s="2" t="s">
        <v>12404</v>
      </c>
      <c r="F1039" s="3" t="s">
        <v>59</v>
      </c>
      <c r="G1039" s="3" t="s">
        <v>60</v>
      </c>
      <c r="H1039" s="3" t="s">
        <v>59</v>
      </c>
      <c r="I1039" s="3" t="s">
        <v>59</v>
      </c>
      <c r="J1039" s="3" t="s">
        <v>61</v>
      </c>
      <c r="K1039" s="2" t="s">
        <v>12405</v>
      </c>
      <c r="L1039" s="2" t="s">
        <v>12161</v>
      </c>
      <c r="M1039" s="3" t="s">
        <v>604</v>
      </c>
      <c r="N1039" s="2" t="s">
        <v>926</v>
      </c>
      <c r="O1039" s="3" t="s">
        <v>64</v>
      </c>
      <c r="P1039" s="3" t="s">
        <v>2140</v>
      </c>
      <c r="R1039" s="3" t="s">
        <v>11989</v>
      </c>
      <c r="S1039" s="4">
        <v>13</v>
      </c>
      <c r="T1039" s="4">
        <v>13</v>
      </c>
      <c r="U1039" s="5" t="s">
        <v>12406</v>
      </c>
      <c r="V1039" s="5" t="s">
        <v>12406</v>
      </c>
      <c r="W1039" s="5" t="s">
        <v>11401</v>
      </c>
      <c r="X1039" s="5" t="s">
        <v>11401</v>
      </c>
      <c r="Y1039" s="4">
        <v>36</v>
      </c>
      <c r="Z1039" s="4">
        <v>28</v>
      </c>
      <c r="AA1039" s="4">
        <v>28</v>
      </c>
      <c r="AB1039" s="4">
        <v>1</v>
      </c>
      <c r="AC1039" s="4">
        <v>1</v>
      </c>
      <c r="AD1039" s="4">
        <v>3</v>
      </c>
      <c r="AE1039" s="4">
        <v>3</v>
      </c>
      <c r="AF1039" s="4">
        <v>0</v>
      </c>
      <c r="AG1039" s="4">
        <v>0</v>
      </c>
      <c r="AH1039" s="4">
        <v>1</v>
      </c>
      <c r="AI1039" s="4">
        <v>1</v>
      </c>
      <c r="AJ1039" s="4">
        <v>2</v>
      </c>
      <c r="AK1039" s="4">
        <v>2</v>
      </c>
      <c r="AL1039" s="4">
        <v>0</v>
      </c>
      <c r="AM1039" s="4">
        <v>0</v>
      </c>
      <c r="AN1039" s="4">
        <v>0</v>
      </c>
      <c r="AO1039" s="4">
        <v>0</v>
      </c>
      <c r="AP1039" s="3" t="s">
        <v>59</v>
      </c>
      <c r="AQ1039" s="3" t="s">
        <v>59</v>
      </c>
      <c r="AS1039" s="6" t="str">
        <f>HYPERLINK("https://creighton-primo.hosted.exlibrisgroup.com/primo-explore/search?tab=default_tab&amp;search_scope=EVERYTHING&amp;vid=01CRU&amp;lang=en_US&amp;offset=0&amp;query=any,contains,991001503039702656","Catalog Record")</f>
        <v>Catalog Record</v>
      </c>
      <c r="AT1039" s="6" t="str">
        <f>HYPERLINK("http://www.worldcat.org/oclc/33317278","WorldCat Record")</f>
        <v>WorldCat Record</v>
      </c>
    </row>
    <row r="1040" spans="1:46" ht="48" customHeight="1" x14ac:dyDescent="0.25">
      <c r="A1040" s="7" t="s">
        <v>59</v>
      </c>
      <c r="B1040" s="2" t="s">
        <v>12407</v>
      </c>
      <c r="C1040" s="2" t="s">
        <v>12408</v>
      </c>
      <c r="D1040" s="2" t="s">
        <v>12409</v>
      </c>
      <c r="F1040" s="3" t="s">
        <v>59</v>
      </c>
      <c r="G1040" s="3" t="s">
        <v>60</v>
      </c>
      <c r="H1040" s="3" t="s">
        <v>59</v>
      </c>
      <c r="I1040" s="3" t="s">
        <v>70</v>
      </c>
      <c r="J1040" s="3" t="s">
        <v>61</v>
      </c>
      <c r="K1040" s="2" t="s">
        <v>12405</v>
      </c>
      <c r="L1040" s="2" t="s">
        <v>12161</v>
      </c>
      <c r="M1040" s="3" t="s">
        <v>604</v>
      </c>
      <c r="N1040" s="2" t="s">
        <v>926</v>
      </c>
      <c r="O1040" s="3" t="s">
        <v>64</v>
      </c>
      <c r="P1040" s="3" t="s">
        <v>2140</v>
      </c>
      <c r="R1040" s="3" t="s">
        <v>11989</v>
      </c>
      <c r="S1040" s="4">
        <v>35</v>
      </c>
      <c r="T1040" s="4">
        <v>35</v>
      </c>
      <c r="U1040" s="5" t="s">
        <v>12406</v>
      </c>
      <c r="V1040" s="5" t="s">
        <v>12406</v>
      </c>
      <c r="W1040" s="5" t="s">
        <v>11401</v>
      </c>
      <c r="X1040" s="5" t="s">
        <v>11401</v>
      </c>
      <c r="Y1040" s="4">
        <v>189</v>
      </c>
      <c r="Z1040" s="4">
        <v>119</v>
      </c>
      <c r="AA1040" s="4">
        <v>516</v>
      </c>
      <c r="AB1040" s="4">
        <v>1</v>
      </c>
      <c r="AC1040" s="4">
        <v>4</v>
      </c>
      <c r="AD1040" s="4">
        <v>2</v>
      </c>
      <c r="AE1040" s="4">
        <v>15</v>
      </c>
      <c r="AF1040" s="4">
        <v>0</v>
      </c>
      <c r="AG1040" s="4">
        <v>5</v>
      </c>
      <c r="AH1040" s="4">
        <v>0</v>
      </c>
      <c r="AI1040" s="4">
        <v>1</v>
      </c>
      <c r="AJ1040" s="4">
        <v>2</v>
      </c>
      <c r="AK1040" s="4">
        <v>8</v>
      </c>
      <c r="AL1040" s="4">
        <v>0</v>
      </c>
      <c r="AM1040" s="4">
        <v>3</v>
      </c>
      <c r="AN1040" s="4">
        <v>0</v>
      </c>
      <c r="AO1040" s="4">
        <v>0</v>
      </c>
      <c r="AP1040" s="3" t="s">
        <v>59</v>
      </c>
      <c r="AQ1040" s="3" t="s">
        <v>59</v>
      </c>
      <c r="AS1040" s="6" t="str">
        <f>HYPERLINK("https://creighton-primo.hosted.exlibrisgroup.com/primo-explore/search?tab=default_tab&amp;search_scope=EVERYTHING&amp;vid=01CRU&amp;lang=en_US&amp;offset=0&amp;query=any,contains,991001503069702656","Catalog Record")</f>
        <v>Catalog Record</v>
      </c>
      <c r="AT1040" s="6" t="str">
        <f>HYPERLINK("http://www.worldcat.org/oclc/32274141","WorldCat Record")</f>
        <v>WorldCat Record</v>
      </c>
    </row>
    <row r="1041" spans="1:46" ht="48" customHeight="1" x14ac:dyDescent="0.25">
      <c r="A1041" s="7" t="s">
        <v>59</v>
      </c>
      <c r="B1041" s="2" t="s">
        <v>12410</v>
      </c>
      <c r="C1041" s="2" t="s">
        <v>12411</v>
      </c>
      <c r="D1041" s="2" t="s">
        <v>12409</v>
      </c>
      <c r="F1041" s="3" t="s">
        <v>59</v>
      </c>
      <c r="G1041" s="3" t="s">
        <v>60</v>
      </c>
      <c r="H1041" s="3" t="s">
        <v>59</v>
      </c>
      <c r="I1041" s="3" t="s">
        <v>70</v>
      </c>
      <c r="J1041" s="3" t="s">
        <v>61</v>
      </c>
      <c r="K1041" s="2" t="s">
        <v>12405</v>
      </c>
      <c r="L1041" s="2" t="s">
        <v>12412</v>
      </c>
      <c r="M1041" s="3" t="s">
        <v>925</v>
      </c>
      <c r="N1041" s="2" t="s">
        <v>2003</v>
      </c>
      <c r="O1041" s="3" t="s">
        <v>64</v>
      </c>
      <c r="P1041" s="3" t="s">
        <v>264</v>
      </c>
      <c r="R1041" s="3" t="s">
        <v>11989</v>
      </c>
      <c r="S1041" s="4">
        <v>24</v>
      </c>
      <c r="T1041" s="4">
        <v>24</v>
      </c>
      <c r="U1041" s="5" t="s">
        <v>12413</v>
      </c>
      <c r="V1041" s="5" t="s">
        <v>12413</v>
      </c>
      <c r="W1041" s="5" t="s">
        <v>12414</v>
      </c>
      <c r="X1041" s="5" t="s">
        <v>12414</v>
      </c>
      <c r="Y1041" s="4">
        <v>119</v>
      </c>
      <c r="Z1041" s="4">
        <v>69</v>
      </c>
      <c r="AA1041" s="4">
        <v>516</v>
      </c>
      <c r="AB1041" s="4">
        <v>1</v>
      </c>
      <c r="AC1041" s="4">
        <v>4</v>
      </c>
      <c r="AD1041" s="4">
        <v>2</v>
      </c>
      <c r="AE1041" s="4">
        <v>15</v>
      </c>
      <c r="AF1041" s="4">
        <v>1</v>
      </c>
      <c r="AG1041" s="4">
        <v>5</v>
      </c>
      <c r="AH1041" s="4">
        <v>0</v>
      </c>
      <c r="AI1041" s="4">
        <v>1</v>
      </c>
      <c r="AJ1041" s="4">
        <v>1</v>
      </c>
      <c r="AK1041" s="4">
        <v>8</v>
      </c>
      <c r="AL1041" s="4">
        <v>0</v>
      </c>
      <c r="AM1041" s="4">
        <v>3</v>
      </c>
      <c r="AN1041" s="4">
        <v>0</v>
      </c>
      <c r="AO1041" s="4">
        <v>0</v>
      </c>
      <c r="AP1041" s="3" t="s">
        <v>59</v>
      </c>
      <c r="AQ1041" s="3" t="s">
        <v>59</v>
      </c>
      <c r="AS1041" s="6" t="str">
        <f>HYPERLINK("https://creighton-primo.hosted.exlibrisgroup.com/primo-explore/search?tab=default_tab&amp;search_scope=EVERYTHING&amp;vid=01CRU&amp;lang=en_US&amp;offset=0&amp;query=any,contains,991001563609702656","Catalog Record")</f>
        <v>Catalog Record</v>
      </c>
      <c r="AT1041" s="6" t="str">
        <f>HYPERLINK("http://www.worldcat.org/oclc/36648277","WorldCat Record")</f>
        <v>WorldCat Record</v>
      </c>
    </row>
    <row r="1042" spans="1:46" ht="48" customHeight="1" x14ac:dyDescent="0.25">
      <c r="A1042" s="7" t="s">
        <v>59</v>
      </c>
      <c r="B1042" s="2" t="s">
        <v>12415</v>
      </c>
      <c r="C1042" s="2" t="s">
        <v>12416</v>
      </c>
      <c r="D1042" s="2" t="s">
        <v>12417</v>
      </c>
      <c r="F1042" s="3" t="s">
        <v>59</v>
      </c>
      <c r="G1042" s="3" t="s">
        <v>60</v>
      </c>
      <c r="H1042" s="3" t="s">
        <v>59</v>
      </c>
      <c r="I1042" s="3" t="s">
        <v>59</v>
      </c>
      <c r="J1042" s="3" t="s">
        <v>61</v>
      </c>
      <c r="K1042" s="2" t="s">
        <v>12405</v>
      </c>
      <c r="L1042" s="2" t="s">
        <v>12418</v>
      </c>
      <c r="M1042" s="3" t="s">
        <v>925</v>
      </c>
      <c r="N1042" s="2" t="s">
        <v>2003</v>
      </c>
      <c r="O1042" s="3" t="s">
        <v>64</v>
      </c>
      <c r="P1042" s="3" t="s">
        <v>661</v>
      </c>
      <c r="R1042" s="3" t="s">
        <v>11989</v>
      </c>
      <c r="S1042" s="4">
        <v>6</v>
      </c>
      <c r="T1042" s="4">
        <v>6</v>
      </c>
      <c r="U1042" s="5" t="s">
        <v>7148</v>
      </c>
      <c r="V1042" s="5" t="s">
        <v>7148</v>
      </c>
      <c r="W1042" s="5" t="s">
        <v>12414</v>
      </c>
      <c r="X1042" s="5" t="s">
        <v>12414</v>
      </c>
      <c r="Y1042" s="4">
        <v>49</v>
      </c>
      <c r="Z1042" s="4">
        <v>38</v>
      </c>
      <c r="AA1042" s="4">
        <v>44</v>
      </c>
      <c r="AB1042" s="4">
        <v>1</v>
      </c>
      <c r="AC1042" s="4">
        <v>1</v>
      </c>
      <c r="AD1042" s="4">
        <v>1</v>
      </c>
      <c r="AE1042" s="4">
        <v>1</v>
      </c>
      <c r="AF1042" s="4">
        <v>1</v>
      </c>
      <c r="AG1042" s="4">
        <v>1</v>
      </c>
      <c r="AH1042" s="4">
        <v>0</v>
      </c>
      <c r="AI1042" s="4">
        <v>0</v>
      </c>
      <c r="AJ1042" s="4">
        <v>0</v>
      </c>
      <c r="AK1042" s="4">
        <v>0</v>
      </c>
      <c r="AL1042" s="4">
        <v>0</v>
      </c>
      <c r="AM1042" s="4">
        <v>0</v>
      </c>
      <c r="AN1042" s="4">
        <v>0</v>
      </c>
      <c r="AO1042" s="4">
        <v>0</v>
      </c>
      <c r="AP1042" s="3" t="s">
        <v>59</v>
      </c>
      <c r="AQ1042" s="3" t="s">
        <v>59</v>
      </c>
      <c r="AS1042" s="6" t="str">
        <f>HYPERLINK("https://creighton-primo.hosted.exlibrisgroup.com/primo-explore/search?tab=default_tab&amp;search_scope=EVERYTHING&amp;vid=01CRU&amp;lang=en_US&amp;offset=0&amp;query=any,contains,991001139929702656","Catalog Record")</f>
        <v>Catalog Record</v>
      </c>
      <c r="AT1042" s="6" t="str">
        <f>HYPERLINK("http://www.worldcat.org/oclc/38937369","WorldCat Record")</f>
        <v>WorldCat Record</v>
      </c>
    </row>
    <row r="1043" spans="1:46" ht="48" customHeight="1" x14ac:dyDescent="0.25">
      <c r="A1043" s="7" t="s">
        <v>59</v>
      </c>
      <c r="B1043" s="2" t="s">
        <v>12419</v>
      </c>
      <c r="C1043" s="2" t="s">
        <v>12420</v>
      </c>
      <c r="D1043" s="2" t="s">
        <v>12421</v>
      </c>
      <c r="F1043" s="3" t="s">
        <v>59</v>
      </c>
      <c r="G1043" s="3" t="s">
        <v>60</v>
      </c>
      <c r="H1043" s="3" t="s">
        <v>59</v>
      </c>
      <c r="I1043" s="3" t="s">
        <v>59</v>
      </c>
      <c r="J1043" s="3" t="s">
        <v>61</v>
      </c>
      <c r="K1043" s="2" t="s">
        <v>12422</v>
      </c>
      <c r="L1043" s="2" t="s">
        <v>2985</v>
      </c>
      <c r="M1043" s="3" t="s">
        <v>443</v>
      </c>
      <c r="O1043" s="3" t="s">
        <v>64</v>
      </c>
      <c r="P1043" s="3" t="s">
        <v>115</v>
      </c>
      <c r="R1043" s="3" t="s">
        <v>11989</v>
      </c>
      <c r="S1043" s="4">
        <v>2</v>
      </c>
      <c r="T1043" s="4">
        <v>2</v>
      </c>
      <c r="U1043" s="5" t="s">
        <v>12423</v>
      </c>
      <c r="V1043" s="5" t="s">
        <v>12423</v>
      </c>
      <c r="W1043" s="5" t="s">
        <v>12012</v>
      </c>
      <c r="X1043" s="5" t="s">
        <v>12012</v>
      </c>
      <c r="Y1043" s="4">
        <v>363</v>
      </c>
      <c r="Z1043" s="4">
        <v>299</v>
      </c>
      <c r="AA1043" s="4">
        <v>430</v>
      </c>
      <c r="AB1043" s="4">
        <v>3</v>
      </c>
      <c r="AC1043" s="4">
        <v>3</v>
      </c>
      <c r="AD1043" s="4">
        <v>12</v>
      </c>
      <c r="AE1043" s="4">
        <v>17</v>
      </c>
      <c r="AF1043" s="4">
        <v>6</v>
      </c>
      <c r="AG1043" s="4">
        <v>7</v>
      </c>
      <c r="AH1043" s="4">
        <v>1</v>
      </c>
      <c r="AI1043" s="4">
        <v>3</v>
      </c>
      <c r="AJ1043" s="4">
        <v>5</v>
      </c>
      <c r="AK1043" s="4">
        <v>8</v>
      </c>
      <c r="AL1043" s="4">
        <v>2</v>
      </c>
      <c r="AM1043" s="4">
        <v>2</v>
      </c>
      <c r="AN1043" s="4">
        <v>0</v>
      </c>
      <c r="AO1043" s="4">
        <v>0</v>
      </c>
      <c r="AP1043" s="3" t="s">
        <v>59</v>
      </c>
      <c r="AQ1043" s="3" t="s">
        <v>70</v>
      </c>
      <c r="AR1043" s="6" t="str">
        <f>HYPERLINK("http://catalog.hathitrust.org/Record/000010780","HathiTrust Record")</f>
        <v>HathiTrust Record</v>
      </c>
      <c r="AS1043" s="6" t="str">
        <f>HYPERLINK("https://creighton-primo.hosted.exlibrisgroup.com/primo-explore/search?tab=default_tab&amp;search_scope=EVERYTHING&amp;vid=01CRU&amp;lang=en_US&amp;offset=0&amp;query=any,contains,991000860679702656","Catalog Record")</f>
        <v>Catalog Record</v>
      </c>
      <c r="AT1043" s="6" t="str">
        <f>HYPERLINK("http://www.worldcat.org/oclc/741187","WorldCat Record")</f>
        <v>WorldCat Record</v>
      </c>
    </row>
    <row r="1044" spans="1:46" ht="48" customHeight="1" x14ac:dyDescent="0.25">
      <c r="A1044" s="7" t="s">
        <v>59</v>
      </c>
      <c r="B1044" s="2" t="s">
        <v>12424</v>
      </c>
      <c r="C1044" s="2" t="s">
        <v>12425</v>
      </c>
      <c r="D1044" s="2" t="s">
        <v>12426</v>
      </c>
      <c r="E1044" s="3" t="s">
        <v>159</v>
      </c>
      <c r="F1044" s="3" t="s">
        <v>70</v>
      </c>
      <c r="G1044" s="3" t="s">
        <v>60</v>
      </c>
      <c r="H1044" s="3" t="s">
        <v>59</v>
      </c>
      <c r="I1044" s="3" t="s">
        <v>59</v>
      </c>
      <c r="J1044" s="3" t="s">
        <v>61</v>
      </c>
      <c r="L1044" s="2" t="s">
        <v>12427</v>
      </c>
      <c r="M1044" s="3" t="s">
        <v>234</v>
      </c>
      <c r="N1044" s="2" t="s">
        <v>12428</v>
      </c>
      <c r="O1044" s="3" t="s">
        <v>64</v>
      </c>
      <c r="P1044" s="3" t="s">
        <v>2252</v>
      </c>
      <c r="R1044" s="3" t="s">
        <v>11989</v>
      </c>
      <c r="S1044" s="4">
        <v>49</v>
      </c>
      <c r="T1044" s="4">
        <v>83</v>
      </c>
      <c r="U1044" s="5" t="s">
        <v>12429</v>
      </c>
      <c r="V1044" s="5" t="s">
        <v>1339</v>
      </c>
      <c r="W1044" s="5" t="s">
        <v>12430</v>
      </c>
      <c r="X1044" s="5" t="s">
        <v>12430</v>
      </c>
      <c r="Y1044" s="4">
        <v>308</v>
      </c>
      <c r="Z1044" s="4">
        <v>222</v>
      </c>
      <c r="AA1044" s="4">
        <v>224</v>
      </c>
      <c r="AB1044" s="4">
        <v>3</v>
      </c>
      <c r="AC1044" s="4">
        <v>3</v>
      </c>
      <c r="AD1044" s="4">
        <v>8</v>
      </c>
      <c r="AE1044" s="4">
        <v>8</v>
      </c>
      <c r="AF1044" s="4">
        <v>1</v>
      </c>
      <c r="AG1044" s="4">
        <v>1</v>
      </c>
      <c r="AH1044" s="4">
        <v>2</v>
      </c>
      <c r="AI1044" s="4">
        <v>2</v>
      </c>
      <c r="AJ1044" s="4">
        <v>6</v>
      </c>
      <c r="AK1044" s="4">
        <v>6</v>
      </c>
      <c r="AL1044" s="4">
        <v>2</v>
      </c>
      <c r="AM1044" s="4">
        <v>2</v>
      </c>
      <c r="AN1044" s="4">
        <v>0</v>
      </c>
      <c r="AO1044" s="4">
        <v>0</v>
      </c>
      <c r="AP1044" s="3" t="s">
        <v>59</v>
      </c>
      <c r="AQ1044" s="3" t="s">
        <v>70</v>
      </c>
      <c r="AR1044" s="6" t="str">
        <f>HYPERLINK("http://catalog.hathitrust.org/Record/001295076","HathiTrust Record")</f>
        <v>HathiTrust Record</v>
      </c>
      <c r="AS1044" s="6" t="str">
        <f>HYPERLINK("https://creighton-primo.hosted.exlibrisgroup.com/primo-explore/search?tab=default_tab&amp;search_scope=EVERYTHING&amp;vid=01CRU&amp;lang=en_US&amp;offset=0&amp;query=any,contains,991001312389702656","Catalog Record")</f>
        <v>Catalog Record</v>
      </c>
      <c r="AT1044" s="6" t="str">
        <f>HYPERLINK("http://www.worldcat.org/oclc/15520585","WorldCat Record")</f>
        <v>WorldCat Record</v>
      </c>
    </row>
    <row r="1045" spans="1:46" ht="48" customHeight="1" x14ac:dyDescent="0.25">
      <c r="A1045" s="7" t="s">
        <v>59</v>
      </c>
      <c r="B1045" s="2" t="s">
        <v>12424</v>
      </c>
      <c r="C1045" s="2" t="s">
        <v>12425</v>
      </c>
      <c r="D1045" s="2" t="s">
        <v>12426</v>
      </c>
      <c r="E1045" s="3" t="s">
        <v>512</v>
      </c>
      <c r="F1045" s="3" t="s">
        <v>70</v>
      </c>
      <c r="G1045" s="3" t="s">
        <v>60</v>
      </c>
      <c r="H1045" s="3" t="s">
        <v>59</v>
      </c>
      <c r="I1045" s="3" t="s">
        <v>59</v>
      </c>
      <c r="J1045" s="3" t="s">
        <v>61</v>
      </c>
      <c r="L1045" s="2" t="s">
        <v>12427</v>
      </c>
      <c r="M1045" s="3" t="s">
        <v>234</v>
      </c>
      <c r="N1045" s="2" t="s">
        <v>12428</v>
      </c>
      <c r="O1045" s="3" t="s">
        <v>64</v>
      </c>
      <c r="P1045" s="3" t="s">
        <v>2252</v>
      </c>
      <c r="R1045" s="3" t="s">
        <v>11989</v>
      </c>
      <c r="S1045" s="4">
        <v>34</v>
      </c>
      <c r="T1045" s="4">
        <v>83</v>
      </c>
      <c r="U1045" s="5" t="s">
        <v>1339</v>
      </c>
      <c r="V1045" s="5" t="s">
        <v>1339</v>
      </c>
      <c r="W1045" s="5" t="s">
        <v>12430</v>
      </c>
      <c r="X1045" s="5" t="s">
        <v>12430</v>
      </c>
      <c r="Y1045" s="4">
        <v>308</v>
      </c>
      <c r="Z1045" s="4">
        <v>222</v>
      </c>
      <c r="AA1045" s="4">
        <v>224</v>
      </c>
      <c r="AB1045" s="4">
        <v>3</v>
      </c>
      <c r="AC1045" s="4">
        <v>3</v>
      </c>
      <c r="AD1045" s="4">
        <v>8</v>
      </c>
      <c r="AE1045" s="4">
        <v>8</v>
      </c>
      <c r="AF1045" s="4">
        <v>1</v>
      </c>
      <c r="AG1045" s="4">
        <v>1</v>
      </c>
      <c r="AH1045" s="4">
        <v>2</v>
      </c>
      <c r="AI1045" s="4">
        <v>2</v>
      </c>
      <c r="AJ1045" s="4">
        <v>6</v>
      </c>
      <c r="AK1045" s="4">
        <v>6</v>
      </c>
      <c r="AL1045" s="4">
        <v>2</v>
      </c>
      <c r="AM1045" s="4">
        <v>2</v>
      </c>
      <c r="AN1045" s="4">
        <v>0</v>
      </c>
      <c r="AO1045" s="4">
        <v>0</v>
      </c>
      <c r="AP1045" s="3" t="s">
        <v>59</v>
      </c>
      <c r="AQ1045" s="3" t="s">
        <v>70</v>
      </c>
      <c r="AR1045" s="6" t="str">
        <f>HYPERLINK("http://catalog.hathitrust.org/Record/001295076","HathiTrust Record")</f>
        <v>HathiTrust Record</v>
      </c>
      <c r="AS1045" s="6" t="str">
        <f>HYPERLINK("https://creighton-primo.hosted.exlibrisgroup.com/primo-explore/search?tab=default_tab&amp;search_scope=EVERYTHING&amp;vid=01CRU&amp;lang=en_US&amp;offset=0&amp;query=any,contains,991001312389702656","Catalog Record")</f>
        <v>Catalog Record</v>
      </c>
      <c r="AT1045" s="6" t="str">
        <f>HYPERLINK("http://www.worldcat.org/oclc/15520585","WorldCat Record")</f>
        <v>WorldCat Record</v>
      </c>
    </row>
    <row r="1046" spans="1:46" ht="48" customHeight="1" x14ac:dyDescent="0.25">
      <c r="A1046" s="7" t="s">
        <v>59</v>
      </c>
      <c r="B1046" s="2" t="s">
        <v>12431</v>
      </c>
      <c r="C1046" s="2" t="s">
        <v>12432</v>
      </c>
      <c r="D1046" s="2" t="s">
        <v>12433</v>
      </c>
      <c r="F1046" s="3" t="s">
        <v>59</v>
      </c>
      <c r="G1046" s="3" t="s">
        <v>60</v>
      </c>
      <c r="H1046" s="3" t="s">
        <v>59</v>
      </c>
      <c r="I1046" s="3" t="s">
        <v>59</v>
      </c>
      <c r="J1046" s="3" t="s">
        <v>61</v>
      </c>
      <c r="K1046" s="2" t="s">
        <v>12434</v>
      </c>
      <c r="L1046" s="2" t="s">
        <v>8557</v>
      </c>
      <c r="M1046" s="3" t="s">
        <v>333</v>
      </c>
      <c r="O1046" s="3" t="s">
        <v>64</v>
      </c>
      <c r="P1046" s="3" t="s">
        <v>1201</v>
      </c>
      <c r="Q1046" s="2" t="s">
        <v>12435</v>
      </c>
      <c r="R1046" s="3" t="s">
        <v>11989</v>
      </c>
      <c r="S1046" s="4">
        <v>21</v>
      </c>
      <c r="T1046" s="4">
        <v>21</v>
      </c>
      <c r="U1046" s="5" t="s">
        <v>12436</v>
      </c>
      <c r="V1046" s="5" t="s">
        <v>12436</v>
      </c>
      <c r="W1046" s="5" t="s">
        <v>12437</v>
      </c>
      <c r="X1046" s="5" t="s">
        <v>12437</v>
      </c>
      <c r="Y1046" s="4">
        <v>94</v>
      </c>
      <c r="Z1046" s="4">
        <v>79</v>
      </c>
      <c r="AA1046" s="4">
        <v>104</v>
      </c>
      <c r="AB1046" s="4">
        <v>2</v>
      </c>
      <c r="AC1046" s="4">
        <v>3</v>
      </c>
      <c r="AD1046" s="4">
        <v>2</v>
      </c>
      <c r="AE1046" s="4">
        <v>3</v>
      </c>
      <c r="AF1046" s="4">
        <v>0</v>
      </c>
      <c r="AG1046" s="4">
        <v>0</v>
      </c>
      <c r="AH1046" s="4">
        <v>0</v>
      </c>
      <c r="AI1046" s="4">
        <v>0</v>
      </c>
      <c r="AJ1046" s="4">
        <v>1</v>
      </c>
      <c r="AK1046" s="4">
        <v>1</v>
      </c>
      <c r="AL1046" s="4">
        <v>1</v>
      </c>
      <c r="AM1046" s="4">
        <v>2</v>
      </c>
      <c r="AN1046" s="4">
        <v>0</v>
      </c>
      <c r="AO1046" s="4">
        <v>0</v>
      </c>
      <c r="AP1046" s="3" t="s">
        <v>59</v>
      </c>
      <c r="AQ1046" s="3" t="s">
        <v>59</v>
      </c>
      <c r="AS1046" s="6" t="str">
        <f>HYPERLINK("https://creighton-primo.hosted.exlibrisgroup.com/primo-explore/search?tab=default_tab&amp;search_scope=EVERYTHING&amp;vid=01CRU&amp;lang=en_US&amp;offset=0&amp;query=any,contains,991001530109702656","Catalog Record")</f>
        <v>Catalog Record</v>
      </c>
      <c r="AT1046" s="6" t="str">
        <f>HYPERLINK("http://www.worldcat.org/oclc/10823454","WorldCat Record")</f>
        <v>WorldCat Record</v>
      </c>
    </row>
    <row r="1047" spans="1:46" ht="48" customHeight="1" x14ac:dyDescent="0.25">
      <c r="A1047" s="7" t="s">
        <v>59</v>
      </c>
      <c r="B1047" s="2" t="s">
        <v>12438</v>
      </c>
      <c r="C1047" s="2" t="s">
        <v>12439</v>
      </c>
      <c r="D1047" s="2" t="s">
        <v>12440</v>
      </c>
      <c r="F1047" s="3" t="s">
        <v>59</v>
      </c>
      <c r="G1047" s="3" t="s">
        <v>60</v>
      </c>
      <c r="H1047" s="3" t="s">
        <v>59</v>
      </c>
      <c r="I1047" s="3" t="s">
        <v>70</v>
      </c>
      <c r="J1047" s="3" t="s">
        <v>61</v>
      </c>
      <c r="K1047" s="2" t="s">
        <v>12441</v>
      </c>
      <c r="L1047" s="2" t="s">
        <v>12442</v>
      </c>
      <c r="M1047" s="3" t="s">
        <v>3113</v>
      </c>
      <c r="N1047" s="2" t="s">
        <v>926</v>
      </c>
      <c r="O1047" s="3" t="s">
        <v>64</v>
      </c>
      <c r="P1047" s="3" t="s">
        <v>2140</v>
      </c>
      <c r="R1047" s="3" t="s">
        <v>11989</v>
      </c>
      <c r="S1047" s="4">
        <v>4</v>
      </c>
      <c r="T1047" s="4">
        <v>4</v>
      </c>
      <c r="U1047" s="5" t="s">
        <v>12443</v>
      </c>
      <c r="V1047" s="5" t="s">
        <v>12443</v>
      </c>
      <c r="W1047" s="5" t="s">
        <v>4144</v>
      </c>
      <c r="X1047" s="5" t="s">
        <v>4144</v>
      </c>
      <c r="Y1047" s="4">
        <v>345</v>
      </c>
      <c r="Z1047" s="4">
        <v>279</v>
      </c>
      <c r="AA1047" s="4">
        <v>942</v>
      </c>
      <c r="AB1047" s="4">
        <v>3</v>
      </c>
      <c r="AC1047" s="4">
        <v>7</v>
      </c>
      <c r="AD1047" s="4">
        <v>9</v>
      </c>
      <c r="AE1047" s="4">
        <v>20</v>
      </c>
      <c r="AF1047" s="4">
        <v>4</v>
      </c>
      <c r="AG1047" s="4">
        <v>7</v>
      </c>
      <c r="AH1047" s="4">
        <v>1</v>
      </c>
      <c r="AI1047" s="4">
        <v>4</v>
      </c>
      <c r="AJ1047" s="4">
        <v>5</v>
      </c>
      <c r="AK1047" s="4">
        <v>9</v>
      </c>
      <c r="AL1047" s="4">
        <v>1</v>
      </c>
      <c r="AM1047" s="4">
        <v>4</v>
      </c>
      <c r="AN1047" s="4">
        <v>0</v>
      </c>
      <c r="AO1047" s="4">
        <v>0</v>
      </c>
      <c r="AP1047" s="3" t="s">
        <v>59</v>
      </c>
      <c r="AQ1047" s="3" t="s">
        <v>70</v>
      </c>
      <c r="AR1047" s="6" t="str">
        <f>HYPERLINK("http://catalog.hathitrust.org/Record/003578333","HathiTrust Record")</f>
        <v>HathiTrust Record</v>
      </c>
      <c r="AS1047" s="6" t="str">
        <f>HYPERLINK("https://creighton-primo.hosted.exlibrisgroup.com/primo-explore/search?tab=default_tab&amp;search_scope=EVERYTHING&amp;vid=01CRU&amp;lang=en_US&amp;offset=0&amp;query=any,contains,991000298879702656","Catalog Record")</f>
        <v>Catalog Record</v>
      </c>
      <c r="AT1047" s="6" t="str">
        <f>HYPERLINK("http://www.worldcat.org/oclc/45172933","WorldCat Record")</f>
        <v>WorldCat Record</v>
      </c>
    </row>
    <row r="1048" spans="1:46" ht="48" customHeight="1" x14ac:dyDescent="0.25">
      <c r="A1048" s="7" t="s">
        <v>59</v>
      </c>
      <c r="B1048" s="2" t="s">
        <v>12444</v>
      </c>
      <c r="C1048" s="2" t="s">
        <v>12445</v>
      </c>
      <c r="D1048" s="2" t="s">
        <v>12440</v>
      </c>
      <c r="F1048" s="3" t="s">
        <v>59</v>
      </c>
      <c r="G1048" s="3" t="s">
        <v>60</v>
      </c>
      <c r="H1048" s="3" t="s">
        <v>59</v>
      </c>
      <c r="I1048" s="3" t="s">
        <v>70</v>
      </c>
      <c r="J1048" s="3" t="s">
        <v>61</v>
      </c>
      <c r="K1048" s="2" t="s">
        <v>12441</v>
      </c>
      <c r="L1048" s="2" t="s">
        <v>12446</v>
      </c>
      <c r="M1048" s="3" t="s">
        <v>4596</v>
      </c>
      <c r="N1048" s="2" t="s">
        <v>2003</v>
      </c>
      <c r="O1048" s="3" t="s">
        <v>64</v>
      </c>
      <c r="P1048" s="3" t="s">
        <v>2140</v>
      </c>
      <c r="R1048" s="3" t="s">
        <v>11989</v>
      </c>
      <c r="S1048" s="4">
        <v>2</v>
      </c>
      <c r="T1048" s="4">
        <v>2</v>
      </c>
      <c r="U1048" s="5" t="s">
        <v>7148</v>
      </c>
      <c r="V1048" s="5" t="s">
        <v>7148</v>
      </c>
      <c r="W1048" s="5" t="s">
        <v>12447</v>
      </c>
      <c r="X1048" s="5" t="s">
        <v>12447</v>
      </c>
      <c r="Y1048" s="4">
        <v>281</v>
      </c>
      <c r="Z1048" s="4">
        <v>211</v>
      </c>
      <c r="AA1048" s="4">
        <v>942</v>
      </c>
      <c r="AB1048" s="4">
        <v>2</v>
      </c>
      <c r="AC1048" s="4">
        <v>7</v>
      </c>
      <c r="AD1048" s="4">
        <v>2</v>
      </c>
      <c r="AE1048" s="4">
        <v>20</v>
      </c>
      <c r="AF1048" s="4">
        <v>0</v>
      </c>
      <c r="AG1048" s="4">
        <v>7</v>
      </c>
      <c r="AH1048" s="4">
        <v>1</v>
      </c>
      <c r="AI1048" s="4">
        <v>4</v>
      </c>
      <c r="AJ1048" s="4">
        <v>1</v>
      </c>
      <c r="AK1048" s="4">
        <v>9</v>
      </c>
      <c r="AL1048" s="4">
        <v>1</v>
      </c>
      <c r="AM1048" s="4">
        <v>4</v>
      </c>
      <c r="AN1048" s="4">
        <v>0</v>
      </c>
      <c r="AO1048" s="4">
        <v>0</v>
      </c>
      <c r="AP1048" s="3" t="s">
        <v>59</v>
      </c>
      <c r="AQ1048" s="3" t="s">
        <v>70</v>
      </c>
      <c r="AR1048" s="6" t="str">
        <f>HYPERLINK("http://catalog.hathitrust.org/Record/005087996","HathiTrust Record")</f>
        <v>HathiTrust Record</v>
      </c>
      <c r="AS1048" s="6" t="str">
        <f>HYPERLINK("https://creighton-primo.hosted.exlibrisgroup.com/primo-explore/search?tab=default_tab&amp;search_scope=EVERYTHING&amp;vid=01CRU&amp;lang=en_US&amp;offset=0&amp;query=any,contains,991000463959702656","Catalog Record")</f>
        <v>Catalog Record</v>
      </c>
      <c r="AT1048" s="6" t="str">
        <f>HYPERLINK("http://www.worldcat.org/oclc/60792522","WorldCat Record")</f>
        <v>WorldCat Record</v>
      </c>
    </row>
    <row r="1049" spans="1:46" ht="48" customHeight="1" x14ac:dyDescent="0.25">
      <c r="A1049" s="7" t="s">
        <v>59</v>
      </c>
      <c r="B1049" s="2" t="s">
        <v>12448</v>
      </c>
      <c r="C1049" s="2" t="s">
        <v>12449</v>
      </c>
      <c r="D1049" s="2" t="s">
        <v>12450</v>
      </c>
      <c r="F1049" s="3" t="s">
        <v>59</v>
      </c>
      <c r="G1049" s="3" t="s">
        <v>60</v>
      </c>
      <c r="H1049" s="3" t="s">
        <v>59</v>
      </c>
      <c r="I1049" s="3" t="s">
        <v>59</v>
      </c>
      <c r="J1049" s="3" t="s">
        <v>61</v>
      </c>
      <c r="K1049" s="2" t="s">
        <v>12451</v>
      </c>
      <c r="L1049" s="2" t="s">
        <v>11427</v>
      </c>
      <c r="M1049" s="3" t="s">
        <v>519</v>
      </c>
      <c r="N1049" s="2" t="s">
        <v>647</v>
      </c>
      <c r="O1049" s="3" t="s">
        <v>64</v>
      </c>
      <c r="P1049" s="3" t="s">
        <v>130</v>
      </c>
      <c r="R1049" s="3" t="s">
        <v>11989</v>
      </c>
      <c r="S1049" s="4">
        <v>249</v>
      </c>
      <c r="T1049" s="4">
        <v>249</v>
      </c>
      <c r="U1049" s="5" t="s">
        <v>12452</v>
      </c>
      <c r="V1049" s="5" t="s">
        <v>12452</v>
      </c>
      <c r="W1049" s="5" t="s">
        <v>9590</v>
      </c>
      <c r="X1049" s="5" t="s">
        <v>9590</v>
      </c>
      <c r="Y1049" s="4">
        <v>311</v>
      </c>
      <c r="Z1049" s="4">
        <v>188</v>
      </c>
      <c r="AA1049" s="4">
        <v>833</v>
      </c>
      <c r="AB1049" s="4">
        <v>1</v>
      </c>
      <c r="AC1049" s="4">
        <v>5</v>
      </c>
      <c r="AD1049" s="4">
        <v>6</v>
      </c>
      <c r="AE1049" s="4">
        <v>25</v>
      </c>
      <c r="AF1049" s="4">
        <v>1</v>
      </c>
      <c r="AG1049" s="4">
        <v>8</v>
      </c>
      <c r="AH1049" s="4">
        <v>1</v>
      </c>
      <c r="AI1049" s="4">
        <v>5</v>
      </c>
      <c r="AJ1049" s="4">
        <v>5</v>
      </c>
      <c r="AK1049" s="4">
        <v>16</v>
      </c>
      <c r="AL1049" s="4">
        <v>0</v>
      </c>
      <c r="AM1049" s="4">
        <v>3</v>
      </c>
      <c r="AN1049" s="4">
        <v>0</v>
      </c>
      <c r="AO1049" s="4">
        <v>0</v>
      </c>
      <c r="AP1049" s="3" t="s">
        <v>59</v>
      </c>
      <c r="AQ1049" s="3" t="s">
        <v>70</v>
      </c>
      <c r="AR1049" s="6" t="str">
        <f>HYPERLINK("http://catalog.hathitrust.org/Record/002726557","HathiTrust Record")</f>
        <v>HathiTrust Record</v>
      </c>
      <c r="AS1049" s="6" t="str">
        <f>HYPERLINK("https://creighton-primo.hosted.exlibrisgroup.com/primo-explore/search?tab=default_tab&amp;search_scope=EVERYTHING&amp;vid=01CRU&amp;lang=en_US&amp;offset=0&amp;query=any,contains,991000684179702656","Catalog Record")</f>
        <v>Catalog Record</v>
      </c>
      <c r="AT1049" s="6" t="str">
        <f>HYPERLINK("http://www.worldcat.org/oclc/28063971","WorldCat Record")</f>
        <v>WorldCat Record</v>
      </c>
    </row>
    <row r="1050" spans="1:46" ht="48" customHeight="1" x14ac:dyDescent="0.25">
      <c r="A1050" s="7" t="s">
        <v>59</v>
      </c>
      <c r="B1050" s="2" t="s">
        <v>12453</v>
      </c>
      <c r="C1050" s="2" t="s">
        <v>12454</v>
      </c>
      <c r="D1050" s="2" t="s">
        <v>12455</v>
      </c>
      <c r="F1050" s="3" t="s">
        <v>59</v>
      </c>
      <c r="G1050" s="3" t="s">
        <v>60</v>
      </c>
      <c r="H1050" s="3" t="s">
        <v>59</v>
      </c>
      <c r="I1050" s="3" t="s">
        <v>70</v>
      </c>
      <c r="J1050" s="3" t="s">
        <v>61</v>
      </c>
      <c r="K1050" s="2" t="s">
        <v>3352</v>
      </c>
      <c r="L1050" s="2" t="s">
        <v>12456</v>
      </c>
      <c r="M1050" s="3" t="s">
        <v>1351</v>
      </c>
      <c r="N1050" s="2" t="s">
        <v>12457</v>
      </c>
      <c r="O1050" s="3" t="s">
        <v>64</v>
      </c>
      <c r="P1050" s="3" t="s">
        <v>264</v>
      </c>
      <c r="R1050" s="3" t="s">
        <v>11989</v>
      </c>
      <c r="S1050" s="4">
        <v>179</v>
      </c>
      <c r="T1050" s="4">
        <v>179</v>
      </c>
      <c r="U1050" s="5" t="s">
        <v>11051</v>
      </c>
      <c r="V1050" s="5" t="s">
        <v>11051</v>
      </c>
      <c r="W1050" s="5" t="s">
        <v>9656</v>
      </c>
      <c r="X1050" s="5" t="s">
        <v>9656</v>
      </c>
      <c r="Y1050" s="4">
        <v>224</v>
      </c>
      <c r="Z1050" s="4">
        <v>117</v>
      </c>
      <c r="AA1050" s="4">
        <v>390</v>
      </c>
      <c r="AB1050" s="4">
        <v>1</v>
      </c>
      <c r="AC1050" s="4">
        <v>4</v>
      </c>
      <c r="AD1050" s="4">
        <v>4</v>
      </c>
      <c r="AE1050" s="4">
        <v>14</v>
      </c>
      <c r="AF1050" s="4">
        <v>2</v>
      </c>
      <c r="AG1050" s="4">
        <v>5</v>
      </c>
      <c r="AH1050" s="4">
        <v>1</v>
      </c>
      <c r="AI1050" s="4">
        <v>3</v>
      </c>
      <c r="AJ1050" s="4">
        <v>2</v>
      </c>
      <c r="AK1050" s="4">
        <v>7</v>
      </c>
      <c r="AL1050" s="4">
        <v>0</v>
      </c>
      <c r="AM1050" s="4">
        <v>2</v>
      </c>
      <c r="AN1050" s="4">
        <v>0</v>
      </c>
      <c r="AO1050" s="4">
        <v>0</v>
      </c>
      <c r="AP1050" s="3" t="s">
        <v>59</v>
      </c>
      <c r="AQ1050" s="3" t="s">
        <v>70</v>
      </c>
      <c r="AR1050" s="6" t="str">
        <f>HYPERLINK("http://catalog.hathitrust.org/Record/003860263","HathiTrust Record")</f>
        <v>HathiTrust Record</v>
      </c>
      <c r="AS1050" s="6" t="str">
        <f>HYPERLINK("https://creighton-primo.hosted.exlibrisgroup.com/primo-explore/search?tab=default_tab&amp;search_scope=EVERYTHING&amp;vid=01CRU&amp;lang=en_US&amp;offset=0&amp;query=any,contains,991001723949702656","Catalog Record")</f>
        <v>Catalog Record</v>
      </c>
      <c r="AT1050" s="6" t="str">
        <f>HYPERLINK("http://www.worldcat.org/oclc/50447675","WorldCat Record")</f>
        <v>WorldCat Record</v>
      </c>
    </row>
    <row r="1051" spans="1:46" ht="48" customHeight="1" x14ac:dyDescent="0.25">
      <c r="A1051" s="7" t="s">
        <v>59</v>
      </c>
      <c r="B1051" s="2" t="s">
        <v>12458</v>
      </c>
      <c r="C1051" s="2" t="s">
        <v>12459</v>
      </c>
      <c r="D1051" s="2" t="s">
        <v>12460</v>
      </c>
      <c r="F1051" s="3" t="s">
        <v>59</v>
      </c>
      <c r="G1051" s="3" t="s">
        <v>60</v>
      </c>
      <c r="H1051" s="3" t="s">
        <v>59</v>
      </c>
      <c r="I1051" s="3" t="s">
        <v>59</v>
      </c>
      <c r="J1051" s="3" t="s">
        <v>61</v>
      </c>
      <c r="K1051" s="2" t="s">
        <v>12461</v>
      </c>
      <c r="L1051" s="2" t="s">
        <v>12462</v>
      </c>
      <c r="M1051" s="3" t="s">
        <v>590</v>
      </c>
      <c r="O1051" s="3" t="s">
        <v>64</v>
      </c>
      <c r="P1051" s="3" t="s">
        <v>84</v>
      </c>
      <c r="R1051" s="3" t="s">
        <v>11989</v>
      </c>
      <c r="S1051" s="4">
        <v>14</v>
      </c>
      <c r="T1051" s="4">
        <v>14</v>
      </c>
      <c r="U1051" s="5" t="s">
        <v>12233</v>
      </c>
      <c r="V1051" s="5" t="s">
        <v>12233</v>
      </c>
      <c r="W1051" s="5" t="s">
        <v>12463</v>
      </c>
      <c r="X1051" s="5" t="s">
        <v>12463</v>
      </c>
      <c r="Y1051" s="4">
        <v>170</v>
      </c>
      <c r="Z1051" s="4">
        <v>113</v>
      </c>
      <c r="AA1051" s="4">
        <v>115</v>
      </c>
      <c r="AB1051" s="4">
        <v>1</v>
      </c>
      <c r="AC1051" s="4">
        <v>1</v>
      </c>
      <c r="AD1051" s="4">
        <v>2</v>
      </c>
      <c r="AE1051" s="4">
        <v>2</v>
      </c>
      <c r="AF1051" s="4">
        <v>0</v>
      </c>
      <c r="AG1051" s="4">
        <v>0</v>
      </c>
      <c r="AH1051" s="4">
        <v>1</v>
      </c>
      <c r="AI1051" s="4">
        <v>1</v>
      </c>
      <c r="AJ1051" s="4">
        <v>1</v>
      </c>
      <c r="AK1051" s="4">
        <v>1</v>
      </c>
      <c r="AL1051" s="4">
        <v>0</v>
      </c>
      <c r="AM1051" s="4">
        <v>0</v>
      </c>
      <c r="AN1051" s="4">
        <v>0</v>
      </c>
      <c r="AO1051" s="4">
        <v>0</v>
      </c>
      <c r="AP1051" s="3" t="s">
        <v>59</v>
      </c>
      <c r="AQ1051" s="3" t="s">
        <v>70</v>
      </c>
      <c r="AR1051" s="6" t="str">
        <f>HYPERLINK("http://catalog.hathitrust.org/Record/000917761","HathiTrust Record")</f>
        <v>HathiTrust Record</v>
      </c>
      <c r="AS1051" s="6" t="str">
        <f>HYPERLINK("https://creighton-primo.hosted.exlibrisgroup.com/primo-explore/search?tab=default_tab&amp;search_scope=EVERYTHING&amp;vid=01CRU&amp;lang=en_US&amp;offset=0&amp;query=any,contains,991001191789702656","Catalog Record")</f>
        <v>Catalog Record</v>
      </c>
      <c r="AT1051" s="6" t="str">
        <f>HYPERLINK("http://www.worldcat.org/oclc/21041118","WorldCat Record")</f>
        <v>WorldCat Record</v>
      </c>
    </row>
    <row r="1052" spans="1:46" ht="48" customHeight="1" x14ac:dyDescent="0.25">
      <c r="A1052" s="7" t="s">
        <v>59</v>
      </c>
      <c r="B1052" s="2" t="s">
        <v>12464</v>
      </c>
      <c r="C1052" s="2" t="s">
        <v>12465</v>
      </c>
      <c r="D1052" s="2" t="s">
        <v>12466</v>
      </c>
      <c r="F1052" s="3" t="s">
        <v>59</v>
      </c>
      <c r="G1052" s="3" t="s">
        <v>60</v>
      </c>
      <c r="H1052" s="3" t="s">
        <v>59</v>
      </c>
      <c r="I1052" s="3" t="s">
        <v>59</v>
      </c>
      <c r="J1052" s="3" t="s">
        <v>61</v>
      </c>
      <c r="L1052" s="2" t="s">
        <v>12467</v>
      </c>
      <c r="M1052" s="3" t="s">
        <v>333</v>
      </c>
      <c r="O1052" s="3" t="s">
        <v>64</v>
      </c>
      <c r="P1052" s="3" t="s">
        <v>2252</v>
      </c>
      <c r="Q1052" s="2" t="s">
        <v>12468</v>
      </c>
      <c r="R1052" s="3" t="s">
        <v>11989</v>
      </c>
      <c r="S1052" s="4">
        <v>8</v>
      </c>
      <c r="T1052" s="4">
        <v>8</v>
      </c>
      <c r="U1052" s="5" t="s">
        <v>10111</v>
      </c>
      <c r="V1052" s="5" t="s">
        <v>10111</v>
      </c>
      <c r="W1052" s="5" t="s">
        <v>12227</v>
      </c>
      <c r="X1052" s="5" t="s">
        <v>12227</v>
      </c>
      <c r="Y1052" s="4">
        <v>204</v>
      </c>
      <c r="Z1052" s="4">
        <v>162</v>
      </c>
      <c r="AA1052" s="4">
        <v>164</v>
      </c>
      <c r="AB1052" s="4">
        <v>1</v>
      </c>
      <c r="AC1052" s="4">
        <v>1</v>
      </c>
      <c r="AD1052" s="4">
        <v>3</v>
      </c>
      <c r="AE1052" s="4">
        <v>3</v>
      </c>
      <c r="AF1052" s="4">
        <v>0</v>
      </c>
      <c r="AG1052" s="4">
        <v>0</v>
      </c>
      <c r="AH1052" s="4">
        <v>2</v>
      </c>
      <c r="AI1052" s="4">
        <v>2</v>
      </c>
      <c r="AJ1052" s="4">
        <v>2</v>
      </c>
      <c r="AK1052" s="4">
        <v>2</v>
      </c>
      <c r="AL1052" s="4">
        <v>0</v>
      </c>
      <c r="AM1052" s="4">
        <v>0</v>
      </c>
      <c r="AN1052" s="4">
        <v>0</v>
      </c>
      <c r="AO1052" s="4">
        <v>0</v>
      </c>
      <c r="AP1052" s="3" t="s">
        <v>59</v>
      </c>
      <c r="AQ1052" s="3" t="s">
        <v>70</v>
      </c>
      <c r="AR1052" s="6" t="str">
        <f>HYPERLINK("http://catalog.hathitrust.org/Record/000351793","HathiTrust Record")</f>
        <v>HathiTrust Record</v>
      </c>
      <c r="AS1052" s="6" t="str">
        <f>HYPERLINK("https://creighton-primo.hosted.exlibrisgroup.com/primo-explore/search?tab=default_tab&amp;search_scope=EVERYTHING&amp;vid=01CRU&amp;lang=en_US&amp;offset=0&amp;query=any,contains,991000860759702656","Catalog Record")</f>
        <v>Catalog Record</v>
      </c>
      <c r="AT1052" s="6" t="str">
        <f>HYPERLINK("http://www.worldcat.org/oclc/12419580","WorldCat Record")</f>
        <v>WorldCat Record</v>
      </c>
    </row>
    <row r="1053" spans="1:46" ht="48" customHeight="1" x14ac:dyDescent="0.25">
      <c r="A1053" s="7" t="s">
        <v>59</v>
      </c>
      <c r="B1053" s="2" t="s">
        <v>12469</v>
      </c>
      <c r="C1053" s="2" t="s">
        <v>12470</v>
      </c>
      <c r="D1053" s="2" t="s">
        <v>12471</v>
      </c>
      <c r="F1053" s="3" t="s">
        <v>59</v>
      </c>
      <c r="G1053" s="3" t="s">
        <v>60</v>
      </c>
      <c r="H1053" s="3" t="s">
        <v>59</v>
      </c>
      <c r="I1053" s="3" t="s">
        <v>59</v>
      </c>
      <c r="J1053" s="3" t="s">
        <v>61</v>
      </c>
      <c r="K1053" s="2" t="s">
        <v>12472</v>
      </c>
      <c r="L1053" s="2" t="s">
        <v>12473</v>
      </c>
      <c r="M1053" s="3" t="s">
        <v>12474</v>
      </c>
      <c r="O1053" s="3" t="s">
        <v>64</v>
      </c>
      <c r="P1053" s="3" t="s">
        <v>130</v>
      </c>
      <c r="R1053" s="3" t="s">
        <v>11989</v>
      </c>
      <c r="S1053" s="4">
        <v>5</v>
      </c>
      <c r="T1053" s="4">
        <v>5</v>
      </c>
      <c r="U1053" s="5" t="s">
        <v>1409</v>
      </c>
      <c r="V1053" s="5" t="s">
        <v>1409</v>
      </c>
      <c r="W1053" s="5" t="s">
        <v>12227</v>
      </c>
      <c r="X1053" s="5" t="s">
        <v>12227</v>
      </c>
      <c r="Y1053" s="4">
        <v>250</v>
      </c>
      <c r="Z1053" s="4">
        <v>180</v>
      </c>
      <c r="AA1053" s="4">
        <v>296</v>
      </c>
      <c r="AB1053" s="4">
        <v>2</v>
      </c>
      <c r="AC1053" s="4">
        <v>2</v>
      </c>
      <c r="AD1053" s="4">
        <v>7</v>
      </c>
      <c r="AE1053" s="4">
        <v>8</v>
      </c>
      <c r="AF1053" s="4">
        <v>2</v>
      </c>
      <c r="AG1053" s="4">
        <v>2</v>
      </c>
      <c r="AH1053" s="4">
        <v>2</v>
      </c>
      <c r="AI1053" s="4">
        <v>3</v>
      </c>
      <c r="AJ1053" s="4">
        <v>4</v>
      </c>
      <c r="AK1053" s="4">
        <v>5</v>
      </c>
      <c r="AL1053" s="4">
        <v>1</v>
      </c>
      <c r="AM1053" s="4">
        <v>1</v>
      </c>
      <c r="AN1053" s="4">
        <v>0</v>
      </c>
      <c r="AO1053" s="4">
        <v>0</v>
      </c>
      <c r="AP1053" s="3" t="s">
        <v>59</v>
      </c>
      <c r="AQ1053" s="3" t="s">
        <v>59</v>
      </c>
      <c r="AR1053" s="6" t="str">
        <f>HYPERLINK("http://catalog.hathitrust.org/Record/001553409","HathiTrust Record")</f>
        <v>HathiTrust Record</v>
      </c>
      <c r="AS1053" s="6" t="str">
        <f>HYPERLINK("https://creighton-primo.hosted.exlibrisgroup.com/primo-explore/search?tab=default_tab&amp;search_scope=EVERYTHING&amp;vid=01CRU&amp;lang=en_US&amp;offset=0&amp;query=any,contains,991000860849702656","Catalog Record")</f>
        <v>Catalog Record</v>
      </c>
      <c r="AT1053" s="6" t="str">
        <f>HYPERLINK("http://www.worldcat.org/oclc/14553759","WorldCat Record")</f>
        <v>WorldCat Record</v>
      </c>
    </row>
    <row r="1054" spans="1:46" ht="48" customHeight="1" x14ac:dyDescent="0.25">
      <c r="A1054" s="7" t="s">
        <v>59</v>
      </c>
      <c r="B1054" s="2" t="s">
        <v>12475</v>
      </c>
      <c r="C1054" s="2" t="s">
        <v>12476</v>
      </c>
      <c r="D1054" s="2" t="s">
        <v>12477</v>
      </c>
      <c r="F1054" s="3" t="s">
        <v>59</v>
      </c>
      <c r="G1054" s="3" t="s">
        <v>60</v>
      </c>
      <c r="H1054" s="3" t="s">
        <v>59</v>
      </c>
      <c r="I1054" s="3" t="s">
        <v>59</v>
      </c>
      <c r="J1054" s="3" t="s">
        <v>61</v>
      </c>
      <c r="K1054" s="2" t="s">
        <v>12478</v>
      </c>
      <c r="L1054" s="2" t="s">
        <v>12479</v>
      </c>
      <c r="M1054" s="3" t="s">
        <v>190</v>
      </c>
      <c r="O1054" s="3" t="s">
        <v>64</v>
      </c>
      <c r="P1054" s="3" t="s">
        <v>65</v>
      </c>
      <c r="R1054" s="3" t="s">
        <v>11989</v>
      </c>
      <c r="S1054" s="4">
        <v>7</v>
      </c>
      <c r="T1054" s="4">
        <v>7</v>
      </c>
      <c r="U1054" s="5" t="s">
        <v>12480</v>
      </c>
      <c r="V1054" s="5" t="s">
        <v>12480</v>
      </c>
      <c r="W1054" s="5" t="s">
        <v>12227</v>
      </c>
      <c r="X1054" s="5" t="s">
        <v>12227</v>
      </c>
      <c r="Y1054" s="4">
        <v>96</v>
      </c>
      <c r="Z1054" s="4">
        <v>87</v>
      </c>
      <c r="AA1054" s="4">
        <v>102</v>
      </c>
      <c r="AB1054" s="4">
        <v>1</v>
      </c>
      <c r="AC1054" s="4">
        <v>1</v>
      </c>
      <c r="AD1054" s="4">
        <v>1</v>
      </c>
      <c r="AE1054" s="4">
        <v>1</v>
      </c>
      <c r="AF1054" s="4">
        <v>0</v>
      </c>
      <c r="AG1054" s="4">
        <v>0</v>
      </c>
      <c r="AH1054" s="4">
        <v>0</v>
      </c>
      <c r="AI1054" s="4">
        <v>0</v>
      </c>
      <c r="AJ1054" s="4">
        <v>1</v>
      </c>
      <c r="AK1054" s="4">
        <v>1</v>
      </c>
      <c r="AL1054" s="4">
        <v>0</v>
      </c>
      <c r="AM1054" s="4">
        <v>0</v>
      </c>
      <c r="AN1054" s="4">
        <v>0</v>
      </c>
      <c r="AO1054" s="4">
        <v>0</v>
      </c>
      <c r="AP1054" s="3" t="s">
        <v>59</v>
      </c>
      <c r="AQ1054" s="3" t="s">
        <v>70</v>
      </c>
      <c r="AR1054" s="6" t="str">
        <f>HYPERLINK("http://catalog.hathitrust.org/Record/000627872","HathiTrust Record")</f>
        <v>HathiTrust Record</v>
      </c>
      <c r="AS1054" s="6" t="str">
        <f>HYPERLINK("https://creighton-primo.hosted.exlibrisgroup.com/primo-explore/search?tab=default_tab&amp;search_scope=EVERYTHING&amp;vid=01CRU&amp;lang=en_US&amp;offset=0&amp;query=any,contains,991000860909702656","Catalog Record")</f>
        <v>Catalog Record</v>
      </c>
      <c r="AT1054" s="6" t="str">
        <f>HYPERLINK("http://www.worldcat.org/oclc/12974052","WorldCat Record")</f>
        <v>WorldCat Record</v>
      </c>
    </row>
    <row r="1055" spans="1:46" ht="48" customHeight="1" x14ac:dyDescent="0.25">
      <c r="A1055" s="7" t="s">
        <v>59</v>
      </c>
      <c r="B1055" s="2" t="s">
        <v>12481</v>
      </c>
      <c r="C1055" s="2" t="s">
        <v>12482</v>
      </c>
      <c r="D1055" s="2" t="s">
        <v>12483</v>
      </c>
      <c r="F1055" s="3" t="s">
        <v>59</v>
      </c>
      <c r="G1055" s="3" t="s">
        <v>60</v>
      </c>
      <c r="H1055" s="3" t="s">
        <v>59</v>
      </c>
      <c r="I1055" s="3" t="s">
        <v>59</v>
      </c>
      <c r="J1055" s="3" t="s">
        <v>61</v>
      </c>
      <c r="K1055" s="2" t="s">
        <v>12484</v>
      </c>
      <c r="L1055" s="2" t="s">
        <v>12485</v>
      </c>
      <c r="M1055" s="3" t="s">
        <v>5740</v>
      </c>
      <c r="O1055" s="3" t="s">
        <v>64</v>
      </c>
      <c r="P1055" s="3" t="s">
        <v>84</v>
      </c>
      <c r="R1055" s="3" t="s">
        <v>11989</v>
      </c>
      <c r="S1055" s="4">
        <v>3</v>
      </c>
      <c r="T1055" s="4">
        <v>3</v>
      </c>
      <c r="U1055" s="5" t="s">
        <v>12480</v>
      </c>
      <c r="V1055" s="5" t="s">
        <v>12480</v>
      </c>
      <c r="W1055" s="5" t="s">
        <v>12486</v>
      </c>
      <c r="X1055" s="5" t="s">
        <v>12486</v>
      </c>
      <c r="Y1055" s="4">
        <v>92</v>
      </c>
      <c r="Z1055" s="4">
        <v>60</v>
      </c>
      <c r="AA1055" s="4">
        <v>69</v>
      </c>
      <c r="AB1055" s="4">
        <v>1</v>
      </c>
      <c r="AC1055" s="4">
        <v>1</v>
      </c>
      <c r="AD1055" s="4">
        <v>1</v>
      </c>
      <c r="AE1055" s="4">
        <v>2</v>
      </c>
      <c r="AF1055" s="4">
        <v>0</v>
      </c>
      <c r="AG1055" s="4">
        <v>0</v>
      </c>
      <c r="AH1055" s="4">
        <v>1</v>
      </c>
      <c r="AI1055" s="4">
        <v>2</v>
      </c>
      <c r="AJ1055" s="4">
        <v>0</v>
      </c>
      <c r="AK1055" s="4">
        <v>1</v>
      </c>
      <c r="AL1055" s="4">
        <v>0</v>
      </c>
      <c r="AM1055" s="4">
        <v>0</v>
      </c>
      <c r="AN1055" s="4">
        <v>0</v>
      </c>
      <c r="AO1055" s="4">
        <v>0</v>
      </c>
      <c r="AP1055" s="3" t="s">
        <v>59</v>
      </c>
      <c r="AQ1055" s="3" t="s">
        <v>70</v>
      </c>
      <c r="AR1055" s="6" t="str">
        <f>HYPERLINK("http://catalog.hathitrust.org/Record/001553424","HathiTrust Record")</f>
        <v>HathiTrust Record</v>
      </c>
      <c r="AS1055" s="6" t="str">
        <f>HYPERLINK("https://creighton-primo.hosted.exlibrisgroup.com/primo-explore/search?tab=default_tab&amp;search_scope=EVERYTHING&amp;vid=01CRU&amp;lang=en_US&amp;offset=0&amp;query=any,contains,991000860949702656","Catalog Record")</f>
        <v>Catalog Record</v>
      </c>
      <c r="AT1055" s="6" t="str">
        <f>HYPERLINK("http://www.worldcat.org/oclc/336527","WorldCat Record")</f>
        <v>WorldCat Record</v>
      </c>
    </row>
    <row r="1056" spans="1:46" ht="48" customHeight="1" x14ac:dyDescent="0.25">
      <c r="A1056" s="7" t="s">
        <v>59</v>
      </c>
      <c r="B1056" s="2" t="s">
        <v>12487</v>
      </c>
      <c r="C1056" s="2" t="s">
        <v>12488</v>
      </c>
      <c r="D1056" s="2" t="s">
        <v>12489</v>
      </c>
      <c r="F1056" s="3" t="s">
        <v>59</v>
      </c>
      <c r="G1056" s="3" t="s">
        <v>60</v>
      </c>
      <c r="H1056" s="3" t="s">
        <v>59</v>
      </c>
      <c r="I1056" s="3" t="s">
        <v>59</v>
      </c>
      <c r="J1056" s="3" t="s">
        <v>61</v>
      </c>
      <c r="L1056" s="2" t="s">
        <v>12490</v>
      </c>
      <c r="M1056" s="3" t="s">
        <v>175</v>
      </c>
      <c r="O1056" s="3" t="s">
        <v>64</v>
      </c>
      <c r="P1056" s="3" t="s">
        <v>1257</v>
      </c>
      <c r="Q1056" s="2" t="s">
        <v>12491</v>
      </c>
      <c r="R1056" s="3" t="s">
        <v>11989</v>
      </c>
      <c r="S1056" s="4">
        <v>3</v>
      </c>
      <c r="T1056" s="4">
        <v>3</v>
      </c>
      <c r="U1056" s="5" t="s">
        <v>12191</v>
      </c>
      <c r="V1056" s="5" t="s">
        <v>12191</v>
      </c>
      <c r="W1056" s="5" t="s">
        <v>12492</v>
      </c>
      <c r="X1056" s="5" t="s">
        <v>12492</v>
      </c>
      <c r="Y1056" s="4">
        <v>22</v>
      </c>
      <c r="Z1056" s="4">
        <v>15</v>
      </c>
      <c r="AA1056" s="4">
        <v>16</v>
      </c>
      <c r="AB1056" s="4">
        <v>1</v>
      </c>
      <c r="AC1056" s="4">
        <v>1</v>
      </c>
      <c r="AD1056" s="4">
        <v>0</v>
      </c>
      <c r="AE1056" s="4">
        <v>0</v>
      </c>
      <c r="AF1056" s="4">
        <v>0</v>
      </c>
      <c r="AG1056" s="4">
        <v>0</v>
      </c>
      <c r="AH1056" s="4">
        <v>0</v>
      </c>
      <c r="AI1056" s="4">
        <v>0</v>
      </c>
      <c r="AJ1056" s="4">
        <v>0</v>
      </c>
      <c r="AK1056" s="4">
        <v>0</v>
      </c>
      <c r="AL1056" s="4">
        <v>0</v>
      </c>
      <c r="AM1056" s="4">
        <v>0</v>
      </c>
      <c r="AN1056" s="4">
        <v>0</v>
      </c>
      <c r="AO1056" s="4">
        <v>0</v>
      </c>
      <c r="AP1056" s="3" t="s">
        <v>59</v>
      </c>
      <c r="AQ1056" s="3" t="s">
        <v>59</v>
      </c>
      <c r="AS1056" s="6" t="str">
        <f>HYPERLINK("https://creighton-primo.hosted.exlibrisgroup.com/primo-explore/search?tab=default_tab&amp;search_scope=EVERYTHING&amp;vid=01CRU&amp;lang=en_US&amp;offset=0&amp;query=any,contains,991001574139702656","Catalog Record")</f>
        <v>Catalog Record</v>
      </c>
      <c r="AT1056" s="6" t="str">
        <f>HYPERLINK("http://www.worldcat.org/oclc/40543492","WorldCat Record")</f>
        <v>WorldCat Record</v>
      </c>
    </row>
    <row r="1057" spans="1:46" ht="48" customHeight="1" x14ac:dyDescent="0.25">
      <c r="A1057" s="7" t="s">
        <v>59</v>
      </c>
      <c r="B1057" s="2" t="s">
        <v>12493</v>
      </c>
      <c r="C1057" s="2" t="s">
        <v>12494</v>
      </c>
      <c r="D1057" s="2" t="s">
        <v>12495</v>
      </c>
      <c r="F1057" s="3" t="s">
        <v>59</v>
      </c>
      <c r="G1057" s="3" t="s">
        <v>60</v>
      </c>
      <c r="H1057" s="3" t="s">
        <v>59</v>
      </c>
      <c r="I1057" s="3" t="s">
        <v>59</v>
      </c>
      <c r="J1057" s="3" t="s">
        <v>61</v>
      </c>
      <c r="K1057" s="2" t="s">
        <v>12496</v>
      </c>
      <c r="L1057" s="2" t="s">
        <v>12497</v>
      </c>
      <c r="M1057" s="3" t="s">
        <v>129</v>
      </c>
      <c r="O1057" s="3" t="s">
        <v>64</v>
      </c>
      <c r="P1057" s="3" t="s">
        <v>2252</v>
      </c>
      <c r="R1057" s="3" t="s">
        <v>11989</v>
      </c>
      <c r="S1057" s="4">
        <v>6</v>
      </c>
      <c r="T1057" s="4">
        <v>6</v>
      </c>
      <c r="U1057" s="5" t="s">
        <v>207</v>
      </c>
      <c r="V1057" s="5" t="s">
        <v>207</v>
      </c>
      <c r="W1057" s="5" t="s">
        <v>8035</v>
      </c>
      <c r="X1057" s="5" t="s">
        <v>8035</v>
      </c>
      <c r="Y1057" s="4">
        <v>53</v>
      </c>
      <c r="Z1057" s="4">
        <v>34</v>
      </c>
      <c r="AA1057" s="4">
        <v>36</v>
      </c>
      <c r="AB1057" s="4">
        <v>1</v>
      </c>
      <c r="AC1057" s="4">
        <v>1</v>
      </c>
      <c r="AD1057" s="4">
        <v>0</v>
      </c>
      <c r="AE1057" s="4">
        <v>0</v>
      </c>
      <c r="AF1057" s="4">
        <v>0</v>
      </c>
      <c r="AG1057" s="4">
        <v>0</v>
      </c>
      <c r="AH1057" s="4">
        <v>0</v>
      </c>
      <c r="AI1057" s="4">
        <v>0</v>
      </c>
      <c r="AJ1057" s="4">
        <v>0</v>
      </c>
      <c r="AK1057" s="4">
        <v>0</v>
      </c>
      <c r="AL1057" s="4">
        <v>0</v>
      </c>
      <c r="AM1057" s="4">
        <v>0</v>
      </c>
      <c r="AN1057" s="4">
        <v>0</v>
      </c>
      <c r="AO1057" s="4">
        <v>0</v>
      </c>
      <c r="AP1057" s="3" t="s">
        <v>59</v>
      </c>
      <c r="AQ1057" s="3" t="s">
        <v>70</v>
      </c>
      <c r="AR1057" s="6" t="str">
        <f>HYPERLINK("http://catalog.hathitrust.org/Record/002546895","HathiTrust Record")</f>
        <v>HathiTrust Record</v>
      </c>
      <c r="AS1057" s="6" t="str">
        <f>HYPERLINK("https://creighton-primo.hosted.exlibrisgroup.com/primo-explore/search?tab=default_tab&amp;search_scope=EVERYTHING&amp;vid=01CRU&amp;lang=en_US&amp;offset=0&amp;query=any,contains,991001304769702656","Catalog Record")</f>
        <v>Catalog Record</v>
      </c>
      <c r="AT1057" s="6" t="str">
        <f>HYPERLINK("http://www.worldcat.org/oclc/24630521","WorldCat Record")</f>
        <v>WorldCat Record</v>
      </c>
    </row>
    <row r="1058" spans="1:46" ht="48" customHeight="1" x14ac:dyDescent="0.25">
      <c r="A1058" s="7" t="s">
        <v>59</v>
      </c>
      <c r="B1058" s="2" t="s">
        <v>12498</v>
      </c>
      <c r="C1058" s="2" t="s">
        <v>12499</v>
      </c>
      <c r="D1058" s="2" t="s">
        <v>12500</v>
      </c>
      <c r="F1058" s="3" t="s">
        <v>59</v>
      </c>
      <c r="G1058" s="3" t="s">
        <v>60</v>
      </c>
      <c r="H1058" s="3" t="s">
        <v>59</v>
      </c>
      <c r="I1058" s="3" t="s">
        <v>59</v>
      </c>
      <c r="J1058" s="3" t="s">
        <v>61</v>
      </c>
      <c r="L1058" s="2" t="s">
        <v>12501</v>
      </c>
      <c r="M1058" s="3" t="s">
        <v>519</v>
      </c>
      <c r="N1058" s="2" t="s">
        <v>12502</v>
      </c>
      <c r="O1058" s="3" t="s">
        <v>64</v>
      </c>
      <c r="P1058" s="3" t="s">
        <v>1201</v>
      </c>
      <c r="R1058" s="3" t="s">
        <v>11989</v>
      </c>
      <c r="S1058" s="4">
        <v>12</v>
      </c>
      <c r="T1058" s="4">
        <v>12</v>
      </c>
      <c r="U1058" s="5" t="s">
        <v>12503</v>
      </c>
      <c r="V1058" s="5" t="s">
        <v>12503</v>
      </c>
      <c r="W1058" s="5" t="s">
        <v>3739</v>
      </c>
      <c r="X1058" s="5" t="s">
        <v>3739</v>
      </c>
      <c r="Y1058" s="4">
        <v>32</v>
      </c>
      <c r="Z1058" s="4">
        <v>10</v>
      </c>
      <c r="AA1058" s="4">
        <v>96</v>
      </c>
      <c r="AB1058" s="4">
        <v>1</v>
      </c>
      <c r="AC1058" s="4">
        <v>1</v>
      </c>
      <c r="AD1058" s="4">
        <v>0</v>
      </c>
      <c r="AE1058" s="4">
        <v>2</v>
      </c>
      <c r="AF1058" s="4">
        <v>0</v>
      </c>
      <c r="AG1058" s="4">
        <v>2</v>
      </c>
      <c r="AH1058" s="4">
        <v>0</v>
      </c>
      <c r="AI1058" s="4">
        <v>0</v>
      </c>
      <c r="AJ1058" s="4">
        <v>0</v>
      </c>
      <c r="AK1058" s="4">
        <v>2</v>
      </c>
      <c r="AL1058" s="4">
        <v>0</v>
      </c>
      <c r="AM1058" s="4">
        <v>0</v>
      </c>
      <c r="AN1058" s="4">
        <v>0</v>
      </c>
      <c r="AO1058" s="4">
        <v>0</v>
      </c>
      <c r="AP1058" s="3" t="s">
        <v>59</v>
      </c>
      <c r="AQ1058" s="3" t="s">
        <v>70</v>
      </c>
      <c r="AR1058" s="6" t="str">
        <f>HYPERLINK("http://catalog.hathitrust.org/Record/002894265","HathiTrust Record")</f>
        <v>HathiTrust Record</v>
      </c>
      <c r="AS1058" s="6" t="str">
        <f>HYPERLINK("https://creighton-primo.hosted.exlibrisgroup.com/primo-explore/search?tab=default_tab&amp;search_scope=EVERYTHING&amp;vid=01CRU&amp;lang=en_US&amp;offset=0&amp;query=any,contains,991001335189702656","Catalog Record")</f>
        <v>Catalog Record</v>
      </c>
      <c r="AT1058" s="6" t="str">
        <f>HYPERLINK("http://www.worldcat.org/oclc/31313362","WorldCat Record")</f>
        <v>WorldCat Record</v>
      </c>
    </row>
    <row r="1059" spans="1:46" ht="48" customHeight="1" x14ac:dyDescent="0.25">
      <c r="A1059" s="7" t="s">
        <v>59</v>
      </c>
      <c r="B1059" s="2" t="s">
        <v>12504</v>
      </c>
      <c r="C1059" s="2" t="s">
        <v>12505</v>
      </c>
      <c r="D1059" s="2" t="s">
        <v>12506</v>
      </c>
      <c r="F1059" s="3" t="s">
        <v>59</v>
      </c>
      <c r="G1059" s="3" t="s">
        <v>60</v>
      </c>
      <c r="H1059" s="3" t="s">
        <v>59</v>
      </c>
      <c r="I1059" s="3" t="s">
        <v>59</v>
      </c>
      <c r="J1059" s="3" t="s">
        <v>61</v>
      </c>
      <c r="K1059" s="2" t="s">
        <v>12507</v>
      </c>
      <c r="L1059" s="2" t="s">
        <v>12508</v>
      </c>
      <c r="M1059" s="3" t="s">
        <v>190</v>
      </c>
      <c r="N1059" s="2" t="s">
        <v>12509</v>
      </c>
      <c r="O1059" s="3" t="s">
        <v>64</v>
      </c>
      <c r="P1059" s="3" t="s">
        <v>176</v>
      </c>
      <c r="R1059" s="3" t="s">
        <v>11989</v>
      </c>
      <c r="S1059" s="4">
        <v>18</v>
      </c>
      <c r="T1059" s="4">
        <v>18</v>
      </c>
      <c r="U1059" s="5" t="s">
        <v>12510</v>
      </c>
      <c r="V1059" s="5" t="s">
        <v>12510</v>
      </c>
      <c r="W1059" s="5" t="s">
        <v>12227</v>
      </c>
      <c r="X1059" s="5" t="s">
        <v>12227</v>
      </c>
      <c r="Y1059" s="4">
        <v>157</v>
      </c>
      <c r="Z1059" s="4">
        <v>135</v>
      </c>
      <c r="AA1059" s="4">
        <v>485</v>
      </c>
      <c r="AB1059" s="4">
        <v>2</v>
      </c>
      <c r="AC1059" s="4">
        <v>3</v>
      </c>
      <c r="AD1059" s="4">
        <v>2</v>
      </c>
      <c r="AE1059" s="4">
        <v>6</v>
      </c>
      <c r="AF1059" s="4">
        <v>0</v>
      </c>
      <c r="AG1059" s="4">
        <v>1</v>
      </c>
      <c r="AH1059" s="4">
        <v>1</v>
      </c>
      <c r="AI1059" s="4">
        <v>2</v>
      </c>
      <c r="AJ1059" s="4">
        <v>0</v>
      </c>
      <c r="AK1059" s="4">
        <v>4</v>
      </c>
      <c r="AL1059" s="4">
        <v>1</v>
      </c>
      <c r="AM1059" s="4">
        <v>1</v>
      </c>
      <c r="AN1059" s="4">
        <v>0</v>
      </c>
      <c r="AO1059" s="4">
        <v>0</v>
      </c>
      <c r="AP1059" s="3" t="s">
        <v>59</v>
      </c>
      <c r="AQ1059" s="3" t="s">
        <v>70</v>
      </c>
      <c r="AR1059" s="6" t="str">
        <f>HYPERLINK("http://catalog.hathitrust.org/Record/008161030","HathiTrust Record")</f>
        <v>HathiTrust Record</v>
      </c>
      <c r="AS1059" s="6" t="str">
        <f>HYPERLINK("https://creighton-primo.hosted.exlibrisgroup.com/primo-explore/search?tab=default_tab&amp;search_scope=EVERYTHING&amp;vid=01CRU&amp;lang=en_US&amp;offset=0&amp;query=any,contains,991001267379702656","Catalog Record")</f>
        <v>Catalog Record</v>
      </c>
      <c r="AT1059" s="6" t="str">
        <f>HYPERLINK("http://www.worldcat.org/oclc/13726240","WorldCat Record")</f>
        <v>WorldCat Record</v>
      </c>
    </row>
    <row r="1060" spans="1:46" ht="48" customHeight="1" x14ac:dyDescent="0.25">
      <c r="A1060" s="7" t="s">
        <v>59</v>
      </c>
      <c r="B1060" s="2" t="s">
        <v>12511</v>
      </c>
      <c r="C1060" s="2" t="s">
        <v>12512</v>
      </c>
      <c r="D1060" s="2" t="s">
        <v>12513</v>
      </c>
      <c r="F1060" s="3" t="s">
        <v>59</v>
      </c>
      <c r="G1060" s="3" t="s">
        <v>60</v>
      </c>
      <c r="H1060" s="3" t="s">
        <v>59</v>
      </c>
      <c r="I1060" s="3" t="s">
        <v>70</v>
      </c>
      <c r="J1060" s="3" t="s">
        <v>61</v>
      </c>
      <c r="K1060" s="2" t="s">
        <v>12514</v>
      </c>
      <c r="L1060" s="2" t="s">
        <v>12515</v>
      </c>
      <c r="M1060" s="3" t="s">
        <v>590</v>
      </c>
      <c r="N1060" s="2" t="s">
        <v>926</v>
      </c>
      <c r="O1060" s="3" t="s">
        <v>64</v>
      </c>
      <c r="P1060" s="3" t="s">
        <v>264</v>
      </c>
      <c r="R1060" s="3" t="s">
        <v>11989</v>
      </c>
      <c r="S1060" s="4">
        <v>12</v>
      </c>
      <c r="T1060" s="4">
        <v>12</v>
      </c>
      <c r="U1060" s="5" t="s">
        <v>12516</v>
      </c>
      <c r="V1060" s="5" t="s">
        <v>12516</v>
      </c>
      <c r="W1060" s="5" t="s">
        <v>12517</v>
      </c>
      <c r="X1060" s="5" t="s">
        <v>12517</v>
      </c>
      <c r="Y1060" s="4">
        <v>185</v>
      </c>
      <c r="Z1060" s="4">
        <v>148</v>
      </c>
      <c r="AA1060" s="4">
        <v>395</v>
      </c>
      <c r="AB1060" s="4">
        <v>2</v>
      </c>
      <c r="AC1060" s="4">
        <v>5</v>
      </c>
      <c r="AD1060" s="4">
        <v>8</v>
      </c>
      <c r="AE1060" s="4">
        <v>17</v>
      </c>
      <c r="AF1060" s="4">
        <v>3</v>
      </c>
      <c r="AG1060" s="4">
        <v>6</v>
      </c>
      <c r="AH1060" s="4">
        <v>1</v>
      </c>
      <c r="AI1060" s="4">
        <v>3</v>
      </c>
      <c r="AJ1060" s="4">
        <v>4</v>
      </c>
      <c r="AK1060" s="4">
        <v>8</v>
      </c>
      <c r="AL1060" s="4">
        <v>1</v>
      </c>
      <c r="AM1060" s="4">
        <v>3</v>
      </c>
      <c r="AN1060" s="4">
        <v>0</v>
      </c>
      <c r="AO1060" s="4">
        <v>0</v>
      </c>
      <c r="AP1060" s="3" t="s">
        <v>59</v>
      </c>
      <c r="AQ1060" s="3" t="s">
        <v>59</v>
      </c>
      <c r="AS1060" s="6" t="str">
        <f>HYPERLINK("https://creighton-primo.hosted.exlibrisgroup.com/primo-explore/search?tab=default_tab&amp;search_scope=EVERYTHING&amp;vid=01CRU&amp;lang=en_US&amp;offset=0&amp;query=any,contains,991001419739702656","Catalog Record")</f>
        <v>Catalog Record</v>
      </c>
      <c r="AT1060" s="6" t="str">
        <f>HYPERLINK("http://www.worldcat.org/oclc/16983077","WorldCat Record")</f>
        <v>WorldCat Record</v>
      </c>
    </row>
    <row r="1061" spans="1:46" ht="48" customHeight="1" x14ac:dyDescent="0.25">
      <c r="A1061" s="7" t="s">
        <v>59</v>
      </c>
      <c r="B1061" s="2" t="s">
        <v>12518</v>
      </c>
      <c r="C1061" s="2" t="s">
        <v>12519</v>
      </c>
      <c r="D1061" s="2" t="s">
        <v>12520</v>
      </c>
      <c r="F1061" s="3" t="s">
        <v>59</v>
      </c>
      <c r="G1061" s="3" t="s">
        <v>60</v>
      </c>
      <c r="H1061" s="3" t="s">
        <v>59</v>
      </c>
      <c r="I1061" s="3" t="s">
        <v>59</v>
      </c>
      <c r="J1061" s="3" t="s">
        <v>61</v>
      </c>
      <c r="K1061" s="2" t="s">
        <v>12521</v>
      </c>
      <c r="L1061" s="2" t="s">
        <v>12522</v>
      </c>
      <c r="M1061" s="3" t="s">
        <v>319</v>
      </c>
      <c r="O1061" s="3" t="s">
        <v>64</v>
      </c>
      <c r="P1061" s="3" t="s">
        <v>130</v>
      </c>
      <c r="R1061" s="3" t="s">
        <v>11989</v>
      </c>
      <c r="S1061" s="4">
        <v>1</v>
      </c>
      <c r="T1061" s="4">
        <v>1</v>
      </c>
      <c r="U1061" s="5" t="s">
        <v>9395</v>
      </c>
      <c r="V1061" s="5" t="s">
        <v>9395</v>
      </c>
      <c r="W1061" s="5" t="s">
        <v>12227</v>
      </c>
      <c r="X1061" s="5" t="s">
        <v>12227</v>
      </c>
      <c r="Y1061" s="4">
        <v>35</v>
      </c>
      <c r="Z1061" s="4">
        <v>32</v>
      </c>
      <c r="AA1061" s="4">
        <v>33</v>
      </c>
      <c r="AB1061" s="4">
        <v>1</v>
      </c>
      <c r="AC1061" s="4">
        <v>1</v>
      </c>
      <c r="AD1061" s="4">
        <v>0</v>
      </c>
      <c r="AE1061" s="4">
        <v>0</v>
      </c>
      <c r="AF1061" s="4">
        <v>0</v>
      </c>
      <c r="AG1061" s="4">
        <v>0</v>
      </c>
      <c r="AH1061" s="4">
        <v>0</v>
      </c>
      <c r="AI1061" s="4">
        <v>0</v>
      </c>
      <c r="AJ1061" s="4">
        <v>0</v>
      </c>
      <c r="AK1061" s="4">
        <v>0</v>
      </c>
      <c r="AL1061" s="4">
        <v>0</v>
      </c>
      <c r="AM1061" s="4">
        <v>0</v>
      </c>
      <c r="AN1061" s="4">
        <v>0</v>
      </c>
      <c r="AO1061" s="4">
        <v>0</v>
      </c>
      <c r="AP1061" s="3" t="s">
        <v>59</v>
      </c>
      <c r="AQ1061" s="3" t="s">
        <v>70</v>
      </c>
      <c r="AR1061" s="6" t="str">
        <f>HYPERLINK("http://catalog.hathitrust.org/Record/000324635","HathiTrust Record")</f>
        <v>HathiTrust Record</v>
      </c>
      <c r="AS1061" s="6" t="str">
        <f>HYPERLINK("https://creighton-primo.hosted.exlibrisgroup.com/primo-explore/search?tab=default_tab&amp;search_scope=EVERYTHING&amp;vid=01CRU&amp;lang=en_US&amp;offset=0&amp;query=any,contains,991000861049702656","Catalog Record")</f>
        <v>Catalog Record</v>
      </c>
      <c r="AT1061" s="6" t="str">
        <f>HYPERLINK("http://www.worldcat.org/oclc/10881980","WorldCat Record")</f>
        <v>WorldCat Record</v>
      </c>
    </row>
    <row r="1062" spans="1:46" ht="48" customHeight="1" x14ac:dyDescent="0.25">
      <c r="A1062" s="7" t="s">
        <v>59</v>
      </c>
      <c r="B1062" s="2" t="s">
        <v>12523</v>
      </c>
      <c r="C1062" s="2" t="s">
        <v>12524</v>
      </c>
      <c r="D1062" s="2" t="s">
        <v>12525</v>
      </c>
      <c r="F1062" s="3" t="s">
        <v>59</v>
      </c>
      <c r="G1062" s="3" t="s">
        <v>60</v>
      </c>
      <c r="H1062" s="3" t="s">
        <v>59</v>
      </c>
      <c r="I1062" s="3" t="s">
        <v>59</v>
      </c>
      <c r="J1062" s="3" t="s">
        <v>61</v>
      </c>
      <c r="K1062" s="2" t="s">
        <v>12526</v>
      </c>
      <c r="L1062" s="2" t="s">
        <v>12527</v>
      </c>
      <c r="M1062" s="3" t="s">
        <v>129</v>
      </c>
      <c r="N1062" s="2" t="s">
        <v>2933</v>
      </c>
      <c r="O1062" s="3" t="s">
        <v>64</v>
      </c>
      <c r="P1062" s="3" t="s">
        <v>176</v>
      </c>
      <c r="R1062" s="3" t="s">
        <v>11989</v>
      </c>
      <c r="S1062" s="4">
        <v>10</v>
      </c>
      <c r="T1062" s="4">
        <v>10</v>
      </c>
      <c r="U1062" s="5" t="s">
        <v>12528</v>
      </c>
      <c r="V1062" s="5" t="s">
        <v>12528</v>
      </c>
      <c r="W1062" s="5" t="s">
        <v>12529</v>
      </c>
      <c r="X1062" s="5" t="s">
        <v>12529</v>
      </c>
      <c r="Y1062" s="4">
        <v>59</v>
      </c>
      <c r="Z1062" s="4">
        <v>49</v>
      </c>
      <c r="AA1062" s="4">
        <v>110</v>
      </c>
      <c r="AB1062" s="4">
        <v>1</v>
      </c>
      <c r="AC1062" s="4">
        <v>1</v>
      </c>
      <c r="AD1062" s="4">
        <v>0</v>
      </c>
      <c r="AE1062" s="4">
        <v>1</v>
      </c>
      <c r="AF1062" s="4">
        <v>0</v>
      </c>
      <c r="AG1062" s="4">
        <v>1</v>
      </c>
      <c r="AH1062" s="4">
        <v>0</v>
      </c>
      <c r="AI1062" s="4">
        <v>0</v>
      </c>
      <c r="AJ1062" s="4">
        <v>0</v>
      </c>
      <c r="AK1062" s="4">
        <v>1</v>
      </c>
      <c r="AL1062" s="4">
        <v>0</v>
      </c>
      <c r="AM1062" s="4">
        <v>0</v>
      </c>
      <c r="AN1062" s="4">
        <v>0</v>
      </c>
      <c r="AO1062" s="4">
        <v>0</v>
      </c>
      <c r="AP1062" s="3" t="s">
        <v>59</v>
      </c>
      <c r="AQ1062" s="3" t="s">
        <v>59</v>
      </c>
      <c r="AS1062" s="6" t="str">
        <f>HYPERLINK("https://creighton-primo.hosted.exlibrisgroup.com/primo-explore/search?tab=default_tab&amp;search_scope=EVERYTHING&amp;vid=01CRU&amp;lang=en_US&amp;offset=0&amp;query=any,contains,991001341729702656","Catalog Record")</f>
        <v>Catalog Record</v>
      </c>
      <c r="AT1062" s="6" t="str">
        <f>HYPERLINK("http://www.worldcat.org/oclc/24501696","WorldCat Record")</f>
        <v>WorldCat Record</v>
      </c>
    </row>
    <row r="1063" spans="1:46" ht="48" customHeight="1" x14ac:dyDescent="0.25">
      <c r="A1063" s="7" t="s">
        <v>59</v>
      </c>
      <c r="B1063" s="2" t="s">
        <v>12530</v>
      </c>
      <c r="C1063" s="2" t="s">
        <v>12531</v>
      </c>
      <c r="D1063" s="2" t="s">
        <v>12532</v>
      </c>
      <c r="F1063" s="3" t="s">
        <v>59</v>
      </c>
      <c r="G1063" s="3" t="s">
        <v>60</v>
      </c>
      <c r="H1063" s="3" t="s">
        <v>59</v>
      </c>
      <c r="I1063" s="3" t="s">
        <v>59</v>
      </c>
      <c r="J1063" s="3" t="s">
        <v>61</v>
      </c>
      <c r="K1063" s="2" t="s">
        <v>12533</v>
      </c>
      <c r="L1063" s="2" t="s">
        <v>12534</v>
      </c>
      <c r="M1063" s="3" t="s">
        <v>190</v>
      </c>
      <c r="O1063" s="3" t="s">
        <v>64</v>
      </c>
      <c r="P1063" s="3" t="s">
        <v>912</v>
      </c>
      <c r="R1063" s="3" t="s">
        <v>11989</v>
      </c>
      <c r="S1063" s="4">
        <v>8</v>
      </c>
      <c r="T1063" s="4">
        <v>8</v>
      </c>
      <c r="U1063" s="5" t="s">
        <v>12535</v>
      </c>
      <c r="V1063" s="5" t="s">
        <v>12535</v>
      </c>
      <c r="W1063" s="5" t="s">
        <v>12227</v>
      </c>
      <c r="X1063" s="5" t="s">
        <v>12227</v>
      </c>
      <c r="Y1063" s="4">
        <v>326</v>
      </c>
      <c r="Z1063" s="4">
        <v>279</v>
      </c>
      <c r="AA1063" s="4">
        <v>305</v>
      </c>
      <c r="AB1063" s="4">
        <v>3</v>
      </c>
      <c r="AC1063" s="4">
        <v>3</v>
      </c>
      <c r="AD1063" s="4">
        <v>11</v>
      </c>
      <c r="AE1063" s="4">
        <v>11</v>
      </c>
      <c r="AF1063" s="4">
        <v>3</v>
      </c>
      <c r="AG1063" s="4">
        <v>3</v>
      </c>
      <c r="AH1063" s="4">
        <v>3</v>
      </c>
      <c r="AI1063" s="4">
        <v>3</v>
      </c>
      <c r="AJ1063" s="4">
        <v>7</v>
      </c>
      <c r="AK1063" s="4">
        <v>7</v>
      </c>
      <c r="AL1063" s="4">
        <v>2</v>
      </c>
      <c r="AM1063" s="4">
        <v>2</v>
      </c>
      <c r="AN1063" s="4">
        <v>0</v>
      </c>
      <c r="AO1063" s="4">
        <v>0</v>
      </c>
      <c r="AP1063" s="3" t="s">
        <v>59</v>
      </c>
      <c r="AQ1063" s="3" t="s">
        <v>70</v>
      </c>
      <c r="AR1063" s="6" t="str">
        <f>HYPERLINK("http://catalog.hathitrust.org/Record/000438326","HathiTrust Record")</f>
        <v>HathiTrust Record</v>
      </c>
      <c r="AS1063" s="6" t="str">
        <f>HYPERLINK("https://creighton-primo.hosted.exlibrisgroup.com/primo-explore/search?tab=default_tab&amp;search_scope=EVERYTHING&amp;vid=01CRU&amp;lang=en_US&amp;offset=0&amp;query=any,contains,991000759769702656","Catalog Record")</f>
        <v>Catalog Record</v>
      </c>
      <c r="AT1063" s="6" t="str">
        <f>HYPERLINK("http://www.worldcat.org/oclc/12263224","WorldCat Record")</f>
        <v>WorldCat Record</v>
      </c>
    </row>
    <row r="1064" spans="1:46" ht="48" customHeight="1" x14ac:dyDescent="0.25">
      <c r="A1064" s="7" t="s">
        <v>59</v>
      </c>
      <c r="B1064" s="2" t="s">
        <v>12536</v>
      </c>
      <c r="C1064" s="2" t="s">
        <v>12537</v>
      </c>
      <c r="D1064" s="2" t="s">
        <v>12538</v>
      </c>
      <c r="F1064" s="3" t="s">
        <v>59</v>
      </c>
      <c r="G1064" s="3" t="s">
        <v>60</v>
      </c>
      <c r="H1064" s="3" t="s">
        <v>59</v>
      </c>
      <c r="I1064" s="3" t="s">
        <v>59</v>
      </c>
      <c r="J1064" s="3" t="s">
        <v>61</v>
      </c>
      <c r="K1064" s="2" t="s">
        <v>12539</v>
      </c>
      <c r="L1064" s="2" t="s">
        <v>12540</v>
      </c>
      <c r="M1064" s="3" t="s">
        <v>348</v>
      </c>
      <c r="N1064" s="2" t="s">
        <v>731</v>
      </c>
      <c r="O1064" s="3" t="s">
        <v>64</v>
      </c>
      <c r="P1064" s="3" t="s">
        <v>130</v>
      </c>
      <c r="R1064" s="3" t="s">
        <v>11989</v>
      </c>
      <c r="S1064" s="4">
        <v>3</v>
      </c>
      <c r="T1064" s="4">
        <v>3</v>
      </c>
      <c r="U1064" s="5" t="s">
        <v>3580</v>
      </c>
      <c r="V1064" s="5" t="s">
        <v>3580</v>
      </c>
      <c r="W1064" s="5" t="s">
        <v>12541</v>
      </c>
      <c r="X1064" s="5" t="s">
        <v>12541</v>
      </c>
      <c r="Y1064" s="4">
        <v>394</v>
      </c>
      <c r="Z1064" s="4">
        <v>373</v>
      </c>
      <c r="AA1064" s="4">
        <v>390</v>
      </c>
      <c r="AB1064" s="4">
        <v>3</v>
      </c>
      <c r="AC1064" s="4">
        <v>3</v>
      </c>
      <c r="AD1064" s="4">
        <v>1</v>
      </c>
      <c r="AE1064" s="4">
        <v>1</v>
      </c>
      <c r="AF1064" s="4">
        <v>0</v>
      </c>
      <c r="AG1064" s="4">
        <v>0</v>
      </c>
      <c r="AH1064" s="4">
        <v>0</v>
      </c>
      <c r="AI1064" s="4">
        <v>0</v>
      </c>
      <c r="AJ1064" s="4">
        <v>1</v>
      </c>
      <c r="AK1064" s="4">
        <v>1</v>
      </c>
      <c r="AL1064" s="4">
        <v>0</v>
      </c>
      <c r="AM1064" s="4">
        <v>0</v>
      </c>
      <c r="AN1064" s="4">
        <v>0</v>
      </c>
      <c r="AO1064" s="4">
        <v>0</v>
      </c>
      <c r="AP1064" s="3" t="s">
        <v>59</v>
      </c>
      <c r="AQ1064" s="3" t="s">
        <v>70</v>
      </c>
      <c r="AR1064" s="6" t="str">
        <f>HYPERLINK("http://catalog.hathitrust.org/Record/101946857","HathiTrust Record")</f>
        <v>HathiTrust Record</v>
      </c>
      <c r="AS1064" s="6" t="str">
        <f>HYPERLINK("https://creighton-primo.hosted.exlibrisgroup.com/primo-explore/search?tab=default_tab&amp;search_scope=EVERYTHING&amp;vid=01CRU&amp;lang=en_US&amp;offset=0&amp;query=any,contains,991000682739702656","Catalog Record")</f>
        <v>Catalog Record</v>
      </c>
      <c r="AT1064" s="6" t="str">
        <f>HYPERLINK("http://www.worldcat.org/oclc/27144249","WorldCat Record")</f>
        <v>WorldCat Record</v>
      </c>
    </row>
    <row r="1065" spans="1:46" ht="48" customHeight="1" x14ac:dyDescent="0.25">
      <c r="A1065" s="7" t="s">
        <v>59</v>
      </c>
      <c r="B1065" s="2" t="s">
        <v>12542</v>
      </c>
      <c r="C1065" s="2" t="s">
        <v>12543</v>
      </c>
      <c r="D1065" s="2" t="s">
        <v>12544</v>
      </c>
      <c r="F1065" s="3" t="s">
        <v>59</v>
      </c>
      <c r="G1065" s="3" t="s">
        <v>60</v>
      </c>
      <c r="H1065" s="3" t="s">
        <v>59</v>
      </c>
      <c r="I1065" s="3" t="s">
        <v>59</v>
      </c>
      <c r="J1065" s="3" t="s">
        <v>61</v>
      </c>
      <c r="L1065" s="2" t="s">
        <v>12545</v>
      </c>
      <c r="M1065" s="3" t="s">
        <v>590</v>
      </c>
      <c r="O1065" s="3" t="s">
        <v>64</v>
      </c>
      <c r="P1065" s="3" t="s">
        <v>176</v>
      </c>
      <c r="R1065" s="3" t="s">
        <v>11989</v>
      </c>
      <c r="S1065" s="4">
        <v>29</v>
      </c>
      <c r="T1065" s="4">
        <v>29</v>
      </c>
      <c r="U1065" s="5" t="s">
        <v>12546</v>
      </c>
      <c r="V1065" s="5" t="s">
        <v>12546</v>
      </c>
      <c r="W1065" s="5" t="s">
        <v>12547</v>
      </c>
      <c r="X1065" s="5" t="s">
        <v>12547</v>
      </c>
      <c r="Y1065" s="4">
        <v>72</v>
      </c>
      <c r="Z1065" s="4">
        <v>62</v>
      </c>
      <c r="AA1065" s="4">
        <v>62</v>
      </c>
      <c r="AB1065" s="4">
        <v>1</v>
      </c>
      <c r="AC1065" s="4">
        <v>1</v>
      </c>
      <c r="AD1065" s="4">
        <v>1</v>
      </c>
      <c r="AE1065" s="4">
        <v>1</v>
      </c>
      <c r="AF1065" s="4">
        <v>0</v>
      </c>
      <c r="AG1065" s="4">
        <v>0</v>
      </c>
      <c r="AH1065" s="4">
        <v>1</v>
      </c>
      <c r="AI1065" s="4">
        <v>1</v>
      </c>
      <c r="AJ1065" s="4">
        <v>1</v>
      </c>
      <c r="AK1065" s="4">
        <v>1</v>
      </c>
      <c r="AL1065" s="4">
        <v>0</v>
      </c>
      <c r="AM1065" s="4">
        <v>0</v>
      </c>
      <c r="AN1065" s="4">
        <v>0</v>
      </c>
      <c r="AO1065" s="4">
        <v>0</v>
      </c>
      <c r="AP1065" s="3" t="s">
        <v>59</v>
      </c>
      <c r="AQ1065" s="3" t="s">
        <v>59</v>
      </c>
      <c r="AS1065" s="6" t="str">
        <f>HYPERLINK("https://creighton-primo.hosted.exlibrisgroup.com/primo-explore/search?tab=default_tab&amp;search_scope=EVERYTHING&amp;vid=01CRU&amp;lang=en_US&amp;offset=0&amp;query=any,contains,991001425069702656","Catalog Record")</f>
        <v>Catalog Record</v>
      </c>
      <c r="AT1065" s="6" t="str">
        <f>HYPERLINK("http://www.worldcat.org/oclc/16801319","WorldCat Record")</f>
        <v>WorldCat Record</v>
      </c>
    </row>
    <row r="1066" spans="1:46" ht="48" customHeight="1" x14ac:dyDescent="0.25">
      <c r="A1066" s="7" t="s">
        <v>59</v>
      </c>
      <c r="B1066" s="2" t="s">
        <v>12548</v>
      </c>
      <c r="C1066" s="2" t="s">
        <v>12549</v>
      </c>
      <c r="D1066" s="2" t="s">
        <v>12550</v>
      </c>
      <c r="F1066" s="3" t="s">
        <v>59</v>
      </c>
      <c r="G1066" s="3" t="s">
        <v>60</v>
      </c>
      <c r="H1066" s="3" t="s">
        <v>59</v>
      </c>
      <c r="I1066" s="3" t="s">
        <v>59</v>
      </c>
      <c r="J1066" s="3" t="s">
        <v>61</v>
      </c>
      <c r="K1066" s="2" t="s">
        <v>12551</v>
      </c>
      <c r="L1066" s="2" t="s">
        <v>12552</v>
      </c>
      <c r="M1066" s="3" t="s">
        <v>1611</v>
      </c>
      <c r="N1066" s="2" t="s">
        <v>12018</v>
      </c>
      <c r="O1066" s="3" t="s">
        <v>64</v>
      </c>
      <c r="P1066" s="3" t="s">
        <v>115</v>
      </c>
      <c r="R1066" s="3" t="s">
        <v>11989</v>
      </c>
      <c r="S1066" s="4">
        <v>4</v>
      </c>
      <c r="T1066" s="4">
        <v>4</v>
      </c>
      <c r="U1066" s="5" t="s">
        <v>12553</v>
      </c>
      <c r="V1066" s="5" t="s">
        <v>12553</v>
      </c>
      <c r="W1066" s="5" t="s">
        <v>12554</v>
      </c>
      <c r="X1066" s="5" t="s">
        <v>12554</v>
      </c>
      <c r="Y1066" s="4">
        <v>244</v>
      </c>
      <c r="Z1066" s="4">
        <v>184</v>
      </c>
      <c r="AA1066" s="4">
        <v>885</v>
      </c>
      <c r="AB1066" s="4">
        <v>1</v>
      </c>
      <c r="AC1066" s="4">
        <v>8</v>
      </c>
      <c r="AD1066" s="4">
        <v>4</v>
      </c>
      <c r="AE1066" s="4">
        <v>25</v>
      </c>
      <c r="AF1066" s="4">
        <v>1</v>
      </c>
      <c r="AG1066" s="4">
        <v>7</v>
      </c>
      <c r="AH1066" s="4">
        <v>2</v>
      </c>
      <c r="AI1066" s="4">
        <v>7</v>
      </c>
      <c r="AJ1066" s="4">
        <v>2</v>
      </c>
      <c r="AK1066" s="4">
        <v>8</v>
      </c>
      <c r="AL1066" s="4">
        <v>0</v>
      </c>
      <c r="AM1066" s="4">
        <v>3</v>
      </c>
      <c r="AN1066" s="4">
        <v>0</v>
      </c>
      <c r="AO1066" s="4">
        <v>5</v>
      </c>
      <c r="AP1066" s="3" t="s">
        <v>59</v>
      </c>
      <c r="AQ1066" s="3" t="s">
        <v>59</v>
      </c>
      <c r="AS1066" s="6" t="str">
        <f>HYPERLINK("https://creighton-primo.hosted.exlibrisgroup.com/primo-explore/search?tab=default_tab&amp;search_scope=EVERYTHING&amp;vid=01CRU&amp;lang=en_US&amp;offset=0&amp;query=any,contains,991000832989702656","Catalog Record")</f>
        <v>Catalog Record</v>
      </c>
      <c r="AT1066" s="6" t="str">
        <f>HYPERLINK("http://www.worldcat.org/oclc/32397553","WorldCat Record")</f>
        <v>WorldCat Record</v>
      </c>
    </row>
    <row r="1067" spans="1:46" ht="48" customHeight="1" x14ac:dyDescent="0.25">
      <c r="A1067" s="7" t="s">
        <v>59</v>
      </c>
      <c r="B1067" s="2" t="s">
        <v>12555</v>
      </c>
      <c r="C1067" s="2" t="s">
        <v>12556</v>
      </c>
      <c r="D1067" s="2" t="s">
        <v>12557</v>
      </c>
      <c r="F1067" s="3" t="s">
        <v>59</v>
      </c>
      <c r="G1067" s="3" t="s">
        <v>60</v>
      </c>
      <c r="H1067" s="3" t="s">
        <v>59</v>
      </c>
      <c r="I1067" s="3" t="s">
        <v>59</v>
      </c>
      <c r="J1067" s="3" t="s">
        <v>61</v>
      </c>
      <c r="L1067" s="2" t="s">
        <v>12558</v>
      </c>
      <c r="M1067" s="3" t="s">
        <v>363</v>
      </c>
      <c r="O1067" s="3" t="s">
        <v>64</v>
      </c>
      <c r="P1067" s="3" t="s">
        <v>2252</v>
      </c>
      <c r="R1067" s="3" t="s">
        <v>11989</v>
      </c>
      <c r="S1067" s="4">
        <v>12</v>
      </c>
      <c r="T1067" s="4">
        <v>12</v>
      </c>
      <c r="U1067" s="5" t="s">
        <v>2681</v>
      </c>
      <c r="V1067" s="5" t="s">
        <v>2681</v>
      </c>
      <c r="W1067" s="5" t="s">
        <v>12227</v>
      </c>
      <c r="X1067" s="5" t="s">
        <v>12227</v>
      </c>
      <c r="Y1067" s="4">
        <v>227</v>
      </c>
      <c r="Z1067" s="4">
        <v>198</v>
      </c>
      <c r="AA1067" s="4">
        <v>200</v>
      </c>
      <c r="AB1067" s="4">
        <v>1</v>
      </c>
      <c r="AC1067" s="4">
        <v>1</v>
      </c>
      <c r="AD1067" s="4">
        <v>3</v>
      </c>
      <c r="AE1067" s="4">
        <v>3</v>
      </c>
      <c r="AF1067" s="4">
        <v>2</v>
      </c>
      <c r="AG1067" s="4">
        <v>2</v>
      </c>
      <c r="AH1067" s="4">
        <v>1</v>
      </c>
      <c r="AI1067" s="4">
        <v>1</v>
      </c>
      <c r="AJ1067" s="4">
        <v>0</v>
      </c>
      <c r="AK1067" s="4">
        <v>0</v>
      </c>
      <c r="AL1067" s="4">
        <v>0</v>
      </c>
      <c r="AM1067" s="4">
        <v>0</v>
      </c>
      <c r="AN1067" s="4">
        <v>0</v>
      </c>
      <c r="AO1067" s="4">
        <v>0</v>
      </c>
      <c r="AP1067" s="3" t="s">
        <v>59</v>
      </c>
      <c r="AQ1067" s="3" t="s">
        <v>70</v>
      </c>
      <c r="AR1067" s="6" t="str">
        <f>HYPERLINK("http://catalog.hathitrust.org/Record/000109571","HathiTrust Record")</f>
        <v>HathiTrust Record</v>
      </c>
      <c r="AS1067" s="6" t="str">
        <f>HYPERLINK("https://creighton-primo.hosted.exlibrisgroup.com/primo-explore/search?tab=default_tab&amp;search_scope=EVERYTHING&amp;vid=01CRU&amp;lang=en_US&amp;offset=0&amp;query=any,contains,991000861119702656","Catalog Record")</f>
        <v>Catalog Record</v>
      </c>
      <c r="AT1067" s="6" t="str">
        <f>HYPERLINK("http://www.worldcat.org/oclc/9971947","WorldCat Record")</f>
        <v>WorldCat Record</v>
      </c>
    </row>
    <row r="1068" spans="1:46" ht="48" customHeight="1" x14ac:dyDescent="0.25">
      <c r="A1068" s="7" t="s">
        <v>59</v>
      </c>
      <c r="B1068" s="2" t="s">
        <v>12559</v>
      </c>
      <c r="C1068" s="2" t="s">
        <v>12560</v>
      </c>
      <c r="D1068" s="2" t="s">
        <v>12561</v>
      </c>
      <c r="F1068" s="3" t="s">
        <v>59</v>
      </c>
      <c r="G1068" s="3" t="s">
        <v>60</v>
      </c>
      <c r="H1068" s="3" t="s">
        <v>59</v>
      </c>
      <c r="I1068" s="3" t="s">
        <v>59</v>
      </c>
      <c r="J1068" s="3" t="s">
        <v>61</v>
      </c>
      <c r="K1068" s="2" t="s">
        <v>12562</v>
      </c>
      <c r="L1068" s="2" t="s">
        <v>12563</v>
      </c>
      <c r="M1068" s="3" t="s">
        <v>3724</v>
      </c>
      <c r="O1068" s="3" t="s">
        <v>64</v>
      </c>
      <c r="P1068" s="3" t="s">
        <v>912</v>
      </c>
      <c r="R1068" s="3" t="s">
        <v>11989</v>
      </c>
      <c r="S1068" s="4">
        <v>2</v>
      </c>
      <c r="T1068" s="4">
        <v>2</v>
      </c>
      <c r="U1068" s="5" t="s">
        <v>12564</v>
      </c>
      <c r="V1068" s="5" t="s">
        <v>12564</v>
      </c>
      <c r="W1068" s="5" t="s">
        <v>12486</v>
      </c>
      <c r="X1068" s="5" t="s">
        <v>12486</v>
      </c>
      <c r="Y1068" s="4">
        <v>139</v>
      </c>
      <c r="Z1068" s="4">
        <v>128</v>
      </c>
      <c r="AA1068" s="4">
        <v>152</v>
      </c>
      <c r="AB1068" s="4">
        <v>3</v>
      </c>
      <c r="AC1068" s="4">
        <v>3</v>
      </c>
      <c r="AD1068" s="4">
        <v>2</v>
      </c>
      <c r="AE1068" s="4">
        <v>3</v>
      </c>
      <c r="AF1068" s="4">
        <v>0</v>
      </c>
      <c r="AG1068" s="4">
        <v>1</v>
      </c>
      <c r="AH1068" s="4">
        <v>0</v>
      </c>
      <c r="AI1068" s="4">
        <v>1</v>
      </c>
      <c r="AJ1068" s="4">
        <v>0</v>
      </c>
      <c r="AK1068" s="4">
        <v>0</v>
      </c>
      <c r="AL1068" s="4">
        <v>2</v>
      </c>
      <c r="AM1068" s="4">
        <v>2</v>
      </c>
      <c r="AN1068" s="4">
        <v>0</v>
      </c>
      <c r="AO1068" s="4">
        <v>0</v>
      </c>
      <c r="AP1068" s="3" t="s">
        <v>59</v>
      </c>
      <c r="AQ1068" s="3" t="s">
        <v>59</v>
      </c>
      <c r="AR1068" s="6" t="str">
        <f>HYPERLINK("http://catalog.hathitrust.org/Record/009112744","HathiTrust Record")</f>
        <v>HathiTrust Record</v>
      </c>
      <c r="AS1068" s="6" t="str">
        <f>HYPERLINK("https://creighton-primo.hosted.exlibrisgroup.com/primo-explore/search?tab=default_tab&amp;search_scope=EVERYTHING&amp;vid=01CRU&amp;lang=en_US&amp;offset=0&amp;query=any,contains,991001159889702656","Catalog Record")</f>
        <v>Catalog Record</v>
      </c>
      <c r="AT1068" s="6" t="str">
        <f>HYPERLINK("http://www.worldcat.org/oclc/7885509","WorldCat Record")</f>
        <v>WorldCat Record</v>
      </c>
    </row>
    <row r="1069" spans="1:46" ht="48" customHeight="1" x14ac:dyDescent="0.25">
      <c r="A1069" s="7" t="s">
        <v>59</v>
      </c>
      <c r="B1069" s="2" t="s">
        <v>12565</v>
      </c>
      <c r="C1069" s="2" t="s">
        <v>12566</v>
      </c>
      <c r="D1069" s="2" t="s">
        <v>12567</v>
      </c>
      <c r="F1069" s="3" t="s">
        <v>59</v>
      </c>
      <c r="G1069" s="3" t="s">
        <v>60</v>
      </c>
      <c r="H1069" s="3" t="s">
        <v>59</v>
      </c>
      <c r="I1069" s="3" t="s">
        <v>59</v>
      </c>
      <c r="J1069" s="3" t="s">
        <v>61</v>
      </c>
      <c r="K1069" s="2" t="s">
        <v>12568</v>
      </c>
      <c r="L1069" s="2" t="s">
        <v>12569</v>
      </c>
      <c r="M1069" s="3" t="s">
        <v>1351</v>
      </c>
      <c r="O1069" s="3" t="s">
        <v>64</v>
      </c>
      <c r="P1069" s="3" t="s">
        <v>1495</v>
      </c>
      <c r="R1069" s="3" t="s">
        <v>11989</v>
      </c>
      <c r="S1069" s="4">
        <v>0</v>
      </c>
      <c r="T1069" s="4">
        <v>0</v>
      </c>
      <c r="U1069" s="5" t="s">
        <v>12570</v>
      </c>
      <c r="V1069" s="5" t="s">
        <v>12570</v>
      </c>
      <c r="W1069" s="5" t="s">
        <v>12571</v>
      </c>
      <c r="X1069" s="5" t="s">
        <v>12571</v>
      </c>
      <c r="Y1069" s="4">
        <v>33</v>
      </c>
      <c r="Z1069" s="4">
        <v>21</v>
      </c>
      <c r="AA1069" s="4">
        <v>70</v>
      </c>
      <c r="AB1069" s="4">
        <v>1</v>
      </c>
      <c r="AC1069" s="4">
        <v>1</v>
      </c>
      <c r="AD1069" s="4">
        <v>0</v>
      </c>
      <c r="AE1069" s="4">
        <v>1</v>
      </c>
      <c r="AF1069" s="4">
        <v>0</v>
      </c>
      <c r="AG1069" s="4">
        <v>0</v>
      </c>
      <c r="AH1069" s="4">
        <v>0</v>
      </c>
      <c r="AI1069" s="4">
        <v>0</v>
      </c>
      <c r="AJ1069" s="4">
        <v>0</v>
      </c>
      <c r="AK1069" s="4">
        <v>1</v>
      </c>
      <c r="AL1069" s="4">
        <v>0</v>
      </c>
      <c r="AM1069" s="4">
        <v>0</v>
      </c>
      <c r="AN1069" s="4">
        <v>0</v>
      </c>
      <c r="AO1069" s="4">
        <v>0</v>
      </c>
      <c r="AP1069" s="3" t="s">
        <v>59</v>
      </c>
      <c r="AQ1069" s="3" t="s">
        <v>59</v>
      </c>
      <c r="AS1069" s="6" t="str">
        <f>HYPERLINK("https://creighton-primo.hosted.exlibrisgroup.com/primo-explore/search?tab=default_tab&amp;search_scope=EVERYTHING&amp;vid=01CRU&amp;lang=en_US&amp;offset=0&amp;query=any,contains,991000404169702656","Catalog Record")</f>
        <v>Catalog Record</v>
      </c>
      <c r="AT1069" s="6" t="str">
        <f>HYPERLINK("http://www.worldcat.org/oclc/56527175","WorldCat Record")</f>
        <v>WorldCat Record</v>
      </c>
    </row>
    <row r="1070" spans="1:46" ht="48" customHeight="1" x14ac:dyDescent="0.25">
      <c r="A1070" s="7" t="s">
        <v>59</v>
      </c>
      <c r="B1070" s="2" t="s">
        <v>12572</v>
      </c>
      <c r="C1070" s="2" t="s">
        <v>12573</v>
      </c>
      <c r="D1070" s="2" t="s">
        <v>12574</v>
      </c>
      <c r="F1070" s="3" t="s">
        <v>59</v>
      </c>
      <c r="G1070" s="3" t="s">
        <v>60</v>
      </c>
      <c r="H1070" s="3" t="s">
        <v>59</v>
      </c>
      <c r="I1070" s="3" t="s">
        <v>59</v>
      </c>
      <c r="J1070" s="3" t="s">
        <v>61</v>
      </c>
      <c r="L1070" s="2" t="s">
        <v>12575</v>
      </c>
      <c r="M1070" s="3" t="s">
        <v>2825</v>
      </c>
      <c r="N1070" s="2" t="s">
        <v>2933</v>
      </c>
      <c r="O1070" s="3" t="s">
        <v>64</v>
      </c>
      <c r="P1070" s="3" t="s">
        <v>115</v>
      </c>
      <c r="R1070" s="3" t="s">
        <v>11989</v>
      </c>
      <c r="S1070" s="4">
        <v>1</v>
      </c>
      <c r="T1070" s="4">
        <v>1</v>
      </c>
      <c r="U1070" s="5" t="s">
        <v>10163</v>
      </c>
      <c r="V1070" s="5" t="s">
        <v>10163</v>
      </c>
      <c r="W1070" s="5" t="s">
        <v>12576</v>
      </c>
      <c r="X1070" s="5" t="s">
        <v>12576</v>
      </c>
      <c r="Y1070" s="4">
        <v>287</v>
      </c>
      <c r="Z1070" s="4">
        <v>223</v>
      </c>
      <c r="AA1070" s="4">
        <v>229</v>
      </c>
      <c r="AB1070" s="4">
        <v>2</v>
      </c>
      <c r="AC1070" s="4">
        <v>2</v>
      </c>
      <c r="AD1070" s="4">
        <v>6</v>
      </c>
      <c r="AE1070" s="4">
        <v>6</v>
      </c>
      <c r="AF1070" s="4">
        <v>2</v>
      </c>
      <c r="AG1070" s="4">
        <v>2</v>
      </c>
      <c r="AH1070" s="4">
        <v>2</v>
      </c>
      <c r="AI1070" s="4">
        <v>2</v>
      </c>
      <c r="AJ1070" s="4">
        <v>1</v>
      </c>
      <c r="AK1070" s="4">
        <v>1</v>
      </c>
      <c r="AL1070" s="4">
        <v>1</v>
      </c>
      <c r="AM1070" s="4">
        <v>1</v>
      </c>
      <c r="AN1070" s="4">
        <v>0</v>
      </c>
      <c r="AO1070" s="4">
        <v>0</v>
      </c>
      <c r="AP1070" s="3" t="s">
        <v>59</v>
      </c>
      <c r="AQ1070" s="3" t="s">
        <v>59</v>
      </c>
      <c r="AS1070" s="6" t="str">
        <f>HYPERLINK("https://creighton-primo.hosted.exlibrisgroup.com/primo-explore/search?tab=default_tab&amp;search_scope=EVERYTHING&amp;vid=01CRU&amp;lang=en_US&amp;offset=0&amp;query=any,contains,991000647879702656","Catalog Record")</f>
        <v>Catalog Record</v>
      </c>
      <c r="AT1070" s="6" t="str">
        <f>HYPERLINK("http://www.worldcat.org/oclc/65360961","WorldCat Record")</f>
        <v>WorldCat Record</v>
      </c>
    </row>
    <row r="1071" spans="1:46" ht="48" customHeight="1" x14ac:dyDescent="0.25">
      <c r="A1071" s="7" t="s">
        <v>59</v>
      </c>
      <c r="B1071" s="2" t="s">
        <v>12577</v>
      </c>
      <c r="C1071" s="2" t="s">
        <v>12578</v>
      </c>
      <c r="D1071" s="2" t="s">
        <v>12579</v>
      </c>
      <c r="F1071" s="3" t="s">
        <v>59</v>
      </c>
      <c r="G1071" s="3" t="s">
        <v>60</v>
      </c>
      <c r="H1071" s="3" t="s">
        <v>59</v>
      </c>
      <c r="I1071" s="3" t="s">
        <v>59</v>
      </c>
      <c r="J1071" s="3" t="s">
        <v>61</v>
      </c>
      <c r="L1071" s="2" t="s">
        <v>12580</v>
      </c>
      <c r="M1071" s="3" t="s">
        <v>1351</v>
      </c>
      <c r="O1071" s="3" t="s">
        <v>64</v>
      </c>
      <c r="P1071" s="3" t="s">
        <v>115</v>
      </c>
      <c r="R1071" s="3" t="s">
        <v>11989</v>
      </c>
      <c r="S1071" s="4">
        <v>1</v>
      </c>
      <c r="T1071" s="4">
        <v>1</v>
      </c>
      <c r="U1071" s="5" t="s">
        <v>12581</v>
      </c>
      <c r="V1071" s="5" t="s">
        <v>12581</v>
      </c>
      <c r="W1071" s="5" t="s">
        <v>12582</v>
      </c>
      <c r="X1071" s="5" t="s">
        <v>12582</v>
      </c>
      <c r="Y1071" s="4">
        <v>281</v>
      </c>
      <c r="Z1071" s="4">
        <v>210</v>
      </c>
      <c r="AA1071" s="4">
        <v>210</v>
      </c>
      <c r="AB1071" s="4">
        <v>4</v>
      </c>
      <c r="AC1071" s="4">
        <v>4</v>
      </c>
      <c r="AD1071" s="4">
        <v>12</v>
      </c>
      <c r="AE1071" s="4">
        <v>12</v>
      </c>
      <c r="AF1071" s="4">
        <v>5</v>
      </c>
      <c r="AG1071" s="4">
        <v>5</v>
      </c>
      <c r="AH1071" s="4">
        <v>4</v>
      </c>
      <c r="AI1071" s="4">
        <v>4</v>
      </c>
      <c r="AJ1071" s="4">
        <v>2</v>
      </c>
      <c r="AK1071" s="4">
        <v>2</v>
      </c>
      <c r="AL1071" s="4">
        <v>3</v>
      </c>
      <c r="AM1071" s="4">
        <v>3</v>
      </c>
      <c r="AN1071" s="4">
        <v>0</v>
      </c>
      <c r="AO1071" s="4">
        <v>0</v>
      </c>
      <c r="AP1071" s="3" t="s">
        <v>59</v>
      </c>
      <c r="AQ1071" s="3" t="s">
        <v>59</v>
      </c>
      <c r="AS1071" s="6" t="str">
        <f>HYPERLINK("https://creighton-primo.hosted.exlibrisgroup.com/primo-explore/search?tab=default_tab&amp;search_scope=EVERYTHING&amp;vid=01CRU&amp;lang=en_US&amp;offset=0&amp;query=any,contains,991000449269702656","Catalog Record")</f>
        <v>Catalog Record</v>
      </c>
      <c r="AT1071" s="6" t="str">
        <f>HYPERLINK("http://www.worldcat.org/oclc/52970751","WorldCat Record")</f>
        <v>WorldCat Record</v>
      </c>
    </row>
    <row r="1072" spans="1:46" ht="48" customHeight="1" x14ac:dyDescent="0.25">
      <c r="A1072" s="7" t="s">
        <v>59</v>
      </c>
      <c r="B1072" s="2" t="s">
        <v>12583</v>
      </c>
      <c r="C1072" s="2" t="s">
        <v>12584</v>
      </c>
      <c r="D1072" s="2" t="s">
        <v>12585</v>
      </c>
      <c r="F1072" s="3" t="s">
        <v>59</v>
      </c>
      <c r="G1072" s="3" t="s">
        <v>60</v>
      </c>
      <c r="H1072" s="3" t="s">
        <v>59</v>
      </c>
      <c r="I1072" s="3" t="s">
        <v>59</v>
      </c>
      <c r="J1072" s="3" t="s">
        <v>61</v>
      </c>
      <c r="L1072" s="2" t="s">
        <v>10247</v>
      </c>
      <c r="M1072" s="3" t="s">
        <v>175</v>
      </c>
      <c r="O1072" s="3" t="s">
        <v>64</v>
      </c>
      <c r="P1072" s="3" t="s">
        <v>674</v>
      </c>
      <c r="R1072" s="3" t="s">
        <v>11989</v>
      </c>
      <c r="S1072" s="4">
        <v>8</v>
      </c>
      <c r="T1072" s="4">
        <v>8</v>
      </c>
      <c r="U1072" s="5" t="s">
        <v>3433</v>
      </c>
      <c r="V1072" s="5" t="s">
        <v>3433</v>
      </c>
      <c r="W1072" s="5" t="s">
        <v>6530</v>
      </c>
      <c r="X1072" s="5" t="s">
        <v>6530</v>
      </c>
      <c r="Y1072" s="4">
        <v>349</v>
      </c>
      <c r="Z1072" s="4">
        <v>264</v>
      </c>
      <c r="AA1072" s="4">
        <v>264</v>
      </c>
      <c r="AB1072" s="4">
        <v>3</v>
      </c>
      <c r="AC1072" s="4">
        <v>3</v>
      </c>
      <c r="AD1072" s="4">
        <v>3</v>
      </c>
      <c r="AE1072" s="4">
        <v>3</v>
      </c>
      <c r="AF1072" s="4">
        <v>1</v>
      </c>
      <c r="AG1072" s="4">
        <v>1</v>
      </c>
      <c r="AH1072" s="4">
        <v>0</v>
      </c>
      <c r="AI1072" s="4">
        <v>0</v>
      </c>
      <c r="AJ1072" s="4">
        <v>0</v>
      </c>
      <c r="AK1072" s="4">
        <v>0</v>
      </c>
      <c r="AL1072" s="4">
        <v>2</v>
      </c>
      <c r="AM1072" s="4">
        <v>2</v>
      </c>
      <c r="AN1072" s="4">
        <v>0</v>
      </c>
      <c r="AO1072" s="4">
        <v>0</v>
      </c>
      <c r="AP1072" s="3" t="s">
        <v>59</v>
      </c>
      <c r="AQ1072" s="3" t="s">
        <v>59</v>
      </c>
      <c r="AS1072" s="6" t="str">
        <f>HYPERLINK("https://creighton-primo.hosted.exlibrisgroup.com/primo-explore/search?tab=default_tab&amp;search_scope=EVERYTHING&amp;vid=01CRU&amp;lang=en_US&amp;offset=0&amp;query=any,contains,991001407429702656","Catalog Record")</f>
        <v>Catalog Record</v>
      </c>
      <c r="AT1072" s="6" t="str">
        <f>HYPERLINK("http://www.worldcat.org/oclc/40510445","WorldCat Record")</f>
        <v>WorldCat Record</v>
      </c>
    </row>
    <row r="1073" spans="1:46" ht="48" customHeight="1" x14ac:dyDescent="0.25">
      <c r="A1073" s="7" t="s">
        <v>59</v>
      </c>
      <c r="B1073" s="2" t="s">
        <v>12586</v>
      </c>
      <c r="C1073" s="2" t="s">
        <v>12587</v>
      </c>
      <c r="D1073" s="2" t="s">
        <v>12588</v>
      </c>
      <c r="F1073" s="3" t="s">
        <v>59</v>
      </c>
      <c r="G1073" s="3" t="s">
        <v>60</v>
      </c>
      <c r="H1073" s="3" t="s">
        <v>59</v>
      </c>
      <c r="I1073" s="3" t="s">
        <v>59</v>
      </c>
      <c r="J1073" s="3" t="s">
        <v>61</v>
      </c>
      <c r="L1073" s="2" t="s">
        <v>12589</v>
      </c>
      <c r="M1073" s="3" t="s">
        <v>843</v>
      </c>
      <c r="O1073" s="3" t="s">
        <v>64</v>
      </c>
      <c r="P1073" s="3" t="s">
        <v>912</v>
      </c>
      <c r="R1073" s="3" t="s">
        <v>11989</v>
      </c>
      <c r="S1073" s="4">
        <v>1</v>
      </c>
      <c r="T1073" s="4">
        <v>1</v>
      </c>
      <c r="U1073" s="5" t="s">
        <v>12590</v>
      </c>
      <c r="V1073" s="5" t="s">
        <v>12590</v>
      </c>
      <c r="W1073" s="5" t="s">
        <v>12591</v>
      </c>
      <c r="X1073" s="5" t="s">
        <v>12591</v>
      </c>
      <c r="Y1073" s="4">
        <v>212</v>
      </c>
      <c r="Z1073" s="4">
        <v>181</v>
      </c>
      <c r="AA1073" s="4">
        <v>192</v>
      </c>
      <c r="AB1073" s="4">
        <v>2</v>
      </c>
      <c r="AC1073" s="4">
        <v>2</v>
      </c>
      <c r="AD1073" s="4">
        <v>10</v>
      </c>
      <c r="AE1073" s="4">
        <v>10</v>
      </c>
      <c r="AF1073" s="4">
        <v>4</v>
      </c>
      <c r="AG1073" s="4">
        <v>4</v>
      </c>
      <c r="AH1073" s="4">
        <v>4</v>
      </c>
      <c r="AI1073" s="4">
        <v>4</v>
      </c>
      <c r="AJ1073" s="4">
        <v>3</v>
      </c>
      <c r="AK1073" s="4">
        <v>3</v>
      </c>
      <c r="AL1073" s="4">
        <v>1</v>
      </c>
      <c r="AM1073" s="4">
        <v>1</v>
      </c>
      <c r="AN1073" s="4">
        <v>0</v>
      </c>
      <c r="AO1073" s="4">
        <v>0</v>
      </c>
      <c r="AP1073" s="3" t="s">
        <v>59</v>
      </c>
      <c r="AQ1073" s="3" t="s">
        <v>70</v>
      </c>
      <c r="AR1073" s="6" t="str">
        <f>HYPERLINK("http://catalog.hathitrust.org/Record/005848682","HathiTrust Record")</f>
        <v>HathiTrust Record</v>
      </c>
      <c r="AS1073" s="6" t="str">
        <f>HYPERLINK("https://creighton-primo.hosted.exlibrisgroup.com/primo-explore/search?tab=default_tab&amp;search_scope=EVERYTHING&amp;vid=01CRU&amp;lang=en_US&amp;offset=0&amp;query=any,contains,991000690769702656","Catalog Record")</f>
        <v>Catalog Record</v>
      </c>
      <c r="AT1073" s="6" t="str">
        <f>HYPERLINK("http://www.worldcat.org/oclc/157002745","WorldCat Record")</f>
        <v>WorldCat Record</v>
      </c>
    </row>
    <row r="1074" spans="1:46" ht="48" customHeight="1" x14ac:dyDescent="0.25">
      <c r="A1074" s="7" t="s">
        <v>59</v>
      </c>
      <c r="B1074" s="2" t="s">
        <v>12592</v>
      </c>
      <c r="C1074" s="2" t="s">
        <v>12593</v>
      </c>
      <c r="D1074" s="2" t="s">
        <v>12594</v>
      </c>
      <c r="F1074" s="3" t="s">
        <v>59</v>
      </c>
      <c r="G1074" s="3" t="s">
        <v>60</v>
      </c>
      <c r="H1074" s="3" t="s">
        <v>59</v>
      </c>
      <c r="I1074" s="3" t="s">
        <v>59</v>
      </c>
      <c r="J1074" s="3" t="s">
        <v>61</v>
      </c>
      <c r="K1074" s="2" t="s">
        <v>12595</v>
      </c>
      <c r="L1074" s="2" t="s">
        <v>12596</v>
      </c>
      <c r="M1074" s="3" t="s">
        <v>590</v>
      </c>
      <c r="N1074" s="2" t="s">
        <v>731</v>
      </c>
      <c r="O1074" s="3" t="s">
        <v>64</v>
      </c>
      <c r="P1074" s="3" t="s">
        <v>264</v>
      </c>
      <c r="R1074" s="3" t="s">
        <v>11989</v>
      </c>
      <c r="S1074" s="4">
        <v>10</v>
      </c>
      <c r="T1074" s="4">
        <v>10</v>
      </c>
      <c r="U1074" s="5" t="s">
        <v>12597</v>
      </c>
      <c r="V1074" s="5" t="s">
        <v>12597</v>
      </c>
      <c r="W1074" s="5" t="s">
        <v>12598</v>
      </c>
      <c r="X1074" s="5" t="s">
        <v>12598</v>
      </c>
      <c r="Y1074" s="4">
        <v>394</v>
      </c>
      <c r="Z1074" s="4">
        <v>356</v>
      </c>
      <c r="AA1074" s="4">
        <v>361</v>
      </c>
      <c r="AB1074" s="4">
        <v>4</v>
      </c>
      <c r="AC1074" s="4">
        <v>4</v>
      </c>
      <c r="AD1074" s="4">
        <v>14</v>
      </c>
      <c r="AE1074" s="4">
        <v>14</v>
      </c>
      <c r="AF1074" s="4">
        <v>2</v>
      </c>
      <c r="AG1074" s="4">
        <v>2</v>
      </c>
      <c r="AH1074" s="4">
        <v>2</v>
      </c>
      <c r="AI1074" s="4">
        <v>2</v>
      </c>
      <c r="AJ1074" s="4">
        <v>10</v>
      </c>
      <c r="AK1074" s="4">
        <v>10</v>
      </c>
      <c r="AL1074" s="4">
        <v>3</v>
      </c>
      <c r="AM1074" s="4">
        <v>3</v>
      </c>
      <c r="AN1074" s="4">
        <v>0</v>
      </c>
      <c r="AO1074" s="4">
        <v>0</v>
      </c>
      <c r="AP1074" s="3" t="s">
        <v>59</v>
      </c>
      <c r="AQ1074" s="3" t="s">
        <v>59</v>
      </c>
      <c r="AS1074" s="6" t="str">
        <f>HYPERLINK("https://creighton-primo.hosted.exlibrisgroup.com/primo-explore/search?tab=default_tab&amp;search_scope=EVERYTHING&amp;vid=01CRU&amp;lang=en_US&amp;offset=0&amp;query=any,contains,991001116739702656","Catalog Record")</f>
        <v>Catalog Record</v>
      </c>
      <c r="AT1074" s="6" t="str">
        <f>HYPERLINK("http://www.worldcat.org/oclc/17227372","WorldCat Record")</f>
        <v>WorldCat Record</v>
      </c>
    </row>
    <row r="1075" spans="1:46" ht="48" customHeight="1" x14ac:dyDescent="0.25">
      <c r="A1075" s="7" t="s">
        <v>59</v>
      </c>
      <c r="B1075" s="2" t="s">
        <v>12599</v>
      </c>
      <c r="C1075" s="2" t="s">
        <v>12600</v>
      </c>
      <c r="D1075" s="2" t="s">
        <v>12601</v>
      </c>
      <c r="F1075" s="3" t="s">
        <v>59</v>
      </c>
      <c r="G1075" s="3" t="s">
        <v>60</v>
      </c>
      <c r="H1075" s="3" t="s">
        <v>59</v>
      </c>
      <c r="I1075" s="3" t="s">
        <v>59</v>
      </c>
      <c r="J1075" s="3" t="s">
        <v>61</v>
      </c>
      <c r="K1075" s="2" t="s">
        <v>12602</v>
      </c>
      <c r="L1075" s="2" t="s">
        <v>12603</v>
      </c>
      <c r="M1075" s="3" t="s">
        <v>175</v>
      </c>
      <c r="O1075" s="3" t="s">
        <v>64</v>
      </c>
      <c r="P1075" s="3" t="s">
        <v>84</v>
      </c>
      <c r="R1075" s="3" t="s">
        <v>11989</v>
      </c>
      <c r="S1075" s="4">
        <v>7</v>
      </c>
      <c r="T1075" s="4">
        <v>7</v>
      </c>
      <c r="U1075" s="5" t="s">
        <v>12604</v>
      </c>
      <c r="V1075" s="5" t="s">
        <v>12604</v>
      </c>
      <c r="W1075" s="5" t="s">
        <v>9157</v>
      </c>
      <c r="X1075" s="5" t="s">
        <v>9157</v>
      </c>
      <c r="Y1075" s="4">
        <v>153</v>
      </c>
      <c r="Z1075" s="4">
        <v>83</v>
      </c>
      <c r="AA1075" s="4">
        <v>83</v>
      </c>
      <c r="AB1075" s="4">
        <v>1</v>
      </c>
      <c r="AC1075" s="4">
        <v>1</v>
      </c>
      <c r="AD1075" s="4">
        <v>3</v>
      </c>
      <c r="AE1075" s="4">
        <v>3</v>
      </c>
      <c r="AF1075" s="4">
        <v>2</v>
      </c>
      <c r="AG1075" s="4">
        <v>2</v>
      </c>
      <c r="AH1075" s="4">
        <v>1</v>
      </c>
      <c r="AI1075" s="4">
        <v>1</v>
      </c>
      <c r="AJ1075" s="4">
        <v>1</v>
      </c>
      <c r="AK1075" s="4">
        <v>1</v>
      </c>
      <c r="AL1075" s="4">
        <v>0</v>
      </c>
      <c r="AM1075" s="4">
        <v>0</v>
      </c>
      <c r="AN1075" s="4">
        <v>0</v>
      </c>
      <c r="AO1075" s="4">
        <v>0</v>
      </c>
      <c r="AP1075" s="3" t="s">
        <v>59</v>
      </c>
      <c r="AQ1075" s="3" t="s">
        <v>59</v>
      </c>
      <c r="AS1075" s="6" t="str">
        <f>HYPERLINK("https://creighton-primo.hosted.exlibrisgroup.com/primo-explore/search?tab=default_tab&amp;search_scope=EVERYTHING&amp;vid=01CRU&amp;lang=en_US&amp;offset=0&amp;query=any,contains,991001442699702656","Catalog Record")</f>
        <v>Catalog Record</v>
      </c>
      <c r="AT1075" s="6" t="str">
        <f>HYPERLINK("http://www.worldcat.org/oclc/39275860","WorldCat Record")</f>
        <v>WorldCat Record</v>
      </c>
    </row>
    <row r="1076" spans="1:46" ht="48" customHeight="1" x14ac:dyDescent="0.25">
      <c r="A1076" s="7" t="s">
        <v>59</v>
      </c>
      <c r="B1076" s="2" t="s">
        <v>12605</v>
      </c>
      <c r="C1076" s="2" t="s">
        <v>12606</v>
      </c>
      <c r="D1076" s="2" t="s">
        <v>12607</v>
      </c>
      <c r="F1076" s="3" t="s">
        <v>59</v>
      </c>
      <c r="G1076" s="3" t="s">
        <v>60</v>
      </c>
      <c r="H1076" s="3" t="s">
        <v>59</v>
      </c>
      <c r="I1076" s="3" t="s">
        <v>59</v>
      </c>
      <c r="J1076" s="3" t="s">
        <v>61</v>
      </c>
      <c r="K1076" s="2" t="s">
        <v>12608</v>
      </c>
      <c r="L1076" s="2" t="s">
        <v>12609</v>
      </c>
      <c r="M1076" s="3" t="s">
        <v>485</v>
      </c>
      <c r="O1076" s="3" t="s">
        <v>64</v>
      </c>
      <c r="P1076" s="3" t="s">
        <v>278</v>
      </c>
      <c r="R1076" s="3" t="s">
        <v>11989</v>
      </c>
      <c r="S1076" s="4">
        <v>2</v>
      </c>
      <c r="T1076" s="4">
        <v>2</v>
      </c>
      <c r="U1076" s="5" t="s">
        <v>12610</v>
      </c>
      <c r="V1076" s="5" t="s">
        <v>12610</v>
      </c>
      <c r="W1076" s="5" t="s">
        <v>12227</v>
      </c>
      <c r="X1076" s="5" t="s">
        <v>12227</v>
      </c>
      <c r="Y1076" s="4">
        <v>596</v>
      </c>
      <c r="Z1076" s="4">
        <v>513</v>
      </c>
      <c r="AA1076" s="4">
        <v>516</v>
      </c>
      <c r="AB1076" s="4">
        <v>4</v>
      </c>
      <c r="AC1076" s="4">
        <v>4</v>
      </c>
      <c r="AD1076" s="4">
        <v>16</v>
      </c>
      <c r="AE1076" s="4">
        <v>16</v>
      </c>
      <c r="AF1076" s="4">
        <v>5</v>
      </c>
      <c r="AG1076" s="4">
        <v>5</v>
      </c>
      <c r="AH1076" s="4">
        <v>3</v>
      </c>
      <c r="AI1076" s="4">
        <v>3</v>
      </c>
      <c r="AJ1076" s="4">
        <v>7</v>
      </c>
      <c r="AK1076" s="4">
        <v>7</v>
      </c>
      <c r="AL1076" s="4">
        <v>3</v>
      </c>
      <c r="AM1076" s="4">
        <v>3</v>
      </c>
      <c r="AN1076" s="4">
        <v>0</v>
      </c>
      <c r="AO1076" s="4">
        <v>0</v>
      </c>
      <c r="AP1076" s="3" t="s">
        <v>59</v>
      </c>
      <c r="AQ1076" s="3" t="s">
        <v>70</v>
      </c>
      <c r="AR1076" s="6" t="str">
        <f>HYPERLINK("http://catalog.hathitrust.org/Record/000256251","HathiTrust Record")</f>
        <v>HathiTrust Record</v>
      </c>
      <c r="AS1076" s="6" t="str">
        <f>HYPERLINK("https://creighton-primo.hosted.exlibrisgroup.com/primo-explore/search?tab=default_tab&amp;search_scope=EVERYTHING&amp;vid=01CRU&amp;lang=en_US&amp;offset=0&amp;query=any,contains,991000861199702656","Catalog Record")</f>
        <v>Catalog Record</v>
      </c>
      <c r="AT1076" s="6" t="str">
        <f>HYPERLINK("http://www.worldcat.org/oclc/4495557","WorldCat Record")</f>
        <v>WorldCat Record</v>
      </c>
    </row>
    <row r="1077" spans="1:46" ht="48" customHeight="1" x14ac:dyDescent="0.25">
      <c r="A1077" s="7" t="s">
        <v>59</v>
      </c>
      <c r="B1077" s="2" t="s">
        <v>12611</v>
      </c>
      <c r="C1077" s="2" t="s">
        <v>12612</v>
      </c>
      <c r="D1077" s="2" t="s">
        <v>12613</v>
      </c>
      <c r="F1077" s="3" t="s">
        <v>59</v>
      </c>
      <c r="G1077" s="3" t="s">
        <v>60</v>
      </c>
      <c r="H1077" s="3" t="s">
        <v>59</v>
      </c>
      <c r="I1077" s="3" t="s">
        <v>59</v>
      </c>
      <c r="J1077" s="3" t="s">
        <v>61</v>
      </c>
      <c r="K1077" s="2" t="s">
        <v>12614</v>
      </c>
      <c r="L1077" s="2" t="s">
        <v>11640</v>
      </c>
      <c r="M1077" s="3" t="s">
        <v>4596</v>
      </c>
      <c r="N1077" s="2" t="s">
        <v>2933</v>
      </c>
      <c r="O1077" s="3" t="s">
        <v>64</v>
      </c>
      <c r="P1077" s="3" t="s">
        <v>674</v>
      </c>
      <c r="R1077" s="3" t="s">
        <v>11989</v>
      </c>
      <c r="S1077" s="4">
        <v>5</v>
      </c>
      <c r="T1077" s="4">
        <v>5</v>
      </c>
      <c r="U1077" s="5" t="s">
        <v>12615</v>
      </c>
      <c r="V1077" s="5" t="s">
        <v>12615</v>
      </c>
      <c r="W1077" s="5" t="s">
        <v>12616</v>
      </c>
      <c r="X1077" s="5" t="s">
        <v>12616</v>
      </c>
      <c r="Y1077" s="4">
        <v>172</v>
      </c>
      <c r="Z1077" s="4">
        <v>116</v>
      </c>
      <c r="AA1077" s="4">
        <v>365</v>
      </c>
      <c r="AB1077" s="4">
        <v>3</v>
      </c>
      <c r="AC1077" s="4">
        <v>5</v>
      </c>
      <c r="AD1077" s="4">
        <v>4</v>
      </c>
      <c r="AE1077" s="4">
        <v>7</v>
      </c>
      <c r="AF1077" s="4">
        <v>2</v>
      </c>
      <c r="AG1077" s="4">
        <v>4</v>
      </c>
      <c r="AH1077" s="4">
        <v>0</v>
      </c>
      <c r="AI1077" s="4">
        <v>0</v>
      </c>
      <c r="AJ1077" s="4">
        <v>1</v>
      </c>
      <c r="AK1077" s="4">
        <v>2</v>
      </c>
      <c r="AL1077" s="4">
        <v>2</v>
      </c>
      <c r="AM1077" s="4">
        <v>3</v>
      </c>
      <c r="AN1077" s="4">
        <v>0</v>
      </c>
      <c r="AO1077" s="4">
        <v>0</v>
      </c>
      <c r="AP1077" s="3" t="s">
        <v>59</v>
      </c>
      <c r="AQ1077" s="3" t="s">
        <v>59</v>
      </c>
      <c r="AS1077" s="6" t="str">
        <f>HYPERLINK("https://creighton-primo.hosted.exlibrisgroup.com/primo-explore/search?tab=default_tab&amp;search_scope=EVERYTHING&amp;vid=01CRU&amp;lang=en_US&amp;offset=0&amp;query=any,contains,991001730939702656","Catalog Record")</f>
        <v>Catalog Record</v>
      </c>
      <c r="AT1077" s="6" t="str">
        <f>HYPERLINK("http://www.worldcat.org/oclc/53331624","WorldCat Record")</f>
        <v>WorldCat Record</v>
      </c>
    </row>
    <row r="1078" spans="1:46" ht="48" customHeight="1" x14ac:dyDescent="0.25">
      <c r="A1078" s="7" t="s">
        <v>59</v>
      </c>
      <c r="B1078" s="2" t="s">
        <v>12617</v>
      </c>
      <c r="C1078" s="2" t="s">
        <v>12618</v>
      </c>
      <c r="D1078" s="2" t="s">
        <v>12619</v>
      </c>
      <c r="F1078" s="3" t="s">
        <v>59</v>
      </c>
      <c r="G1078" s="3" t="s">
        <v>60</v>
      </c>
      <c r="H1078" s="3" t="s">
        <v>59</v>
      </c>
      <c r="I1078" s="3" t="s">
        <v>59</v>
      </c>
      <c r="J1078" s="3" t="s">
        <v>61</v>
      </c>
      <c r="L1078" s="2" t="s">
        <v>12620</v>
      </c>
      <c r="M1078" s="3" t="s">
        <v>363</v>
      </c>
      <c r="N1078" s="2" t="s">
        <v>12621</v>
      </c>
      <c r="O1078" s="3" t="s">
        <v>64</v>
      </c>
      <c r="P1078" s="3" t="s">
        <v>278</v>
      </c>
      <c r="R1078" s="3" t="s">
        <v>11989</v>
      </c>
      <c r="S1078" s="4">
        <v>3</v>
      </c>
      <c r="T1078" s="4">
        <v>3</v>
      </c>
      <c r="U1078" s="5" t="s">
        <v>12622</v>
      </c>
      <c r="V1078" s="5" t="s">
        <v>12622</v>
      </c>
      <c r="W1078" s="5" t="s">
        <v>12227</v>
      </c>
      <c r="X1078" s="5" t="s">
        <v>12227</v>
      </c>
      <c r="Y1078" s="4">
        <v>352</v>
      </c>
      <c r="Z1078" s="4">
        <v>289</v>
      </c>
      <c r="AA1078" s="4">
        <v>584</v>
      </c>
      <c r="AB1078" s="4">
        <v>3</v>
      </c>
      <c r="AC1078" s="4">
        <v>6</v>
      </c>
      <c r="AD1078" s="4">
        <v>5</v>
      </c>
      <c r="AE1078" s="4">
        <v>11</v>
      </c>
      <c r="AF1078" s="4">
        <v>4</v>
      </c>
      <c r="AG1078" s="4">
        <v>5</v>
      </c>
      <c r="AH1078" s="4">
        <v>0</v>
      </c>
      <c r="AI1078" s="4">
        <v>0</v>
      </c>
      <c r="AJ1078" s="4">
        <v>0</v>
      </c>
      <c r="AK1078" s="4">
        <v>2</v>
      </c>
      <c r="AL1078" s="4">
        <v>1</v>
      </c>
      <c r="AM1078" s="4">
        <v>4</v>
      </c>
      <c r="AN1078" s="4">
        <v>0</v>
      </c>
      <c r="AO1078" s="4">
        <v>0</v>
      </c>
      <c r="AP1078" s="3" t="s">
        <v>59</v>
      </c>
      <c r="AQ1078" s="3" t="s">
        <v>70</v>
      </c>
      <c r="AR1078" s="6" t="str">
        <f>HYPERLINK("http://catalog.hathitrust.org/Record/000278327","HathiTrust Record")</f>
        <v>HathiTrust Record</v>
      </c>
      <c r="AS1078" s="6" t="str">
        <f>HYPERLINK("https://creighton-primo.hosted.exlibrisgroup.com/primo-explore/search?tab=default_tab&amp;search_scope=EVERYTHING&amp;vid=01CRU&amp;lang=en_US&amp;offset=0&amp;query=any,contains,991000861239702656","Catalog Record")</f>
        <v>Catalog Record</v>
      </c>
      <c r="AT1078" s="6" t="str">
        <f>HYPERLINK("http://www.worldcat.org/oclc/7464690","WorldCat Record")</f>
        <v>WorldCat Record</v>
      </c>
    </row>
    <row r="1079" spans="1:46" ht="48" customHeight="1" x14ac:dyDescent="0.25">
      <c r="A1079" s="7" t="s">
        <v>59</v>
      </c>
      <c r="B1079" s="2" t="s">
        <v>12623</v>
      </c>
      <c r="C1079" s="2" t="s">
        <v>12624</v>
      </c>
      <c r="D1079" s="2" t="s">
        <v>12625</v>
      </c>
      <c r="F1079" s="3" t="s">
        <v>59</v>
      </c>
      <c r="G1079" s="3" t="s">
        <v>60</v>
      </c>
      <c r="H1079" s="3" t="s">
        <v>59</v>
      </c>
      <c r="I1079" s="3" t="s">
        <v>70</v>
      </c>
      <c r="J1079" s="3" t="s">
        <v>61</v>
      </c>
      <c r="K1079" s="2" t="s">
        <v>3407</v>
      </c>
      <c r="L1079" s="2" t="s">
        <v>2041</v>
      </c>
      <c r="M1079" s="3" t="s">
        <v>1171</v>
      </c>
      <c r="N1079" s="2" t="s">
        <v>2933</v>
      </c>
      <c r="O1079" s="3" t="s">
        <v>64</v>
      </c>
      <c r="P1079" s="3" t="s">
        <v>674</v>
      </c>
      <c r="R1079" s="3" t="s">
        <v>11989</v>
      </c>
      <c r="S1079" s="4">
        <v>1</v>
      </c>
      <c r="T1079" s="4">
        <v>1</v>
      </c>
      <c r="U1079" s="5" t="s">
        <v>12626</v>
      </c>
      <c r="V1079" s="5" t="s">
        <v>12626</v>
      </c>
      <c r="W1079" s="5" t="s">
        <v>12627</v>
      </c>
      <c r="X1079" s="5" t="s">
        <v>12627</v>
      </c>
      <c r="Y1079" s="4">
        <v>327</v>
      </c>
      <c r="Z1079" s="4">
        <v>209</v>
      </c>
      <c r="AA1079" s="4">
        <v>917</v>
      </c>
      <c r="AB1079" s="4">
        <v>1</v>
      </c>
      <c r="AC1079" s="4">
        <v>6</v>
      </c>
      <c r="AD1079" s="4">
        <v>7</v>
      </c>
      <c r="AE1079" s="4">
        <v>34</v>
      </c>
      <c r="AF1079" s="4">
        <v>5</v>
      </c>
      <c r="AG1079" s="4">
        <v>21</v>
      </c>
      <c r="AH1079" s="4">
        <v>2</v>
      </c>
      <c r="AI1079" s="4">
        <v>5</v>
      </c>
      <c r="AJ1079" s="4">
        <v>3</v>
      </c>
      <c r="AK1079" s="4">
        <v>11</v>
      </c>
      <c r="AL1079" s="4">
        <v>0</v>
      </c>
      <c r="AM1079" s="4">
        <v>4</v>
      </c>
      <c r="AN1079" s="4">
        <v>0</v>
      </c>
      <c r="AO1079" s="4">
        <v>0</v>
      </c>
      <c r="AP1079" s="3" t="s">
        <v>59</v>
      </c>
      <c r="AQ1079" s="3" t="s">
        <v>59</v>
      </c>
      <c r="AS1079" s="6" t="str">
        <f>HYPERLINK("https://creighton-primo.hosted.exlibrisgroup.com/primo-explore/search?tab=default_tab&amp;search_scope=EVERYTHING&amp;vid=01CRU&amp;lang=en_US&amp;offset=0&amp;query=any,contains,991000608309702656","Catalog Record")</f>
        <v>Catalog Record</v>
      </c>
      <c r="AT1079" s="6" t="str">
        <f>HYPERLINK("http://www.worldcat.org/oclc/66527051","WorldCat Record")</f>
        <v>WorldCat Record</v>
      </c>
    </row>
    <row r="1080" spans="1:46" ht="48" customHeight="1" x14ac:dyDescent="0.25">
      <c r="A1080" s="7" t="s">
        <v>59</v>
      </c>
      <c r="B1080" s="2" t="s">
        <v>12628</v>
      </c>
      <c r="C1080" s="2" t="s">
        <v>12629</v>
      </c>
      <c r="D1080" s="2" t="s">
        <v>12630</v>
      </c>
      <c r="F1080" s="3" t="s">
        <v>59</v>
      </c>
      <c r="G1080" s="3" t="s">
        <v>60</v>
      </c>
      <c r="H1080" s="3" t="s">
        <v>70</v>
      </c>
      <c r="I1080" s="3" t="s">
        <v>59</v>
      </c>
      <c r="J1080" s="3" t="s">
        <v>61</v>
      </c>
      <c r="K1080" s="2" t="s">
        <v>12631</v>
      </c>
      <c r="L1080" s="2" t="s">
        <v>12632</v>
      </c>
      <c r="M1080" s="3" t="s">
        <v>590</v>
      </c>
      <c r="N1080" s="2" t="s">
        <v>926</v>
      </c>
      <c r="O1080" s="3" t="s">
        <v>64</v>
      </c>
      <c r="P1080" s="3" t="s">
        <v>2252</v>
      </c>
      <c r="R1080" s="3" t="s">
        <v>11989</v>
      </c>
      <c r="S1080" s="4">
        <v>37</v>
      </c>
      <c r="T1080" s="4">
        <v>37</v>
      </c>
      <c r="U1080" s="5" t="s">
        <v>12633</v>
      </c>
      <c r="V1080" s="5" t="s">
        <v>12633</v>
      </c>
      <c r="W1080" s="5" t="s">
        <v>12634</v>
      </c>
      <c r="X1080" s="5" t="s">
        <v>12634</v>
      </c>
      <c r="Y1080" s="4">
        <v>447</v>
      </c>
      <c r="Z1080" s="4">
        <v>357</v>
      </c>
      <c r="AA1080" s="4">
        <v>702</v>
      </c>
      <c r="AB1080" s="4">
        <v>4</v>
      </c>
      <c r="AC1080" s="4">
        <v>5</v>
      </c>
      <c r="AD1080" s="4">
        <v>14</v>
      </c>
      <c r="AE1080" s="4">
        <v>23</v>
      </c>
      <c r="AF1080" s="4">
        <v>6</v>
      </c>
      <c r="AG1080" s="4">
        <v>11</v>
      </c>
      <c r="AH1080" s="4">
        <v>2</v>
      </c>
      <c r="AI1080" s="4">
        <v>3</v>
      </c>
      <c r="AJ1080" s="4">
        <v>8</v>
      </c>
      <c r="AK1080" s="4">
        <v>11</v>
      </c>
      <c r="AL1080" s="4">
        <v>2</v>
      </c>
      <c r="AM1080" s="4">
        <v>3</v>
      </c>
      <c r="AN1080" s="4">
        <v>0</v>
      </c>
      <c r="AO1080" s="4">
        <v>0</v>
      </c>
      <c r="AP1080" s="3" t="s">
        <v>59</v>
      </c>
      <c r="AQ1080" s="3" t="s">
        <v>59</v>
      </c>
      <c r="AS1080" s="6" t="str">
        <f>HYPERLINK("https://creighton-primo.hosted.exlibrisgroup.com/primo-explore/search?tab=default_tab&amp;search_scope=EVERYTHING&amp;vid=01CRU&amp;lang=en_US&amp;offset=0&amp;query=any,contains,991001539899702656","Catalog Record")</f>
        <v>Catalog Record</v>
      </c>
      <c r="AT1080" s="6" t="str">
        <f>HYPERLINK("http://www.worldcat.org/oclc/15630303","WorldCat Record")</f>
        <v>WorldCat Record</v>
      </c>
    </row>
    <row r="1081" spans="1:46" ht="48" customHeight="1" x14ac:dyDescent="0.25">
      <c r="A1081" s="7" t="s">
        <v>59</v>
      </c>
      <c r="B1081" s="2" t="s">
        <v>12635</v>
      </c>
      <c r="C1081" s="2" t="s">
        <v>12636</v>
      </c>
      <c r="D1081" s="2" t="s">
        <v>12637</v>
      </c>
      <c r="F1081" s="3" t="s">
        <v>59</v>
      </c>
      <c r="G1081" s="3" t="s">
        <v>60</v>
      </c>
      <c r="H1081" s="3" t="s">
        <v>59</v>
      </c>
      <c r="I1081" s="3" t="s">
        <v>59</v>
      </c>
      <c r="J1081" s="3" t="s">
        <v>61</v>
      </c>
      <c r="K1081" s="2" t="s">
        <v>12638</v>
      </c>
      <c r="L1081" s="2" t="s">
        <v>12639</v>
      </c>
      <c r="M1081" s="3" t="s">
        <v>1323</v>
      </c>
      <c r="O1081" s="3" t="s">
        <v>64</v>
      </c>
      <c r="P1081" s="3" t="s">
        <v>1186</v>
      </c>
      <c r="R1081" s="3" t="s">
        <v>11989</v>
      </c>
      <c r="S1081" s="4">
        <v>5</v>
      </c>
      <c r="T1081" s="4">
        <v>5</v>
      </c>
      <c r="U1081" s="5" t="s">
        <v>12640</v>
      </c>
      <c r="V1081" s="5" t="s">
        <v>12640</v>
      </c>
      <c r="W1081" s="5" t="s">
        <v>12486</v>
      </c>
      <c r="X1081" s="5" t="s">
        <v>12486</v>
      </c>
      <c r="Y1081" s="4">
        <v>83</v>
      </c>
      <c r="Z1081" s="4">
        <v>79</v>
      </c>
      <c r="AA1081" s="4">
        <v>80</v>
      </c>
      <c r="AB1081" s="4">
        <v>2</v>
      </c>
      <c r="AC1081" s="4">
        <v>2</v>
      </c>
      <c r="AD1081" s="4">
        <v>1</v>
      </c>
      <c r="AE1081" s="4">
        <v>1</v>
      </c>
      <c r="AF1081" s="4">
        <v>0</v>
      </c>
      <c r="AG1081" s="4">
        <v>0</v>
      </c>
      <c r="AH1081" s="4">
        <v>0</v>
      </c>
      <c r="AI1081" s="4">
        <v>0</v>
      </c>
      <c r="AJ1081" s="4">
        <v>0</v>
      </c>
      <c r="AK1081" s="4">
        <v>0</v>
      </c>
      <c r="AL1081" s="4">
        <v>1</v>
      </c>
      <c r="AM1081" s="4">
        <v>1</v>
      </c>
      <c r="AN1081" s="4">
        <v>0</v>
      </c>
      <c r="AO1081" s="4">
        <v>0</v>
      </c>
      <c r="AP1081" s="3" t="s">
        <v>59</v>
      </c>
      <c r="AQ1081" s="3" t="s">
        <v>70</v>
      </c>
      <c r="AR1081" s="6" t="str">
        <f>HYPERLINK("http://catalog.hathitrust.org/Record/001580738","HathiTrust Record")</f>
        <v>HathiTrust Record</v>
      </c>
      <c r="AS1081" s="6" t="str">
        <f>HYPERLINK("https://creighton-primo.hosted.exlibrisgroup.com/primo-explore/search?tab=default_tab&amp;search_scope=EVERYTHING&amp;vid=01CRU&amp;lang=en_US&amp;offset=0&amp;query=any,contains,991000861269702656","Catalog Record")</f>
        <v>Catalog Record</v>
      </c>
      <c r="AT1081" s="6" t="str">
        <f>HYPERLINK("http://www.worldcat.org/oclc/1843251","WorldCat Record")</f>
        <v>WorldCat Record</v>
      </c>
    </row>
    <row r="1082" spans="1:46" ht="48" customHeight="1" x14ac:dyDescent="0.25">
      <c r="A1082" s="7" t="s">
        <v>59</v>
      </c>
      <c r="B1082" s="2" t="s">
        <v>12641</v>
      </c>
      <c r="C1082" s="2" t="s">
        <v>12642</v>
      </c>
      <c r="D1082" s="2" t="s">
        <v>12643</v>
      </c>
      <c r="F1082" s="3" t="s">
        <v>59</v>
      </c>
      <c r="G1082" s="3" t="s">
        <v>60</v>
      </c>
      <c r="H1082" s="3" t="s">
        <v>59</v>
      </c>
      <c r="I1082" s="3" t="s">
        <v>59</v>
      </c>
      <c r="J1082" s="3" t="s">
        <v>61</v>
      </c>
      <c r="L1082" s="2" t="s">
        <v>2852</v>
      </c>
      <c r="M1082" s="3" t="s">
        <v>925</v>
      </c>
      <c r="O1082" s="3" t="s">
        <v>64</v>
      </c>
      <c r="P1082" s="3" t="s">
        <v>674</v>
      </c>
      <c r="R1082" s="3" t="s">
        <v>11989</v>
      </c>
      <c r="S1082" s="4">
        <v>4</v>
      </c>
      <c r="T1082" s="4">
        <v>4</v>
      </c>
      <c r="U1082" s="5" t="s">
        <v>12644</v>
      </c>
      <c r="V1082" s="5" t="s">
        <v>12644</v>
      </c>
      <c r="W1082" s="5" t="s">
        <v>12645</v>
      </c>
      <c r="X1082" s="5" t="s">
        <v>12645</v>
      </c>
      <c r="Y1082" s="4">
        <v>255</v>
      </c>
      <c r="Z1082" s="4">
        <v>172</v>
      </c>
      <c r="AA1082" s="4">
        <v>178</v>
      </c>
      <c r="AB1082" s="4">
        <v>2</v>
      </c>
      <c r="AC1082" s="4">
        <v>2</v>
      </c>
      <c r="AD1082" s="4">
        <v>5</v>
      </c>
      <c r="AE1082" s="4">
        <v>5</v>
      </c>
      <c r="AF1082" s="4">
        <v>3</v>
      </c>
      <c r="AG1082" s="4">
        <v>3</v>
      </c>
      <c r="AH1082" s="4">
        <v>1</v>
      </c>
      <c r="AI1082" s="4">
        <v>1</v>
      </c>
      <c r="AJ1082" s="4">
        <v>2</v>
      </c>
      <c r="AK1082" s="4">
        <v>2</v>
      </c>
      <c r="AL1082" s="4">
        <v>1</v>
      </c>
      <c r="AM1082" s="4">
        <v>1</v>
      </c>
      <c r="AN1082" s="4">
        <v>0</v>
      </c>
      <c r="AO1082" s="4">
        <v>0</v>
      </c>
      <c r="AP1082" s="3" t="s">
        <v>59</v>
      </c>
      <c r="AQ1082" s="3" t="s">
        <v>70</v>
      </c>
      <c r="AR1082" s="6" t="str">
        <f>HYPERLINK("http://catalog.hathitrust.org/Record/003998826","HathiTrust Record")</f>
        <v>HathiTrust Record</v>
      </c>
      <c r="AS1082" s="6" t="str">
        <f>HYPERLINK("https://creighton-primo.hosted.exlibrisgroup.com/primo-explore/search?tab=default_tab&amp;search_scope=EVERYTHING&amp;vid=01CRU&amp;lang=en_US&amp;offset=0&amp;query=any,contains,991001557409702656","Catalog Record")</f>
        <v>Catalog Record</v>
      </c>
      <c r="AT1082" s="6" t="str">
        <f>HYPERLINK("http://www.worldcat.org/oclc/37712926","WorldCat Record")</f>
        <v>WorldCat Record</v>
      </c>
    </row>
    <row r="1083" spans="1:46" ht="48" customHeight="1" x14ac:dyDescent="0.25">
      <c r="A1083" s="7" t="s">
        <v>59</v>
      </c>
      <c r="B1083" s="2" t="s">
        <v>12646</v>
      </c>
      <c r="C1083" s="2" t="s">
        <v>12647</v>
      </c>
      <c r="D1083" s="2" t="s">
        <v>12648</v>
      </c>
      <c r="F1083" s="3" t="s">
        <v>59</v>
      </c>
      <c r="G1083" s="3" t="s">
        <v>60</v>
      </c>
      <c r="H1083" s="3" t="s">
        <v>59</v>
      </c>
      <c r="I1083" s="3" t="s">
        <v>70</v>
      </c>
      <c r="J1083" s="3" t="s">
        <v>61</v>
      </c>
      <c r="K1083" s="2" t="s">
        <v>12649</v>
      </c>
      <c r="L1083" s="2" t="s">
        <v>12650</v>
      </c>
      <c r="M1083" s="3" t="s">
        <v>190</v>
      </c>
      <c r="O1083" s="3" t="s">
        <v>64</v>
      </c>
      <c r="P1083" s="3" t="s">
        <v>84</v>
      </c>
      <c r="Q1083" s="2" t="s">
        <v>146</v>
      </c>
      <c r="R1083" s="3" t="s">
        <v>11989</v>
      </c>
      <c r="S1083" s="4">
        <v>5</v>
      </c>
      <c r="T1083" s="4">
        <v>5</v>
      </c>
      <c r="U1083" s="5" t="s">
        <v>12651</v>
      </c>
      <c r="V1083" s="5" t="s">
        <v>12651</v>
      </c>
      <c r="W1083" s="5" t="s">
        <v>12652</v>
      </c>
      <c r="X1083" s="5" t="s">
        <v>12652</v>
      </c>
      <c r="Y1083" s="4">
        <v>197</v>
      </c>
      <c r="Z1083" s="4">
        <v>86</v>
      </c>
      <c r="AA1083" s="4">
        <v>143</v>
      </c>
      <c r="AB1083" s="4">
        <v>1</v>
      </c>
      <c r="AC1083" s="4">
        <v>1</v>
      </c>
      <c r="AD1083" s="4">
        <v>4</v>
      </c>
      <c r="AE1083" s="4">
        <v>4</v>
      </c>
      <c r="AF1083" s="4">
        <v>1</v>
      </c>
      <c r="AG1083" s="4">
        <v>1</v>
      </c>
      <c r="AH1083" s="4">
        <v>1</v>
      </c>
      <c r="AI1083" s="4">
        <v>1</v>
      </c>
      <c r="AJ1083" s="4">
        <v>3</v>
      </c>
      <c r="AK1083" s="4">
        <v>3</v>
      </c>
      <c r="AL1083" s="4">
        <v>0</v>
      </c>
      <c r="AM1083" s="4">
        <v>0</v>
      </c>
      <c r="AN1083" s="4">
        <v>0</v>
      </c>
      <c r="AO1083" s="4">
        <v>0</v>
      </c>
      <c r="AP1083" s="3" t="s">
        <v>59</v>
      </c>
      <c r="AQ1083" s="3" t="s">
        <v>70</v>
      </c>
      <c r="AR1083" s="6" t="str">
        <f>HYPERLINK("http://catalog.hathitrust.org/Record/000447395","HathiTrust Record")</f>
        <v>HathiTrust Record</v>
      </c>
      <c r="AS1083" s="6" t="str">
        <f>HYPERLINK("https://creighton-primo.hosted.exlibrisgroup.com/primo-explore/search?tab=default_tab&amp;search_scope=EVERYTHING&amp;vid=01CRU&amp;lang=en_US&amp;offset=0&amp;query=any,contains,991001252209702656","Catalog Record")</f>
        <v>Catalog Record</v>
      </c>
      <c r="AT1083" s="6" t="str">
        <f>HYPERLINK("http://www.worldcat.org/oclc/13330498","WorldCat Record")</f>
        <v>WorldCat Record</v>
      </c>
    </row>
    <row r="1084" spans="1:46" ht="48" customHeight="1" x14ac:dyDescent="0.25">
      <c r="A1084" s="7" t="s">
        <v>59</v>
      </c>
      <c r="B1084" s="2" t="s">
        <v>12653</v>
      </c>
      <c r="C1084" s="2" t="s">
        <v>12654</v>
      </c>
      <c r="D1084" s="2" t="s">
        <v>2425</v>
      </c>
      <c r="F1084" s="3" t="s">
        <v>59</v>
      </c>
      <c r="G1084" s="3" t="s">
        <v>60</v>
      </c>
      <c r="H1084" s="3" t="s">
        <v>70</v>
      </c>
      <c r="I1084" s="3" t="s">
        <v>59</v>
      </c>
      <c r="J1084" s="3" t="s">
        <v>61</v>
      </c>
      <c r="K1084" s="2" t="s">
        <v>2426</v>
      </c>
      <c r="L1084" s="2" t="s">
        <v>12655</v>
      </c>
      <c r="M1084" s="3" t="s">
        <v>129</v>
      </c>
      <c r="O1084" s="3" t="s">
        <v>64</v>
      </c>
      <c r="P1084" s="3" t="s">
        <v>84</v>
      </c>
      <c r="Q1084" s="2" t="s">
        <v>2428</v>
      </c>
      <c r="R1084" s="3" t="s">
        <v>11989</v>
      </c>
      <c r="S1084" s="4">
        <v>9</v>
      </c>
      <c r="T1084" s="4">
        <v>9</v>
      </c>
      <c r="U1084" s="5" t="s">
        <v>12656</v>
      </c>
      <c r="V1084" s="5" t="s">
        <v>12656</v>
      </c>
      <c r="W1084" s="5" t="s">
        <v>8965</v>
      </c>
      <c r="X1084" s="5" t="s">
        <v>8965</v>
      </c>
      <c r="Y1084" s="4">
        <v>230</v>
      </c>
      <c r="Z1084" s="4">
        <v>156</v>
      </c>
      <c r="AA1084" s="4">
        <v>168</v>
      </c>
      <c r="AB1084" s="4">
        <v>3</v>
      </c>
      <c r="AC1084" s="4">
        <v>3</v>
      </c>
      <c r="AD1084" s="4">
        <v>4</v>
      </c>
      <c r="AE1084" s="4">
        <v>4</v>
      </c>
      <c r="AF1084" s="4">
        <v>0</v>
      </c>
      <c r="AG1084" s="4">
        <v>0</v>
      </c>
      <c r="AH1084" s="4">
        <v>2</v>
      </c>
      <c r="AI1084" s="4">
        <v>2</v>
      </c>
      <c r="AJ1084" s="4">
        <v>1</v>
      </c>
      <c r="AK1084" s="4">
        <v>1</v>
      </c>
      <c r="AL1084" s="4">
        <v>1</v>
      </c>
      <c r="AM1084" s="4">
        <v>1</v>
      </c>
      <c r="AN1084" s="4">
        <v>0</v>
      </c>
      <c r="AO1084" s="4">
        <v>0</v>
      </c>
      <c r="AP1084" s="3" t="s">
        <v>59</v>
      </c>
      <c r="AQ1084" s="3" t="s">
        <v>70</v>
      </c>
      <c r="AR1084" s="6" t="str">
        <f>HYPERLINK("http://catalog.hathitrust.org/Record/002611943","HathiTrust Record")</f>
        <v>HathiTrust Record</v>
      </c>
      <c r="AS1084" s="6" t="str">
        <f>HYPERLINK("https://creighton-primo.hosted.exlibrisgroup.com/primo-explore/search?tab=default_tab&amp;search_scope=EVERYTHING&amp;vid=01CRU&amp;lang=en_US&amp;offset=0&amp;query=any,contains,991000653639702656","Catalog Record")</f>
        <v>Catalog Record</v>
      </c>
      <c r="AT1084" s="6" t="str">
        <f>HYPERLINK("http://www.worldcat.org/oclc/25510699","WorldCat Record")</f>
        <v>WorldCat Record</v>
      </c>
    </row>
    <row r="1085" spans="1:46" ht="48" customHeight="1" x14ac:dyDescent="0.25">
      <c r="A1085" s="7" t="s">
        <v>59</v>
      </c>
      <c r="B1085" s="2" t="s">
        <v>12657</v>
      </c>
      <c r="C1085" s="2" t="s">
        <v>12658</v>
      </c>
      <c r="D1085" s="2" t="s">
        <v>12659</v>
      </c>
      <c r="F1085" s="3" t="s">
        <v>59</v>
      </c>
      <c r="G1085" s="3" t="s">
        <v>60</v>
      </c>
      <c r="H1085" s="3" t="s">
        <v>59</v>
      </c>
      <c r="I1085" s="3" t="s">
        <v>59</v>
      </c>
      <c r="J1085" s="3" t="s">
        <v>61</v>
      </c>
      <c r="K1085" s="2" t="s">
        <v>12660</v>
      </c>
      <c r="L1085" s="2" t="s">
        <v>2576</v>
      </c>
      <c r="M1085" s="3" t="s">
        <v>590</v>
      </c>
      <c r="O1085" s="3" t="s">
        <v>64</v>
      </c>
      <c r="P1085" s="3" t="s">
        <v>65</v>
      </c>
      <c r="Q1085" s="2" t="s">
        <v>12661</v>
      </c>
      <c r="R1085" s="3" t="s">
        <v>11989</v>
      </c>
      <c r="S1085" s="4">
        <v>11</v>
      </c>
      <c r="T1085" s="4">
        <v>11</v>
      </c>
      <c r="U1085" s="5" t="s">
        <v>5454</v>
      </c>
      <c r="V1085" s="5" t="s">
        <v>5454</v>
      </c>
      <c r="W1085" s="5" t="s">
        <v>12662</v>
      </c>
      <c r="X1085" s="5" t="s">
        <v>12662</v>
      </c>
      <c r="Y1085" s="4">
        <v>107</v>
      </c>
      <c r="Z1085" s="4">
        <v>87</v>
      </c>
      <c r="AA1085" s="4">
        <v>87</v>
      </c>
      <c r="AB1085" s="4">
        <v>3</v>
      </c>
      <c r="AC1085" s="4">
        <v>3</v>
      </c>
      <c r="AD1085" s="4">
        <v>5</v>
      </c>
      <c r="AE1085" s="4">
        <v>5</v>
      </c>
      <c r="AF1085" s="4">
        <v>2</v>
      </c>
      <c r="AG1085" s="4">
        <v>2</v>
      </c>
      <c r="AH1085" s="4">
        <v>1</v>
      </c>
      <c r="AI1085" s="4">
        <v>1</v>
      </c>
      <c r="AJ1085" s="4">
        <v>3</v>
      </c>
      <c r="AK1085" s="4">
        <v>3</v>
      </c>
      <c r="AL1085" s="4">
        <v>1</v>
      </c>
      <c r="AM1085" s="4">
        <v>1</v>
      </c>
      <c r="AN1085" s="4">
        <v>0</v>
      </c>
      <c r="AO1085" s="4">
        <v>0</v>
      </c>
      <c r="AP1085" s="3" t="s">
        <v>59</v>
      </c>
      <c r="AQ1085" s="3" t="s">
        <v>59</v>
      </c>
      <c r="AS1085" s="6" t="str">
        <f>HYPERLINK("https://creighton-primo.hosted.exlibrisgroup.com/primo-explore/search?tab=default_tab&amp;search_scope=EVERYTHING&amp;vid=01CRU&amp;lang=en_US&amp;offset=0&amp;query=any,contains,991001300249702656","Catalog Record")</f>
        <v>Catalog Record</v>
      </c>
      <c r="AT1085" s="6" t="str">
        <f>HYPERLINK("http://www.worldcat.org/oclc/18947903","WorldCat Record")</f>
        <v>WorldCat Record</v>
      </c>
    </row>
    <row r="1086" spans="1:46" ht="48" customHeight="1" x14ac:dyDescent="0.25">
      <c r="A1086" s="7" t="s">
        <v>59</v>
      </c>
      <c r="B1086" s="2" t="s">
        <v>12663</v>
      </c>
      <c r="C1086" s="2" t="s">
        <v>12664</v>
      </c>
      <c r="D1086" s="2" t="s">
        <v>12665</v>
      </c>
      <c r="F1086" s="3" t="s">
        <v>59</v>
      </c>
      <c r="G1086" s="3" t="s">
        <v>60</v>
      </c>
      <c r="H1086" s="3" t="s">
        <v>59</v>
      </c>
      <c r="I1086" s="3" t="s">
        <v>70</v>
      </c>
      <c r="J1086" s="3" t="s">
        <v>61</v>
      </c>
      <c r="K1086" s="2" t="s">
        <v>12666</v>
      </c>
      <c r="L1086" s="2" t="s">
        <v>12667</v>
      </c>
      <c r="M1086" s="3" t="s">
        <v>519</v>
      </c>
      <c r="N1086" s="2" t="s">
        <v>926</v>
      </c>
      <c r="O1086" s="3" t="s">
        <v>64</v>
      </c>
      <c r="P1086" s="3" t="s">
        <v>2140</v>
      </c>
      <c r="R1086" s="3" t="s">
        <v>11989</v>
      </c>
      <c r="S1086" s="4">
        <v>17</v>
      </c>
      <c r="T1086" s="4">
        <v>17</v>
      </c>
      <c r="U1086" s="5" t="s">
        <v>12668</v>
      </c>
      <c r="V1086" s="5" t="s">
        <v>12668</v>
      </c>
      <c r="W1086" s="5" t="s">
        <v>12669</v>
      </c>
      <c r="X1086" s="5" t="s">
        <v>12669</v>
      </c>
      <c r="Y1086" s="4">
        <v>249</v>
      </c>
      <c r="Z1086" s="4">
        <v>181</v>
      </c>
      <c r="AA1086" s="4">
        <v>569</v>
      </c>
      <c r="AB1086" s="4">
        <v>2</v>
      </c>
      <c r="AC1086" s="4">
        <v>6</v>
      </c>
      <c r="AD1086" s="4">
        <v>7</v>
      </c>
      <c r="AE1086" s="4">
        <v>17</v>
      </c>
      <c r="AF1086" s="4">
        <v>5</v>
      </c>
      <c r="AG1086" s="4">
        <v>9</v>
      </c>
      <c r="AH1086" s="4">
        <v>1</v>
      </c>
      <c r="AI1086" s="4">
        <v>4</v>
      </c>
      <c r="AJ1086" s="4">
        <v>2</v>
      </c>
      <c r="AK1086" s="4">
        <v>5</v>
      </c>
      <c r="AL1086" s="4">
        <v>1</v>
      </c>
      <c r="AM1086" s="4">
        <v>4</v>
      </c>
      <c r="AN1086" s="4">
        <v>0</v>
      </c>
      <c r="AO1086" s="4">
        <v>0</v>
      </c>
      <c r="AP1086" s="3" t="s">
        <v>59</v>
      </c>
      <c r="AQ1086" s="3" t="s">
        <v>70</v>
      </c>
      <c r="AR1086" s="6" t="str">
        <f>HYPERLINK("http://catalog.hathitrust.org/Record/101973199","HathiTrust Record")</f>
        <v>HathiTrust Record</v>
      </c>
      <c r="AS1086" s="6" t="str">
        <f>HYPERLINK("https://creighton-primo.hosted.exlibrisgroup.com/primo-explore/search?tab=default_tab&amp;search_scope=EVERYTHING&amp;vid=01CRU&amp;lang=en_US&amp;offset=0&amp;query=any,contains,991000649939702656","Catalog Record")</f>
        <v>Catalog Record</v>
      </c>
      <c r="AT1086" s="6" t="str">
        <f>HYPERLINK("http://www.worldcat.org/oclc/28748882","WorldCat Record")</f>
        <v>WorldCat Record</v>
      </c>
    </row>
    <row r="1087" spans="1:46" ht="48" customHeight="1" x14ac:dyDescent="0.25">
      <c r="A1087" s="7" t="s">
        <v>59</v>
      </c>
      <c r="B1087" s="2" t="s">
        <v>12670</v>
      </c>
      <c r="C1087" s="2" t="s">
        <v>12671</v>
      </c>
      <c r="D1087" s="2" t="s">
        <v>12672</v>
      </c>
      <c r="F1087" s="3" t="s">
        <v>59</v>
      </c>
      <c r="G1087" s="3" t="s">
        <v>60</v>
      </c>
      <c r="H1087" s="3" t="s">
        <v>59</v>
      </c>
      <c r="I1087" s="3" t="s">
        <v>59</v>
      </c>
      <c r="J1087" s="3" t="s">
        <v>61</v>
      </c>
      <c r="K1087" s="2" t="s">
        <v>12673</v>
      </c>
      <c r="L1087" s="2" t="s">
        <v>12674</v>
      </c>
      <c r="M1087" s="3" t="s">
        <v>2825</v>
      </c>
      <c r="O1087" s="3" t="s">
        <v>64</v>
      </c>
      <c r="P1087" s="3" t="s">
        <v>674</v>
      </c>
      <c r="R1087" s="3" t="s">
        <v>11989</v>
      </c>
      <c r="S1087" s="4">
        <v>1</v>
      </c>
      <c r="T1087" s="4">
        <v>1</v>
      </c>
      <c r="U1087" s="5" t="s">
        <v>12675</v>
      </c>
      <c r="V1087" s="5" t="s">
        <v>12675</v>
      </c>
      <c r="W1087" s="5" t="s">
        <v>12676</v>
      </c>
      <c r="X1087" s="5" t="s">
        <v>12676</v>
      </c>
      <c r="Y1087" s="4">
        <v>425</v>
      </c>
      <c r="Z1087" s="4">
        <v>292</v>
      </c>
      <c r="AA1087" s="4">
        <v>296</v>
      </c>
      <c r="AB1087" s="4">
        <v>4</v>
      </c>
      <c r="AC1087" s="4">
        <v>4</v>
      </c>
      <c r="AD1087" s="4">
        <v>12</v>
      </c>
      <c r="AE1087" s="4">
        <v>12</v>
      </c>
      <c r="AF1087" s="4">
        <v>7</v>
      </c>
      <c r="AG1087" s="4">
        <v>7</v>
      </c>
      <c r="AH1087" s="4">
        <v>2</v>
      </c>
      <c r="AI1087" s="4">
        <v>2</v>
      </c>
      <c r="AJ1087" s="4">
        <v>4</v>
      </c>
      <c r="AK1087" s="4">
        <v>4</v>
      </c>
      <c r="AL1087" s="4">
        <v>3</v>
      </c>
      <c r="AM1087" s="4">
        <v>3</v>
      </c>
      <c r="AN1087" s="4">
        <v>0</v>
      </c>
      <c r="AO1087" s="4">
        <v>0</v>
      </c>
      <c r="AP1087" s="3" t="s">
        <v>59</v>
      </c>
      <c r="AQ1087" s="3" t="s">
        <v>59</v>
      </c>
      <c r="AS1087" s="6" t="str">
        <f>HYPERLINK("https://creighton-primo.hosted.exlibrisgroup.com/primo-explore/search?tab=default_tab&amp;search_scope=EVERYTHING&amp;vid=01CRU&amp;lang=en_US&amp;offset=0&amp;query=any,contains,991000909799702656","Catalog Record")</f>
        <v>Catalog Record</v>
      </c>
      <c r="AT1087" s="6" t="str">
        <f>HYPERLINK("http://www.worldcat.org/oclc/76262158","WorldCat Record")</f>
        <v>WorldCat Record</v>
      </c>
    </row>
    <row r="1088" spans="1:46" ht="48" customHeight="1" x14ac:dyDescent="0.25">
      <c r="A1088" s="7" t="s">
        <v>59</v>
      </c>
      <c r="B1088" s="2" t="s">
        <v>12677</v>
      </c>
      <c r="C1088" s="2" t="s">
        <v>12678</v>
      </c>
      <c r="D1088" s="2" t="s">
        <v>12679</v>
      </c>
      <c r="E1088" s="3" t="s">
        <v>713</v>
      </c>
      <c r="F1088" s="3" t="s">
        <v>70</v>
      </c>
      <c r="G1088" s="3" t="s">
        <v>60</v>
      </c>
      <c r="H1088" s="3" t="s">
        <v>59</v>
      </c>
      <c r="I1088" s="3" t="s">
        <v>59</v>
      </c>
      <c r="J1088" s="3" t="s">
        <v>60</v>
      </c>
      <c r="L1088" s="2" t="s">
        <v>12680</v>
      </c>
      <c r="M1088" s="3" t="s">
        <v>1817</v>
      </c>
      <c r="N1088" s="2" t="s">
        <v>114</v>
      </c>
      <c r="O1088" s="3" t="s">
        <v>64</v>
      </c>
      <c r="P1088" s="3" t="s">
        <v>115</v>
      </c>
      <c r="R1088" s="3" t="s">
        <v>11989</v>
      </c>
      <c r="S1088" s="4">
        <v>0</v>
      </c>
      <c r="T1088" s="4">
        <v>1</v>
      </c>
      <c r="U1088" s="5" t="s">
        <v>12681</v>
      </c>
      <c r="V1088" s="5" t="s">
        <v>12681</v>
      </c>
      <c r="W1088" s="5" t="s">
        <v>5866</v>
      </c>
      <c r="X1088" s="5" t="s">
        <v>5866</v>
      </c>
      <c r="Y1088" s="4">
        <v>235</v>
      </c>
      <c r="Z1088" s="4">
        <v>177</v>
      </c>
      <c r="AA1088" s="4">
        <v>439</v>
      </c>
      <c r="AB1088" s="4">
        <v>2</v>
      </c>
      <c r="AC1088" s="4">
        <v>4</v>
      </c>
      <c r="AD1088" s="4">
        <v>4</v>
      </c>
      <c r="AE1088" s="4">
        <v>14</v>
      </c>
      <c r="AF1088" s="4">
        <v>3</v>
      </c>
      <c r="AG1088" s="4">
        <v>6</v>
      </c>
      <c r="AH1088" s="4">
        <v>0</v>
      </c>
      <c r="AI1088" s="4">
        <v>3</v>
      </c>
      <c r="AJ1088" s="4">
        <v>0</v>
      </c>
      <c r="AK1088" s="4">
        <v>4</v>
      </c>
      <c r="AL1088" s="4">
        <v>1</v>
      </c>
      <c r="AM1088" s="4">
        <v>3</v>
      </c>
      <c r="AN1088" s="4">
        <v>0</v>
      </c>
      <c r="AO1088" s="4">
        <v>0</v>
      </c>
      <c r="AP1088" s="3" t="s">
        <v>59</v>
      </c>
      <c r="AQ1088" s="3" t="s">
        <v>59</v>
      </c>
      <c r="AS1088" s="6" t="str">
        <f>HYPERLINK("https://creighton-primo.hosted.exlibrisgroup.com/primo-explore/search?tab=default_tab&amp;search_scope=EVERYTHING&amp;vid=01CRU&amp;lang=en_US&amp;offset=0&amp;query=any,contains,991000428409702656","Catalog Record")</f>
        <v>Catalog Record</v>
      </c>
      <c r="AT1088" s="6" t="str">
        <f>HYPERLINK("http://www.worldcat.org/oclc/46829377","WorldCat Record")</f>
        <v>WorldCat Record</v>
      </c>
    </row>
    <row r="1089" spans="1:46" ht="48" customHeight="1" x14ac:dyDescent="0.25">
      <c r="A1089" s="7" t="s">
        <v>59</v>
      </c>
      <c r="B1089" s="2" t="s">
        <v>12677</v>
      </c>
      <c r="C1089" s="2" t="s">
        <v>12678</v>
      </c>
      <c r="D1089" s="2" t="s">
        <v>12679</v>
      </c>
      <c r="E1089" s="3" t="s">
        <v>723</v>
      </c>
      <c r="F1089" s="3" t="s">
        <v>70</v>
      </c>
      <c r="G1089" s="3" t="s">
        <v>60</v>
      </c>
      <c r="H1089" s="3" t="s">
        <v>59</v>
      </c>
      <c r="I1089" s="3" t="s">
        <v>59</v>
      </c>
      <c r="J1089" s="3" t="s">
        <v>60</v>
      </c>
      <c r="L1089" s="2" t="s">
        <v>12680</v>
      </c>
      <c r="M1089" s="3" t="s">
        <v>1817</v>
      </c>
      <c r="N1089" s="2" t="s">
        <v>114</v>
      </c>
      <c r="O1089" s="3" t="s">
        <v>64</v>
      </c>
      <c r="P1089" s="3" t="s">
        <v>115</v>
      </c>
      <c r="R1089" s="3" t="s">
        <v>11989</v>
      </c>
      <c r="S1089" s="4">
        <v>1</v>
      </c>
      <c r="T1089" s="4">
        <v>1</v>
      </c>
      <c r="U1089" s="5" t="s">
        <v>220</v>
      </c>
      <c r="V1089" s="5" t="s">
        <v>12681</v>
      </c>
      <c r="W1089" s="5" t="s">
        <v>5866</v>
      </c>
      <c r="X1089" s="5" t="s">
        <v>5866</v>
      </c>
      <c r="Y1089" s="4">
        <v>235</v>
      </c>
      <c r="Z1089" s="4">
        <v>177</v>
      </c>
      <c r="AA1089" s="4">
        <v>439</v>
      </c>
      <c r="AB1089" s="4">
        <v>2</v>
      </c>
      <c r="AC1089" s="4">
        <v>4</v>
      </c>
      <c r="AD1089" s="4">
        <v>4</v>
      </c>
      <c r="AE1089" s="4">
        <v>14</v>
      </c>
      <c r="AF1089" s="4">
        <v>3</v>
      </c>
      <c r="AG1089" s="4">
        <v>6</v>
      </c>
      <c r="AH1089" s="4">
        <v>0</v>
      </c>
      <c r="AI1089" s="4">
        <v>3</v>
      </c>
      <c r="AJ1089" s="4">
        <v>0</v>
      </c>
      <c r="AK1089" s="4">
        <v>4</v>
      </c>
      <c r="AL1089" s="4">
        <v>1</v>
      </c>
      <c r="AM1089" s="4">
        <v>3</v>
      </c>
      <c r="AN1089" s="4">
        <v>0</v>
      </c>
      <c r="AO1089" s="4">
        <v>0</v>
      </c>
      <c r="AP1089" s="3" t="s">
        <v>59</v>
      </c>
      <c r="AQ1089" s="3" t="s">
        <v>59</v>
      </c>
      <c r="AS1089" s="6" t="str">
        <f>HYPERLINK("https://creighton-primo.hosted.exlibrisgroup.com/primo-explore/search?tab=default_tab&amp;search_scope=EVERYTHING&amp;vid=01CRU&amp;lang=en_US&amp;offset=0&amp;query=any,contains,991000428409702656","Catalog Record")</f>
        <v>Catalog Record</v>
      </c>
      <c r="AT1089" s="6" t="str">
        <f>HYPERLINK("http://www.worldcat.org/oclc/46829377","WorldCat Record")</f>
        <v>WorldCat Record</v>
      </c>
    </row>
    <row r="1090" spans="1:46" ht="48" customHeight="1" x14ac:dyDescent="0.25">
      <c r="A1090" s="7" t="s">
        <v>59</v>
      </c>
      <c r="B1090" s="2" t="s">
        <v>12682</v>
      </c>
      <c r="C1090" s="2" t="s">
        <v>12683</v>
      </c>
      <c r="D1090" s="2" t="s">
        <v>12684</v>
      </c>
      <c r="F1090" s="3" t="s">
        <v>59</v>
      </c>
      <c r="G1090" s="3" t="s">
        <v>60</v>
      </c>
      <c r="H1090" s="3" t="s">
        <v>59</v>
      </c>
      <c r="I1090" s="3" t="s">
        <v>59</v>
      </c>
      <c r="J1090" s="3" t="s">
        <v>61</v>
      </c>
      <c r="L1090" s="2" t="s">
        <v>12685</v>
      </c>
      <c r="M1090" s="3" t="s">
        <v>83</v>
      </c>
      <c r="N1090" s="2" t="s">
        <v>731</v>
      </c>
      <c r="O1090" s="3" t="s">
        <v>64</v>
      </c>
      <c r="P1090" s="3" t="s">
        <v>674</v>
      </c>
      <c r="Q1090" s="2" t="s">
        <v>12686</v>
      </c>
      <c r="R1090" s="3" t="s">
        <v>11989</v>
      </c>
      <c r="S1090" s="4">
        <v>3</v>
      </c>
      <c r="T1090" s="4">
        <v>3</v>
      </c>
      <c r="U1090" s="5" t="s">
        <v>12546</v>
      </c>
      <c r="V1090" s="5" t="s">
        <v>12546</v>
      </c>
      <c r="W1090" s="5" t="s">
        <v>12687</v>
      </c>
      <c r="X1090" s="5" t="s">
        <v>12687</v>
      </c>
      <c r="Y1090" s="4">
        <v>106</v>
      </c>
      <c r="Z1090" s="4">
        <v>82</v>
      </c>
      <c r="AA1090" s="4">
        <v>90</v>
      </c>
      <c r="AB1090" s="4">
        <v>1</v>
      </c>
      <c r="AC1090" s="4">
        <v>1</v>
      </c>
      <c r="AD1090" s="4">
        <v>3</v>
      </c>
      <c r="AE1090" s="4">
        <v>3</v>
      </c>
      <c r="AF1090" s="4">
        <v>2</v>
      </c>
      <c r="AG1090" s="4">
        <v>2</v>
      </c>
      <c r="AH1090" s="4">
        <v>1</v>
      </c>
      <c r="AI1090" s="4">
        <v>1</v>
      </c>
      <c r="AJ1090" s="4">
        <v>1</v>
      </c>
      <c r="AK1090" s="4">
        <v>1</v>
      </c>
      <c r="AL1090" s="4">
        <v>0</v>
      </c>
      <c r="AM1090" s="4">
        <v>0</v>
      </c>
      <c r="AN1090" s="4">
        <v>0</v>
      </c>
      <c r="AO1090" s="4">
        <v>0</v>
      </c>
      <c r="AP1090" s="3" t="s">
        <v>59</v>
      </c>
      <c r="AQ1090" s="3" t="s">
        <v>70</v>
      </c>
      <c r="AR1090" s="6" t="str">
        <f>HYPERLINK("http://catalog.hathitrust.org/Record/003176326","HathiTrust Record")</f>
        <v>HathiTrust Record</v>
      </c>
      <c r="AS1090" s="6" t="str">
        <f>HYPERLINK("https://creighton-primo.hosted.exlibrisgroup.com/primo-explore/search?tab=default_tab&amp;search_scope=EVERYTHING&amp;vid=01CRU&amp;lang=en_US&amp;offset=0&amp;query=any,contains,991001267459702656","Catalog Record")</f>
        <v>Catalog Record</v>
      </c>
      <c r="AT1090" s="6" t="str">
        <f>HYPERLINK("http://www.worldcat.org/oclc/38862806","WorldCat Record")</f>
        <v>WorldCat Record</v>
      </c>
    </row>
    <row r="1091" spans="1:46" ht="48" customHeight="1" x14ac:dyDescent="0.25">
      <c r="A1091" s="7" t="s">
        <v>59</v>
      </c>
      <c r="B1091" s="2" t="s">
        <v>12688</v>
      </c>
      <c r="C1091" s="2" t="s">
        <v>12689</v>
      </c>
      <c r="D1091" s="2" t="s">
        <v>12690</v>
      </c>
      <c r="F1091" s="3" t="s">
        <v>59</v>
      </c>
      <c r="G1091" s="3" t="s">
        <v>60</v>
      </c>
      <c r="H1091" s="3" t="s">
        <v>59</v>
      </c>
      <c r="I1091" s="3" t="s">
        <v>59</v>
      </c>
      <c r="J1091" s="3" t="s">
        <v>61</v>
      </c>
      <c r="K1091" s="2" t="s">
        <v>12691</v>
      </c>
      <c r="L1091" s="2" t="s">
        <v>12412</v>
      </c>
      <c r="M1091" s="3" t="s">
        <v>925</v>
      </c>
      <c r="N1091" s="2" t="s">
        <v>12692</v>
      </c>
      <c r="O1091" s="3" t="s">
        <v>64</v>
      </c>
      <c r="P1091" s="3" t="s">
        <v>264</v>
      </c>
      <c r="R1091" s="3" t="s">
        <v>11989</v>
      </c>
      <c r="S1091" s="4">
        <v>12</v>
      </c>
      <c r="T1091" s="4">
        <v>12</v>
      </c>
      <c r="U1091" s="5" t="s">
        <v>12693</v>
      </c>
      <c r="V1091" s="5" t="s">
        <v>12693</v>
      </c>
      <c r="W1091" s="5" t="s">
        <v>12694</v>
      </c>
      <c r="X1091" s="5" t="s">
        <v>12694</v>
      </c>
      <c r="Y1091" s="4">
        <v>401</v>
      </c>
      <c r="Z1091" s="4">
        <v>286</v>
      </c>
      <c r="AA1091" s="4">
        <v>288</v>
      </c>
      <c r="AB1091" s="4">
        <v>2</v>
      </c>
      <c r="AC1091" s="4">
        <v>2</v>
      </c>
      <c r="AD1091" s="4">
        <v>11</v>
      </c>
      <c r="AE1091" s="4">
        <v>11</v>
      </c>
      <c r="AF1091" s="4">
        <v>7</v>
      </c>
      <c r="AG1091" s="4">
        <v>7</v>
      </c>
      <c r="AH1091" s="4">
        <v>2</v>
      </c>
      <c r="AI1091" s="4">
        <v>2</v>
      </c>
      <c r="AJ1091" s="4">
        <v>6</v>
      </c>
      <c r="AK1091" s="4">
        <v>6</v>
      </c>
      <c r="AL1091" s="4">
        <v>1</v>
      </c>
      <c r="AM1091" s="4">
        <v>1</v>
      </c>
      <c r="AN1091" s="4">
        <v>0</v>
      </c>
      <c r="AO1091" s="4">
        <v>0</v>
      </c>
      <c r="AP1091" s="3" t="s">
        <v>59</v>
      </c>
      <c r="AQ1091" s="3" t="s">
        <v>70</v>
      </c>
      <c r="AR1091" s="6" t="str">
        <f>HYPERLINK("http://catalog.hathitrust.org/Record/004026896","HathiTrust Record")</f>
        <v>HathiTrust Record</v>
      </c>
      <c r="AS1091" s="6" t="str">
        <f>HYPERLINK("https://creighton-primo.hosted.exlibrisgroup.com/primo-explore/search?tab=default_tab&amp;search_scope=EVERYTHING&amp;vid=01CRU&amp;lang=en_US&amp;offset=0&amp;query=any,contains,991001569469702656","Catalog Record")</f>
        <v>Catalog Record</v>
      </c>
      <c r="AT1091" s="6" t="str">
        <f>HYPERLINK("http://www.worldcat.org/oclc/36807704","WorldCat Record")</f>
        <v>WorldCat Record</v>
      </c>
    </row>
    <row r="1092" spans="1:46" ht="48" customHeight="1" x14ac:dyDescent="0.25">
      <c r="A1092" s="7" t="s">
        <v>59</v>
      </c>
      <c r="B1092" s="2" t="s">
        <v>12695</v>
      </c>
      <c r="C1092" s="2" t="s">
        <v>12696</v>
      </c>
      <c r="D1092" s="2" t="s">
        <v>12697</v>
      </c>
      <c r="F1092" s="3" t="s">
        <v>59</v>
      </c>
      <c r="G1092" s="3" t="s">
        <v>60</v>
      </c>
      <c r="H1092" s="3" t="s">
        <v>59</v>
      </c>
      <c r="I1092" s="3" t="s">
        <v>59</v>
      </c>
      <c r="J1092" s="3" t="s">
        <v>61</v>
      </c>
      <c r="K1092" s="2" t="s">
        <v>12698</v>
      </c>
      <c r="L1092" s="2" t="s">
        <v>12699</v>
      </c>
      <c r="M1092" s="3" t="s">
        <v>175</v>
      </c>
      <c r="N1092" s="2" t="s">
        <v>114</v>
      </c>
      <c r="O1092" s="3" t="s">
        <v>64</v>
      </c>
      <c r="P1092" s="3" t="s">
        <v>115</v>
      </c>
      <c r="R1092" s="3" t="s">
        <v>11989</v>
      </c>
      <c r="S1092" s="4">
        <v>8</v>
      </c>
      <c r="T1092" s="4">
        <v>8</v>
      </c>
      <c r="U1092" s="5" t="s">
        <v>12700</v>
      </c>
      <c r="V1092" s="5" t="s">
        <v>12700</v>
      </c>
      <c r="W1092" s="5" t="s">
        <v>12701</v>
      </c>
      <c r="X1092" s="5" t="s">
        <v>12701</v>
      </c>
      <c r="Y1092" s="4">
        <v>263</v>
      </c>
      <c r="Z1092" s="4">
        <v>193</v>
      </c>
      <c r="AA1092" s="4">
        <v>336</v>
      </c>
      <c r="AB1092" s="4">
        <v>1</v>
      </c>
      <c r="AC1092" s="4">
        <v>3</v>
      </c>
      <c r="AD1092" s="4">
        <v>6</v>
      </c>
      <c r="AE1092" s="4">
        <v>10</v>
      </c>
      <c r="AF1092" s="4">
        <v>3</v>
      </c>
      <c r="AG1092" s="4">
        <v>5</v>
      </c>
      <c r="AH1092" s="4">
        <v>2</v>
      </c>
      <c r="AI1092" s="4">
        <v>2</v>
      </c>
      <c r="AJ1092" s="4">
        <v>2</v>
      </c>
      <c r="AK1092" s="4">
        <v>5</v>
      </c>
      <c r="AL1092" s="4">
        <v>0</v>
      </c>
      <c r="AM1092" s="4">
        <v>1</v>
      </c>
      <c r="AN1092" s="4">
        <v>0</v>
      </c>
      <c r="AO1092" s="4">
        <v>0</v>
      </c>
      <c r="AP1092" s="3" t="s">
        <v>59</v>
      </c>
      <c r="AQ1092" s="3" t="s">
        <v>70</v>
      </c>
      <c r="AR1092" s="6" t="str">
        <f>HYPERLINK("http://catalog.hathitrust.org/Record/004028031","HathiTrust Record")</f>
        <v>HathiTrust Record</v>
      </c>
      <c r="AS1092" s="6" t="str">
        <f>HYPERLINK("https://creighton-primo.hosted.exlibrisgroup.com/primo-explore/search?tab=default_tab&amp;search_scope=EVERYTHING&amp;vid=01CRU&amp;lang=en_US&amp;offset=0&amp;query=any,contains,991001445059702656","Catalog Record")</f>
        <v>Catalog Record</v>
      </c>
      <c r="AT1092" s="6" t="str">
        <f>HYPERLINK("http://www.worldcat.org/oclc/39298986","WorldCat Record")</f>
        <v>WorldCat Record</v>
      </c>
    </row>
    <row r="1093" spans="1:46" ht="48" customHeight="1" x14ac:dyDescent="0.25">
      <c r="A1093" s="7" t="s">
        <v>59</v>
      </c>
      <c r="B1093" s="2" t="s">
        <v>12702</v>
      </c>
      <c r="C1093" s="2" t="s">
        <v>12703</v>
      </c>
      <c r="D1093" s="2" t="s">
        <v>12704</v>
      </c>
      <c r="F1093" s="3" t="s">
        <v>59</v>
      </c>
      <c r="G1093" s="3" t="s">
        <v>60</v>
      </c>
      <c r="H1093" s="3" t="s">
        <v>59</v>
      </c>
      <c r="I1093" s="3" t="s">
        <v>59</v>
      </c>
      <c r="J1093" s="3" t="s">
        <v>61</v>
      </c>
      <c r="L1093" s="2" t="s">
        <v>12705</v>
      </c>
      <c r="M1093" s="3" t="s">
        <v>604</v>
      </c>
      <c r="O1093" s="3" t="s">
        <v>64</v>
      </c>
      <c r="P1093" s="3" t="s">
        <v>65</v>
      </c>
      <c r="R1093" s="3" t="s">
        <v>11989</v>
      </c>
      <c r="S1093" s="4">
        <v>16</v>
      </c>
      <c r="T1093" s="4">
        <v>16</v>
      </c>
      <c r="U1093" s="5" t="s">
        <v>12706</v>
      </c>
      <c r="V1093" s="5" t="s">
        <v>12706</v>
      </c>
      <c r="W1093" s="5" t="s">
        <v>12707</v>
      </c>
      <c r="X1093" s="5" t="s">
        <v>12707</v>
      </c>
      <c r="Y1093" s="4">
        <v>144</v>
      </c>
      <c r="Z1093" s="4">
        <v>106</v>
      </c>
      <c r="AA1093" s="4">
        <v>113</v>
      </c>
      <c r="AB1093" s="4">
        <v>2</v>
      </c>
      <c r="AC1093" s="4">
        <v>2</v>
      </c>
      <c r="AD1093" s="4">
        <v>4</v>
      </c>
      <c r="AE1093" s="4">
        <v>4</v>
      </c>
      <c r="AF1093" s="4">
        <v>2</v>
      </c>
      <c r="AG1093" s="4">
        <v>2</v>
      </c>
      <c r="AH1093" s="4">
        <v>1</v>
      </c>
      <c r="AI1093" s="4">
        <v>1</v>
      </c>
      <c r="AJ1093" s="4">
        <v>2</v>
      </c>
      <c r="AK1093" s="4">
        <v>2</v>
      </c>
      <c r="AL1093" s="4">
        <v>1</v>
      </c>
      <c r="AM1093" s="4">
        <v>1</v>
      </c>
      <c r="AN1093" s="4">
        <v>0</v>
      </c>
      <c r="AO1093" s="4">
        <v>0</v>
      </c>
      <c r="AP1093" s="3" t="s">
        <v>59</v>
      </c>
      <c r="AQ1093" s="3" t="s">
        <v>70</v>
      </c>
      <c r="AR1093" s="6" t="str">
        <f>HYPERLINK("http://catalog.hathitrust.org/Record/002997501","HathiTrust Record")</f>
        <v>HathiTrust Record</v>
      </c>
      <c r="AS1093" s="6" t="str">
        <f>HYPERLINK("https://creighton-primo.hosted.exlibrisgroup.com/primo-explore/search?tab=default_tab&amp;search_scope=EVERYTHING&amp;vid=01CRU&amp;lang=en_US&amp;offset=0&amp;query=any,contains,991001503319702656","Catalog Record")</f>
        <v>Catalog Record</v>
      </c>
      <c r="AT1093" s="6" t="str">
        <f>HYPERLINK("http://www.worldcat.org/oclc/31077239","WorldCat Record")</f>
        <v>WorldCat Record</v>
      </c>
    </row>
    <row r="1094" spans="1:46" ht="48" customHeight="1" x14ac:dyDescent="0.25">
      <c r="A1094" s="7" t="s">
        <v>59</v>
      </c>
      <c r="B1094" s="2" t="s">
        <v>12708</v>
      </c>
      <c r="C1094" s="2" t="s">
        <v>12709</v>
      </c>
      <c r="D1094" s="2" t="s">
        <v>12710</v>
      </c>
      <c r="F1094" s="3" t="s">
        <v>59</v>
      </c>
      <c r="G1094" s="3" t="s">
        <v>60</v>
      </c>
      <c r="H1094" s="3" t="s">
        <v>59</v>
      </c>
      <c r="I1094" s="3" t="s">
        <v>59</v>
      </c>
      <c r="J1094" s="3" t="s">
        <v>61</v>
      </c>
      <c r="K1094" s="2" t="s">
        <v>12711</v>
      </c>
      <c r="L1094" s="2" t="s">
        <v>12712</v>
      </c>
      <c r="M1094" s="3" t="s">
        <v>590</v>
      </c>
      <c r="O1094" s="3" t="s">
        <v>64</v>
      </c>
      <c r="P1094" s="3" t="s">
        <v>84</v>
      </c>
      <c r="R1094" s="3" t="s">
        <v>11989</v>
      </c>
      <c r="S1094" s="4">
        <v>4</v>
      </c>
      <c r="T1094" s="4">
        <v>4</v>
      </c>
      <c r="U1094" s="5" t="s">
        <v>12713</v>
      </c>
      <c r="V1094" s="5" t="s">
        <v>12713</v>
      </c>
      <c r="W1094" s="5" t="s">
        <v>12714</v>
      </c>
      <c r="X1094" s="5" t="s">
        <v>12714</v>
      </c>
      <c r="Y1094" s="4">
        <v>165</v>
      </c>
      <c r="Z1094" s="4">
        <v>99</v>
      </c>
      <c r="AA1094" s="4">
        <v>200</v>
      </c>
      <c r="AB1094" s="4">
        <v>1</v>
      </c>
      <c r="AC1094" s="4">
        <v>1</v>
      </c>
      <c r="AD1094" s="4">
        <v>2</v>
      </c>
      <c r="AE1094" s="4">
        <v>5</v>
      </c>
      <c r="AF1094" s="4">
        <v>0</v>
      </c>
      <c r="AG1094" s="4">
        <v>2</v>
      </c>
      <c r="AH1094" s="4">
        <v>1</v>
      </c>
      <c r="AI1094" s="4">
        <v>2</v>
      </c>
      <c r="AJ1094" s="4">
        <v>2</v>
      </c>
      <c r="AK1094" s="4">
        <v>2</v>
      </c>
      <c r="AL1094" s="4">
        <v>0</v>
      </c>
      <c r="AM1094" s="4">
        <v>0</v>
      </c>
      <c r="AN1094" s="4">
        <v>0</v>
      </c>
      <c r="AO1094" s="4">
        <v>0</v>
      </c>
      <c r="AP1094" s="3" t="s">
        <v>59</v>
      </c>
      <c r="AQ1094" s="3" t="s">
        <v>59</v>
      </c>
      <c r="AS1094" s="6" t="str">
        <f>HYPERLINK("https://creighton-primo.hosted.exlibrisgroup.com/primo-explore/search?tab=default_tab&amp;search_scope=EVERYTHING&amp;vid=01CRU&amp;lang=en_US&amp;offset=0&amp;query=any,contains,991001121089702656","Catalog Record")</f>
        <v>Catalog Record</v>
      </c>
      <c r="AT1094" s="6" t="str">
        <f>HYPERLINK("http://www.worldcat.org/oclc/19399147","WorldCat Record")</f>
        <v>WorldCat Record</v>
      </c>
    </row>
    <row r="1095" spans="1:46" ht="48" customHeight="1" x14ac:dyDescent="0.25">
      <c r="A1095" s="7" t="s">
        <v>59</v>
      </c>
      <c r="B1095" s="2" t="s">
        <v>12715</v>
      </c>
      <c r="C1095" s="2" t="s">
        <v>12716</v>
      </c>
      <c r="D1095" s="2" t="s">
        <v>12717</v>
      </c>
      <c r="F1095" s="3" t="s">
        <v>59</v>
      </c>
      <c r="G1095" s="3" t="s">
        <v>60</v>
      </c>
      <c r="H1095" s="3" t="s">
        <v>59</v>
      </c>
      <c r="I1095" s="3" t="s">
        <v>70</v>
      </c>
      <c r="J1095" s="3" t="s">
        <v>61</v>
      </c>
      <c r="K1095" s="2" t="s">
        <v>12718</v>
      </c>
      <c r="L1095" s="2" t="s">
        <v>12719</v>
      </c>
      <c r="M1095" s="3" t="s">
        <v>519</v>
      </c>
      <c r="O1095" s="3" t="s">
        <v>64</v>
      </c>
      <c r="P1095" s="3" t="s">
        <v>115</v>
      </c>
      <c r="R1095" s="3" t="s">
        <v>11989</v>
      </c>
      <c r="S1095" s="4">
        <v>23</v>
      </c>
      <c r="T1095" s="4">
        <v>23</v>
      </c>
      <c r="U1095" s="5" t="s">
        <v>12720</v>
      </c>
      <c r="V1095" s="5" t="s">
        <v>12720</v>
      </c>
      <c r="W1095" s="5" t="s">
        <v>8328</v>
      </c>
      <c r="X1095" s="5" t="s">
        <v>8328</v>
      </c>
      <c r="Y1095" s="4">
        <v>283</v>
      </c>
      <c r="Z1095" s="4">
        <v>190</v>
      </c>
      <c r="AA1095" s="4">
        <v>586</v>
      </c>
      <c r="AB1095" s="4">
        <v>1</v>
      </c>
      <c r="AC1095" s="4">
        <v>8</v>
      </c>
      <c r="AD1095" s="4">
        <v>5</v>
      </c>
      <c r="AE1095" s="4">
        <v>22</v>
      </c>
      <c r="AF1095" s="4">
        <v>3</v>
      </c>
      <c r="AG1095" s="4">
        <v>13</v>
      </c>
      <c r="AH1095" s="4">
        <v>2</v>
      </c>
      <c r="AI1095" s="4">
        <v>2</v>
      </c>
      <c r="AJ1095" s="4">
        <v>3</v>
      </c>
      <c r="AK1095" s="4">
        <v>5</v>
      </c>
      <c r="AL1095" s="4">
        <v>0</v>
      </c>
      <c r="AM1095" s="4">
        <v>6</v>
      </c>
      <c r="AN1095" s="4">
        <v>0</v>
      </c>
      <c r="AO1095" s="4">
        <v>0</v>
      </c>
      <c r="AP1095" s="3" t="s">
        <v>59</v>
      </c>
      <c r="AQ1095" s="3" t="s">
        <v>70</v>
      </c>
      <c r="AR1095" s="6" t="str">
        <f>HYPERLINK("http://catalog.hathitrust.org/Record/002889504","HathiTrust Record")</f>
        <v>HathiTrust Record</v>
      </c>
      <c r="AS1095" s="6" t="str">
        <f>HYPERLINK("https://creighton-primo.hosted.exlibrisgroup.com/primo-explore/search?tab=default_tab&amp;search_scope=EVERYTHING&amp;vid=01CRU&amp;lang=en_US&amp;offset=0&amp;query=any,contains,991001404309702656","Catalog Record")</f>
        <v>Catalog Record</v>
      </c>
      <c r="AT1095" s="6" t="str">
        <f>HYPERLINK("http://www.worldcat.org/oclc/29549095","WorldCat Record")</f>
        <v>WorldCat Record</v>
      </c>
    </row>
    <row r="1096" spans="1:46" ht="48" customHeight="1" x14ac:dyDescent="0.25">
      <c r="A1096" s="7" t="s">
        <v>59</v>
      </c>
      <c r="B1096" s="2" t="s">
        <v>12721</v>
      </c>
      <c r="C1096" s="2" t="s">
        <v>12722</v>
      </c>
      <c r="D1096" s="2" t="s">
        <v>12723</v>
      </c>
      <c r="F1096" s="3" t="s">
        <v>59</v>
      </c>
      <c r="G1096" s="3" t="s">
        <v>60</v>
      </c>
      <c r="H1096" s="3" t="s">
        <v>59</v>
      </c>
      <c r="I1096" s="3" t="s">
        <v>59</v>
      </c>
      <c r="J1096" s="3" t="s">
        <v>61</v>
      </c>
      <c r="L1096" s="2" t="s">
        <v>12724</v>
      </c>
      <c r="M1096" s="3" t="s">
        <v>113</v>
      </c>
      <c r="O1096" s="3" t="s">
        <v>64</v>
      </c>
      <c r="P1096" s="3" t="s">
        <v>2252</v>
      </c>
      <c r="Q1096" s="2" t="s">
        <v>12725</v>
      </c>
      <c r="R1096" s="3" t="s">
        <v>11989</v>
      </c>
      <c r="S1096" s="4">
        <v>8</v>
      </c>
      <c r="T1096" s="4">
        <v>8</v>
      </c>
      <c r="U1096" s="5" t="s">
        <v>12726</v>
      </c>
      <c r="V1096" s="5" t="s">
        <v>12726</v>
      </c>
      <c r="W1096" s="5" t="s">
        <v>12227</v>
      </c>
      <c r="X1096" s="5" t="s">
        <v>12227</v>
      </c>
      <c r="Y1096" s="4">
        <v>126</v>
      </c>
      <c r="Z1096" s="4">
        <v>99</v>
      </c>
      <c r="AA1096" s="4">
        <v>119</v>
      </c>
      <c r="AB1096" s="4">
        <v>1</v>
      </c>
      <c r="AC1096" s="4">
        <v>1</v>
      </c>
      <c r="AD1096" s="4">
        <v>1</v>
      </c>
      <c r="AE1096" s="4">
        <v>1</v>
      </c>
      <c r="AF1096" s="4">
        <v>0</v>
      </c>
      <c r="AG1096" s="4">
        <v>0</v>
      </c>
      <c r="AH1096" s="4">
        <v>1</v>
      </c>
      <c r="AI1096" s="4">
        <v>1</v>
      </c>
      <c r="AJ1096" s="4">
        <v>0</v>
      </c>
      <c r="AK1096" s="4">
        <v>0</v>
      </c>
      <c r="AL1096" s="4">
        <v>0</v>
      </c>
      <c r="AM1096" s="4">
        <v>0</v>
      </c>
      <c r="AN1096" s="4">
        <v>0</v>
      </c>
      <c r="AO1096" s="4">
        <v>0</v>
      </c>
      <c r="AP1096" s="3" t="s">
        <v>59</v>
      </c>
      <c r="AQ1096" s="3" t="s">
        <v>59</v>
      </c>
      <c r="AS1096" s="6" t="str">
        <f>HYPERLINK("https://creighton-primo.hosted.exlibrisgroup.com/primo-explore/search?tab=default_tab&amp;search_scope=EVERYTHING&amp;vid=01CRU&amp;lang=en_US&amp;offset=0&amp;query=any,contains,991000861349702656","Catalog Record")</f>
        <v>Catalog Record</v>
      </c>
      <c r="AT1096" s="6" t="str">
        <f>HYPERLINK("http://www.worldcat.org/oclc/14213506","WorldCat Record")</f>
        <v>WorldCat Record</v>
      </c>
    </row>
    <row r="1097" spans="1:46" ht="48" customHeight="1" x14ac:dyDescent="0.25">
      <c r="A1097" s="7" t="s">
        <v>59</v>
      </c>
      <c r="B1097" s="2" t="s">
        <v>12727</v>
      </c>
      <c r="C1097" s="2" t="s">
        <v>12728</v>
      </c>
      <c r="D1097" s="2" t="s">
        <v>12729</v>
      </c>
      <c r="F1097" s="3" t="s">
        <v>59</v>
      </c>
      <c r="G1097" s="3" t="s">
        <v>60</v>
      </c>
      <c r="H1097" s="3" t="s">
        <v>59</v>
      </c>
      <c r="I1097" s="3" t="s">
        <v>70</v>
      </c>
      <c r="J1097" s="3" t="s">
        <v>61</v>
      </c>
      <c r="K1097" s="2" t="s">
        <v>12718</v>
      </c>
      <c r="L1097" s="2" t="s">
        <v>12730</v>
      </c>
      <c r="M1097" s="3" t="s">
        <v>1986</v>
      </c>
      <c r="N1097" s="2" t="s">
        <v>2933</v>
      </c>
      <c r="O1097" s="3" t="s">
        <v>64</v>
      </c>
      <c r="P1097" s="3" t="s">
        <v>115</v>
      </c>
      <c r="R1097" s="3" t="s">
        <v>11989</v>
      </c>
      <c r="S1097" s="4">
        <v>1</v>
      </c>
      <c r="T1097" s="4">
        <v>1</v>
      </c>
      <c r="U1097" s="5" t="s">
        <v>12731</v>
      </c>
      <c r="V1097" s="5" t="s">
        <v>12731</v>
      </c>
      <c r="W1097" s="5" t="s">
        <v>12732</v>
      </c>
      <c r="X1097" s="5" t="s">
        <v>12732</v>
      </c>
      <c r="Y1097" s="4">
        <v>555</v>
      </c>
      <c r="Z1097" s="4">
        <v>383</v>
      </c>
      <c r="AA1097" s="4">
        <v>1474</v>
      </c>
      <c r="AB1097" s="4">
        <v>3</v>
      </c>
      <c r="AC1097" s="4">
        <v>11</v>
      </c>
      <c r="AD1097" s="4">
        <v>13</v>
      </c>
      <c r="AE1097" s="4">
        <v>44</v>
      </c>
      <c r="AF1097" s="4">
        <v>4</v>
      </c>
      <c r="AG1097" s="4">
        <v>23</v>
      </c>
      <c r="AH1097" s="4">
        <v>4</v>
      </c>
      <c r="AI1097" s="4">
        <v>6</v>
      </c>
      <c r="AJ1097" s="4">
        <v>4</v>
      </c>
      <c r="AK1097" s="4">
        <v>15</v>
      </c>
      <c r="AL1097" s="4">
        <v>2</v>
      </c>
      <c r="AM1097" s="4">
        <v>8</v>
      </c>
      <c r="AN1097" s="4">
        <v>0</v>
      </c>
      <c r="AO1097" s="4">
        <v>0</v>
      </c>
      <c r="AP1097" s="3" t="s">
        <v>59</v>
      </c>
      <c r="AQ1097" s="3" t="s">
        <v>59</v>
      </c>
      <c r="AS1097" s="6" t="str">
        <f>HYPERLINK("https://creighton-primo.hosted.exlibrisgroup.com/primo-explore/search?tab=default_tab&amp;search_scope=EVERYTHING&amp;vid=01CRU&amp;lang=en_US&amp;offset=0&amp;query=any,contains,991000295319702656","Catalog Record")</f>
        <v>Catalog Record</v>
      </c>
      <c r="AT1097" s="6" t="str">
        <f>HYPERLINK("http://www.worldcat.org/oclc/46566007","WorldCat Record")</f>
        <v>WorldCat Record</v>
      </c>
    </row>
    <row r="1098" spans="1:46" ht="48" customHeight="1" x14ac:dyDescent="0.25">
      <c r="A1098" s="7" t="s">
        <v>59</v>
      </c>
      <c r="B1098" s="2" t="s">
        <v>12733</v>
      </c>
      <c r="C1098" s="2" t="s">
        <v>12734</v>
      </c>
      <c r="D1098" s="2" t="s">
        <v>12735</v>
      </c>
      <c r="F1098" s="3" t="s">
        <v>59</v>
      </c>
      <c r="G1098" s="3" t="s">
        <v>60</v>
      </c>
      <c r="H1098" s="3" t="s">
        <v>59</v>
      </c>
      <c r="I1098" s="3" t="s">
        <v>59</v>
      </c>
      <c r="J1098" s="3" t="s">
        <v>61</v>
      </c>
      <c r="K1098" s="2" t="s">
        <v>12736</v>
      </c>
      <c r="L1098" s="2" t="s">
        <v>12737</v>
      </c>
      <c r="M1098" s="3" t="s">
        <v>348</v>
      </c>
      <c r="O1098" s="3" t="s">
        <v>64</v>
      </c>
      <c r="P1098" s="3" t="s">
        <v>84</v>
      </c>
      <c r="R1098" s="3" t="s">
        <v>11989</v>
      </c>
      <c r="S1098" s="4">
        <v>60</v>
      </c>
      <c r="T1098" s="4">
        <v>60</v>
      </c>
      <c r="U1098" s="5" t="s">
        <v>12738</v>
      </c>
      <c r="V1098" s="5" t="s">
        <v>12738</v>
      </c>
      <c r="W1098" s="5" t="s">
        <v>12739</v>
      </c>
      <c r="X1098" s="5" t="s">
        <v>12739</v>
      </c>
      <c r="Y1098" s="4">
        <v>179</v>
      </c>
      <c r="Z1098" s="4">
        <v>100</v>
      </c>
      <c r="AA1098" s="4">
        <v>351</v>
      </c>
      <c r="AB1098" s="4">
        <v>1</v>
      </c>
      <c r="AC1098" s="4">
        <v>1</v>
      </c>
      <c r="AD1098" s="4">
        <v>2</v>
      </c>
      <c r="AE1098" s="4">
        <v>12</v>
      </c>
      <c r="AF1098" s="4">
        <v>1</v>
      </c>
      <c r="AG1098" s="4">
        <v>8</v>
      </c>
      <c r="AH1098" s="4">
        <v>1</v>
      </c>
      <c r="AI1098" s="4">
        <v>2</v>
      </c>
      <c r="AJ1098" s="4">
        <v>1</v>
      </c>
      <c r="AK1098" s="4">
        <v>5</v>
      </c>
      <c r="AL1098" s="4">
        <v>0</v>
      </c>
      <c r="AM1098" s="4">
        <v>0</v>
      </c>
      <c r="AN1098" s="4">
        <v>0</v>
      </c>
      <c r="AO1098" s="4">
        <v>0</v>
      </c>
      <c r="AP1098" s="3" t="s">
        <v>59</v>
      </c>
      <c r="AQ1098" s="3" t="s">
        <v>70</v>
      </c>
      <c r="AR1098" s="6" t="str">
        <f>HYPERLINK("http://catalog.hathitrust.org/Record/002643292","HathiTrust Record")</f>
        <v>HathiTrust Record</v>
      </c>
      <c r="AS1098" s="6" t="str">
        <f>HYPERLINK("https://creighton-primo.hosted.exlibrisgroup.com/primo-explore/search?tab=default_tab&amp;search_scope=EVERYTHING&amp;vid=01CRU&amp;lang=en_US&amp;offset=0&amp;query=any,contains,991001513069702656","Catalog Record")</f>
        <v>Catalog Record</v>
      </c>
      <c r="AT1098" s="6" t="str">
        <f>HYPERLINK("http://www.worldcat.org/oclc/26096378","WorldCat Record")</f>
        <v>WorldCat Record</v>
      </c>
    </row>
    <row r="1099" spans="1:46" ht="48" customHeight="1" x14ac:dyDescent="0.25">
      <c r="A1099" s="7" t="s">
        <v>59</v>
      </c>
      <c r="B1099" s="2" t="s">
        <v>12740</v>
      </c>
      <c r="C1099" s="2" t="s">
        <v>12741</v>
      </c>
      <c r="D1099" s="2" t="s">
        <v>12742</v>
      </c>
      <c r="E1099" s="3" t="s">
        <v>159</v>
      </c>
      <c r="F1099" s="3" t="s">
        <v>70</v>
      </c>
      <c r="G1099" s="3" t="s">
        <v>60</v>
      </c>
      <c r="H1099" s="3" t="s">
        <v>59</v>
      </c>
      <c r="I1099" s="3" t="s">
        <v>59</v>
      </c>
      <c r="J1099" s="3" t="s">
        <v>61</v>
      </c>
      <c r="L1099" s="2" t="s">
        <v>12743</v>
      </c>
      <c r="M1099" s="3" t="s">
        <v>519</v>
      </c>
      <c r="O1099" s="3" t="s">
        <v>64</v>
      </c>
      <c r="P1099" s="3" t="s">
        <v>115</v>
      </c>
      <c r="R1099" s="3" t="s">
        <v>11989</v>
      </c>
      <c r="S1099" s="4">
        <v>11</v>
      </c>
      <c r="T1099" s="4">
        <v>24</v>
      </c>
      <c r="U1099" s="5" t="s">
        <v>12744</v>
      </c>
      <c r="V1099" s="5" t="s">
        <v>12744</v>
      </c>
      <c r="W1099" s="5" t="s">
        <v>11589</v>
      </c>
      <c r="X1099" s="5" t="s">
        <v>11589</v>
      </c>
      <c r="Y1099" s="4">
        <v>232</v>
      </c>
      <c r="Z1099" s="4">
        <v>166</v>
      </c>
      <c r="AA1099" s="4">
        <v>168</v>
      </c>
      <c r="AB1099" s="4">
        <v>1</v>
      </c>
      <c r="AC1099" s="4">
        <v>1</v>
      </c>
      <c r="AD1099" s="4">
        <v>4</v>
      </c>
      <c r="AE1099" s="4">
        <v>4</v>
      </c>
      <c r="AF1099" s="4">
        <v>4</v>
      </c>
      <c r="AG1099" s="4">
        <v>4</v>
      </c>
      <c r="AH1099" s="4">
        <v>0</v>
      </c>
      <c r="AI1099" s="4">
        <v>0</v>
      </c>
      <c r="AJ1099" s="4">
        <v>1</v>
      </c>
      <c r="AK1099" s="4">
        <v>1</v>
      </c>
      <c r="AL1099" s="4">
        <v>0</v>
      </c>
      <c r="AM1099" s="4">
        <v>0</v>
      </c>
      <c r="AN1099" s="4">
        <v>0</v>
      </c>
      <c r="AO1099" s="4">
        <v>0</v>
      </c>
      <c r="AP1099" s="3" t="s">
        <v>59</v>
      </c>
      <c r="AQ1099" s="3" t="s">
        <v>70</v>
      </c>
      <c r="AR1099" s="6" t="str">
        <f>HYPERLINK("http://catalog.hathitrust.org/Record/002795480","HathiTrust Record")</f>
        <v>HathiTrust Record</v>
      </c>
      <c r="AS1099" s="6" t="str">
        <f>HYPERLINK("https://creighton-primo.hosted.exlibrisgroup.com/primo-explore/search?tab=default_tab&amp;search_scope=EVERYTHING&amp;vid=01CRU&amp;lang=en_US&amp;offset=0&amp;query=any,contains,991001404519702656","Catalog Record")</f>
        <v>Catalog Record</v>
      </c>
      <c r="AT1099" s="6" t="str">
        <f>HYPERLINK("http://www.worldcat.org/oclc/28548818","WorldCat Record")</f>
        <v>WorldCat Record</v>
      </c>
    </row>
    <row r="1100" spans="1:46" ht="48" customHeight="1" x14ac:dyDescent="0.25">
      <c r="A1100" s="7" t="s">
        <v>59</v>
      </c>
      <c r="B1100" s="2" t="s">
        <v>12740</v>
      </c>
      <c r="C1100" s="2" t="s">
        <v>12741</v>
      </c>
      <c r="D1100" s="2" t="s">
        <v>12742</v>
      </c>
      <c r="E1100" s="3" t="s">
        <v>512</v>
      </c>
      <c r="F1100" s="3" t="s">
        <v>70</v>
      </c>
      <c r="G1100" s="3" t="s">
        <v>60</v>
      </c>
      <c r="H1100" s="3" t="s">
        <v>59</v>
      </c>
      <c r="I1100" s="3" t="s">
        <v>59</v>
      </c>
      <c r="J1100" s="3" t="s">
        <v>61</v>
      </c>
      <c r="L1100" s="2" t="s">
        <v>12743</v>
      </c>
      <c r="M1100" s="3" t="s">
        <v>519</v>
      </c>
      <c r="O1100" s="3" t="s">
        <v>64</v>
      </c>
      <c r="P1100" s="3" t="s">
        <v>115</v>
      </c>
      <c r="R1100" s="3" t="s">
        <v>11989</v>
      </c>
      <c r="S1100" s="4">
        <v>11</v>
      </c>
      <c r="T1100" s="4">
        <v>24</v>
      </c>
      <c r="U1100" s="5" t="s">
        <v>12745</v>
      </c>
      <c r="V1100" s="5" t="s">
        <v>12744</v>
      </c>
      <c r="W1100" s="5" t="s">
        <v>11589</v>
      </c>
      <c r="X1100" s="5" t="s">
        <v>11589</v>
      </c>
      <c r="Y1100" s="4">
        <v>232</v>
      </c>
      <c r="Z1100" s="4">
        <v>166</v>
      </c>
      <c r="AA1100" s="4">
        <v>168</v>
      </c>
      <c r="AB1100" s="4">
        <v>1</v>
      </c>
      <c r="AC1100" s="4">
        <v>1</v>
      </c>
      <c r="AD1100" s="4">
        <v>4</v>
      </c>
      <c r="AE1100" s="4">
        <v>4</v>
      </c>
      <c r="AF1100" s="4">
        <v>4</v>
      </c>
      <c r="AG1100" s="4">
        <v>4</v>
      </c>
      <c r="AH1100" s="4">
        <v>0</v>
      </c>
      <c r="AI1100" s="4">
        <v>0</v>
      </c>
      <c r="AJ1100" s="4">
        <v>1</v>
      </c>
      <c r="AK1100" s="4">
        <v>1</v>
      </c>
      <c r="AL1100" s="4">
        <v>0</v>
      </c>
      <c r="AM1100" s="4">
        <v>0</v>
      </c>
      <c r="AN1100" s="4">
        <v>0</v>
      </c>
      <c r="AO1100" s="4">
        <v>0</v>
      </c>
      <c r="AP1100" s="3" t="s">
        <v>59</v>
      </c>
      <c r="AQ1100" s="3" t="s">
        <v>70</v>
      </c>
      <c r="AR1100" s="6" t="str">
        <f>HYPERLINK("http://catalog.hathitrust.org/Record/002795480","HathiTrust Record")</f>
        <v>HathiTrust Record</v>
      </c>
      <c r="AS1100" s="6" t="str">
        <f>HYPERLINK("https://creighton-primo.hosted.exlibrisgroup.com/primo-explore/search?tab=default_tab&amp;search_scope=EVERYTHING&amp;vid=01CRU&amp;lang=en_US&amp;offset=0&amp;query=any,contains,991001404519702656","Catalog Record")</f>
        <v>Catalog Record</v>
      </c>
      <c r="AT1100" s="6" t="str">
        <f>HYPERLINK("http://www.worldcat.org/oclc/28548818","WorldCat Record")</f>
        <v>WorldCat Record</v>
      </c>
    </row>
    <row r="1101" spans="1:46" ht="48" customHeight="1" x14ac:dyDescent="0.25">
      <c r="A1101" s="7" t="s">
        <v>59</v>
      </c>
      <c r="B1101" s="2" t="s">
        <v>12740</v>
      </c>
      <c r="C1101" s="2" t="s">
        <v>12741</v>
      </c>
      <c r="D1101" s="2" t="s">
        <v>12742</v>
      </c>
      <c r="E1101" s="3" t="s">
        <v>509</v>
      </c>
      <c r="F1101" s="3" t="s">
        <v>70</v>
      </c>
      <c r="G1101" s="3" t="s">
        <v>60</v>
      </c>
      <c r="H1101" s="3" t="s">
        <v>59</v>
      </c>
      <c r="I1101" s="3" t="s">
        <v>59</v>
      </c>
      <c r="J1101" s="3" t="s">
        <v>61</v>
      </c>
      <c r="L1101" s="2" t="s">
        <v>12743</v>
      </c>
      <c r="M1101" s="3" t="s">
        <v>519</v>
      </c>
      <c r="O1101" s="3" t="s">
        <v>64</v>
      </c>
      <c r="P1101" s="3" t="s">
        <v>115</v>
      </c>
      <c r="R1101" s="3" t="s">
        <v>11989</v>
      </c>
      <c r="S1101" s="4">
        <v>2</v>
      </c>
      <c r="T1101" s="4">
        <v>24</v>
      </c>
      <c r="U1101" s="5" t="s">
        <v>12746</v>
      </c>
      <c r="V1101" s="5" t="s">
        <v>12744</v>
      </c>
      <c r="W1101" s="5" t="s">
        <v>11589</v>
      </c>
      <c r="X1101" s="5" t="s">
        <v>11589</v>
      </c>
      <c r="Y1101" s="4">
        <v>232</v>
      </c>
      <c r="Z1101" s="4">
        <v>166</v>
      </c>
      <c r="AA1101" s="4">
        <v>168</v>
      </c>
      <c r="AB1101" s="4">
        <v>1</v>
      </c>
      <c r="AC1101" s="4">
        <v>1</v>
      </c>
      <c r="AD1101" s="4">
        <v>4</v>
      </c>
      <c r="AE1101" s="4">
        <v>4</v>
      </c>
      <c r="AF1101" s="4">
        <v>4</v>
      </c>
      <c r="AG1101" s="4">
        <v>4</v>
      </c>
      <c r="AH1101" s="4">
        <v>0</v>
      </c>
      <c r="AI1101" s="4">
        <v>0</v>
      </c>
      <c r="AJ1101" s="4">
        <v>1</v>
      </c>
      <c r="AK1101" s="4">
        <v>1</v>
      </c>
      <c r="AL1101" s="4">
        <v>0</v>
      </c>
      <c r="AM1101" s="4">
        <v>0</v>
      </c>
      <c r="AN1101" s="4">
        <v>0</v>
      </c>
      <c r="AO1101" s="4">
        <v>0</v>
      </c>
      <c r="AP1101" s="3" t="s">
        <v>59</v>
      </c>
      <c r="AQ1101" s="3" t="s">
        <v>70</v>
      </c>
      <c r="AR1101" s="6" t="str">
        <f>HYPERLINK("http://catalog.hathitrust.org/Record/002795480","HathiTrust Record")</f>
        <v>HathiTrust Record</v>
      </c>
      <c r="AS1101" s="6" t="str">
        <f>HYPERLINK("https://creighton-primo.hosted.exlibrisgroup.com/primo-explore/search?tab=default_tab&amp;search_scope=EVERYTHING&amp;vid=01CRU&amp;lang=en_US&amp;offset=0&amp;query=any,contains,991001404519702656","Catalog Record")</f>
        <v>Catalog Record</v>
      </c>
      <c r="AT1101" s="6" t="str">
        <f>HYPERLINK("http://www.worldcat.org/oclc/28548818","WorldCat Record")</f>
        <v>WorldCat Record</v>
      </c>
    </row>
    <row r="1102" spans="1:46" ht="48" customHeight="1" x14ac:dyDescent="0.25">
      <c r="A1102" s="7" t="s">
        <v>59</v>
      </c>
      <c r="B1102" s="2" t="s">
        <v>12747</v>
      </c>
      <c r="C1102" s="2" t="s">
        <v>12748</v>
      </c>
      <c r="D1102" s="2" t="s">
        <v>12749</v>
      </c>
      <c r="E1102" s="3" t="s">
        <v>12750</v>
      </c>
      <c r="F1102" s="3" t="s">
        <v>59</v>
      </c>
      <c r="G1102" s="3" t="s">
        <v>60</v>
      </c>
      <c r="H1102" s="3" t="s">
        <v>59</v>
      </c>
      <c r="I1102" s="3" t="s">
        <v>59</v>
      </c>
      <c r="J1102" s="3" t="s">
        <v>61</v>
      </c>
      <c r="L1102" s="2" t="s">
        <v>12751</v>
      </c>
      <c r="M1102" s="3" t="s">
        <v>925</v>
      </c>
      <c r="O1102" s="3" t="s">
        <v>64</v>
      </c>
      <c r="P1102" s="3" t="s">
        <v>2222</v>
      </c>
      <c r="Q1102" s="2" t="s">
        <v>12752</v>
      </c>
      <c r="R1102" s="3" t="s">
        <v>11989</v>
      </c>
      <c r="S1102" s="4">
        <v>5</v>
      </c>
      <c r="T1102" s="4">
        <v>5</v>
      </c>
      <c r="U1102" s="5" t="s">
        <v>12753</v>
      </c>
      <c r="V1102" s="5" t="s">
        <v>12753</v>
      </c>
      <c r="W1102" s="5" t="s">
        <v>12754</v>
      </c>
      <c r="X1102" s="5" t="s">
        <v>12754</v>
      </c>
      <c r="Y1102" s="4">
        <v>88</v>
      </c>
      <c r="Z1102" s="4">
        <v>69</v>
      </c>
      <c r="AA1102" s="4">
        <v>90</v>
      </c>
      <c r="AB1102" s="4">
        <v>1</v>
      </c>
      <c r="AC1102" s="4">
        <v>1</v>
      </c>
      <c r="AD1102" s="4">
        <v>1</v>
      </c>
      <c r="AE1102" s="4">
        <v>2</v>
      </c>
      <c r="AF1102" s="4">
        <v>1</v>
      </c>
      <c r="AG1102" s="4">
        <v>1</v>
      </c>
      <c r="AH1102" s="4">
        <v>0</v>
      </c>
      <c r="AI1102" s="4">
        <v>1</v>
      </c>
      <c r="AJ1102" s="4">
        <v>0</v>
      </c>
      <c r="AK1102" s="4">
        <v>0</v>
      </c>
      <c r="AL1102" s="4">
        <v>0</v>
      </c>
      <c r="AM1102" s="4">
        <v>0</v>
      </c>
      <c r="AN1102" s="4">
        <v>0</v>
      </c>
      <c r="AO1102" s="4">
        <v>0</v>
      </c>
      <c r="AP1102" s="3" t="s">
        <v>59</v>
      </c>
      <c r="AQ1102" s="3" t="s">
        <v>59</v>
      </c>
      <c r="AS1102" s="6" t="str">
        <f>HYPERLINK("https://creighton-primo.hosted.exlibrisgroup.com/primo-explore/search?tab=default_tab&amp;search_scope=EVERYTHING&amp;vid=01CRU&amp;lang=en_US&amp;offset=0&amp;query=any,contains,991000797939702656","Catalog Record")</f>
        <v>Catalog Record</v>
      </c>
      <c r="AT1102" s="6" t="str">
        <f>HYPERLINK("http://www.worldcat.org/oclc/39297302","WorldCat Record")</f>
        <v>WorldCat Record</v>
      </c>
    </row>
    <row r="1103" spans="1:46" ht="48" customHeight="1" x14ac:dyDescent="0.25">
      <c r="A1103" s="7" t="s">
        <v>59</v>
      </c>
      <c r="B1103" s="2" t="s">
        <v>12755</v>
      </c>
      <c r="C1103" s="2" t="s">
        <v>12756</v>
      </c>
      <c r="D1103" s="2" t="s">
        <v>12757</v>
      </c>
      <c r="F1103" s="3" t="s">
        <v>59</v>
      </c>
      <c r="G1103" s="3" t="s">
        <v>60</v>
      </c>
      <c r="H1103" s="3" t="s">
        <v>59</v>
      </c>
      <c r="I1103" s="3" t="s">
        <v>70</v>
      </c>
      <c r="J1103" s="3" t="s">
        <v>60</v>
      </c>
      <c r="L1103" s="2" t="s">
        <v>12758</v>
      </c>
      <c r="M1103" s="3" t="s">
        <v>897</v>
      </c>
      <c r="O1103" s="3" t="s">
        <v>64</v>
      </c>
      <c r="P1103" s="3" t="s">
        <v>115</v>
      </c>
      <c r="R1103" s="3" t="s">
        <v>11989</v>
      </c>
      <c r="S1103" s="4">
        <v>26</v>
      </c>
      <c r="T1103" s="4">
        <v>26</v>
      </c>
      <c r="U1103" s="5" t="s">
        <v>12759</v>
      </c>
      <c r="V1103" s="5" t="s">
        <v>12759</v>
      </c>
      <c r="W1103" s="5" t="s">
        <v>12760</v>
      </c>
      <c r="X1103" s="5" t="s">
        <v>12760</v>
      </c>
      <c r="Y1103" s="4">
        <v>233</v>
      </c>
      <c r="Z1103" s="4">
        <v>183</v>
      </c>
      <c r="AA1103" s="4">
        <v>780</v>
      </c>
      <c r="AB1103" s="4">
        <v>4</v>
      </c>
      <c r="AC1103" s="4">
        <v>9</v>
      </c>
      <c r="AD1103" s="4">
        <v>7</v>
      </c>
      <c r="AE1103" s="4">
        <v>32</v>
      </c>
      <c r="AF1103" s="4">
        <v>1</v>
      </c>
      <c r="AG1103" s="4">
        <v>15</v>
      </c>
      <c r="AH1103" s="4">
        <v>2</v>
      </c>
      <c r="AI1103" s="4">
        <v>6</v>
      </c>
      <c r="AJ1103" s="4">
        <v>5</v>
      </c>
      <c r="AK1103" s="4">
        <v>11</v>
      </c>
      <c r="AL1103" s="4">
        <v>2</v>
      </c>
      <c r="AM1103" s="4">
        <v>7</v>
      </c>
      <c r="AN1103" s="4">
        <v>0</v>
      </c>
      <c r="AO1103" s="4">
        <v>0</v>
      </c>
      <c r="AP1103" s="3" t="s">
        <v>59</v>
      </c>
      <c r="AQ1103" s="3" t="s">
        <v>70</v>
      </c>
      <c r="AR1103" s="6" t="str">
        <f>HYPERLINK("http://catalog.hathitrust.org/Record/002492984","HathiTrust Record")</f>
        <v>HathiTrust Record</v>
      </c>
      <c r="AS1103" s="6" t="str">
        <f>HYPERLINK("https://creighton-primo.hosted.exlibrisgroup.com/primo-explore/search?tab=default_tab&amp;search_scope=EVERYTHING&amp;vid=01CRU&amp;lang=en_US&amp;offset=0&amp;query=any,contains,991001348909702656","Catalog Record")</f>
        <v>Catalog Record</v>
      </c>
      <c r="AT1103" s="6" t="str">
        <f>HYPERLINK("http://www.worldcat.org/oclc/22859483","WorldCat Record")</f>
        <v>WorldCat Record</v>
      </c>
    </row>
    <row r="1104" spans="1:46" ht="48" customHeight="1" x14ac:dyDescent="0.25">
      <c r="A1104" s="7" t="s">
        <v>59</v>
      </c>
      <c r="B1104" s="2" t="s">
        <v>12761</v>
      </c>
      <c r="C1104" s="2" t="s">
        <v>12762</v>
      </c>
      <c r="D1104" s="2" t="s">
        <v>12763</v>
      </c>
      <c r="F1104" s="3" t="s">
        <v>59</v>
      </c>
      <c r="G1104" s="3" t="s">
        <v>60</v>
      </c>
      <c r="H1104" s="3" t="s">
        <v>59</v>
      </c>
      <c r="I1104" s="3" t="s">
        <v>59</v>
      </c>
      <c r="J1104" s="3" t="s">
        <v>61</v>
      </c>
      <c r="L1104" s="2" t="s">
        <v>12764</v>
      </c>
      <c r="M1104" s="3" t="s">
        <v>319</v>
      </c>
      <c r="O1104" s="3" t="s">
        <v>64</v>
      </c>
      <c r="P1104" s="3" t="s">
        <v>65</v>
      </c>
      <c r="R1104" s="3" t="s">
        <v>11989</v>
      </c>
      <c r="S1104" s="4">
        <v>7</v>
      </c>
      <c r="T1104" s="4">
        <v>7</v>
      </c>
      <c r="U1104" s="5" t="s">
        <v>1381</v>
      </c>
      <c r="V1104" s="5" t="s">
        <v>1381</v>
      </c>
      <c r="W1104" s="5" t="s">
        <v>12227</v>
      </c>
      <c r="X1104" s="5" t="s">
        <v>12227</v>
      </c>
      <c r="Y1104" s="4">
        <v>318</v>
      </c>
      <c r="Z1104" s="4">
        <v>253</v>
      </c>
      <c r="AA1104" s="4">
        <v>255</v>
      </c>
      <c r="AB1104" s="4">
        <v>3</v>
      </c>
      <c r="AC1104" s="4">
        <v>3</v>
      </c>
      <c r="AD1104" s="4">
        <v>4</v>
      </c>
      <c r="AE1104" s="4">
        <v>4</v>
      </c>
      <c r="AF1104" s="4">
        <v>1</v>
      </c>
      <c r="AG1104" s="4">
        <v>1</v>
      </c>
      <c r="AH1104" s="4">
        <v>1</v>
      </c>
      <c r="AI1104" s="4">
        <v>1</v>
      </c>
      <c r="AJ1104" s="4">
        <v>0</v>
      </c>
      <c r="AK1104" s="4">
        <v>0</v>
      </c>
      <c r="AL1104" s="4">
        <v>2</v>
      </c>
      <c r="AM1104" s="4">
        <v>2</v>
      </c>
      <c r="AN1104" s="4">
        <v>0</v>
      </c>
      <c r="AO1104" s="4">
        <v>0</v>
      </c>
      <c r="AP1104" s="3" t="s">
        <v>59</v>
      </c>
      <c r="AQ1104" s="3" t="s">
        <v>70</v>
      </c>
      <c r="AR1104" s="6" t="str">
        <f>HYPERLINK("http://catalog.hathitrust.org/Record/000206949","HathiTrust Record")</f>
        <v>HathiTrust Record</v>
      </c>
      <c r="AS1104" s="6" t="str">
        <f>HYPERLINK("https://creighton-primo.hosted.exlibrisgroup.com/primo-explore/search?tab=default_tab&amp;search_scope=EVERYTHING&amp;vid=01CRU&amp;lang=en_US&amp;offset=0&amp;query=any,contains,991000861429702656","Catalog Record")</f>
        <v>Catalog Record</v>
      </c>
      <c r="AT1104" s="6" t="str">
        <f>HYPERLINK("http://www.worldcat.org/oclc/9370965","WorldCat Record")</f>
        <v>WorldCat Record</v>
      </c>
    </row>
    <row r="1105" spans="1:46" ht="48" customHeight="1" x14ac:dyDescent="0.25">
      <c r="A1105" s="7" t="s">
        <v>59</v>
      </c>
      <c r="B1105" s="2" t="s">
        <v>12765</v>
      </c>
      <c r="C1105" s="2" t="s">
        <v>12766</v>
      </c>
      <c r="D1105" s="2" t="s">
        <v>12767</v>
      </c>
      <c r="F1105" s="3" t="s">
        <v>59</v>
      </c>
      <c r="G1105" s="3" t="s">
        <v>60</v>
      </c>
      <c r="H1105" s="3" t="s">
        <v>59</v>
      </c>
      <c r="I1105" s="3" t="s">
        <v>59</v>
      </c>
      <c r="J1105" s="3" t="s">
        <v>61</v>
      </c>
      <c r="L1105" s="2" t="s">
        <v>12768</v>
      </c>
      <c r="M1105" s="3" t="s">
        <v>348</v>
      </c>
      <c r="O1105" s="3" t="s">
        <v>64</v>
      </c>
      <c r="P1105" s="3" t="s">
        <v>84</v>
      </c>
      <c r="R1105" s="3" t="s">
        <v>11989</v>
      </c>
      <c r="S1105" s="4">
        <v>19</v>
      </c>
      <c r="T1105" s="4">
        <v>19</v>
      </c>
      <c r="U1105" s="5" t="s">
        <v>12769</v>
      </c>
      <c r="V1105" s="5" t="s">
        <v>12769</v>
      </c>
      <c r="W1105" s="5" t="s">
        <v>11429</v>
      </c>
      <c r="X1105" s="5" t="s">
        <v>11429</v>
      </c>
      <c r="Y1105" s="4">
        <v>173</v>
      </c>
      <c r="Z1105" s="4">
        <v>90</v>
      </c>
      <c r="AA1105" s="4">
        <v>148</v>
      </c>
      <c r="AB1105" s="4">
        <v>1</v>
      </c>
      <c r="AC1105" s="4">
        <v>1</v>
      </c>
      <c r="AD1105" s="4">
        <v>1</v>
      </c>
      <c r="AE1105" s="4">
        <v>5</v>
      </c>
      <c r="AF1105" s="4">
        <v>0</v>
      </c>
      <c r="AG1105" s="4">
        <v>2</v>
      </c>
      <c r="AH1105" s="4">
        <v>1</v>
      </c>
      <c r="AI1105" s="4">
        <v>4</v>
      </c>
      <c r="AJ1105" s="4">
        <v>0</v>
      </c>
      <c r="AK1105" s="4">
        <v>1</v>
      </c>
      <c r="AL1105" s="4">
        <v>0</v>
      </c>
      <c r="AM1105" s="4">
        <v>0</v>
      </c>
      <c r="AN1105" s="4">
        <v>0</v>
      </c>
      <c r="AO1105" s="4">
        <v>0</v>
      </c>
      <c r="AP1105" s="3" t="s">
        <v>59</v>
      </c>
      <c r="AQ1105" s="3" t="s">
        <v>70</v>
      </c>
      <c r="AR1105" s="6" t="str">
        <f>HYPERLINK("http://catalog.hathitrust.org/Record/002732747","HathiTrust Record")</f>
        <v>HathiTrust Record</v>
      </c>
      <c r="AS1105" s="6" t="str">
        <f>HYPERLINK("https://creighton-primo.hosted.exlibrisgroup.com/primo-explore/search?tab=default_tab&amp;search_scope=EVERYTHING&amp;vid=01CRU&amp;lang=en_US&amp;offset=0&amp;query=any,contains,991000652119702656","Catalog Record")</f>
        <v>Catalog Record</v>
      </c>
      <c r="AT1105" s="6" t="str">
        <f>HYPERLINK("http://www.worldcat.org/oclc/29320531","WorldCat Record")</f>
        <v>WorldCat Record</v>
      </c>
    </row>
    <row r="1106" spans="1:46" ht="48" customHeight="1" x14ac:dyDescent="0.25">
      <c r="A1106" s="7" t="s">
        <v>59</v>
      </c>
      <c r="B1106" s="2" t="s">
        <v>12770</v>
      </c>
      <c r="C1106" s="2" t="s">
        <v>12771</v>
      </c>
      <c r="D1106" s="2" t="s">
        <v>12772</v>
      </c>
      <c r="F1106" s="3" t="s">
        <v>59</v>
      </c>
      <c r="G1106" s="3" t="s">
        <v>60</v>
      </c>
      <c r="H1106" s="3" t="s">
        <v>59</v>
      </c>
      <c r="I1106" s="3" t="s">
        <v>59</v>
      </c>
      <c r="J1106" s="3" t="s">
        <v>61</v>
      </c>
      <c r="L1106" s="2" t="s">
        <v>12758</v>
      </c>
      <c r="M1106" s="3" t="s">
        <v>897</v>
      </c>
      <c r="N1106" s="2" t="s">
        <v>114</v>
      </c>
      <c r="O1106" s="3" t="s">
        <v>64</v>
      </c>
      <c r="P1106" s="3" t="s">
        <v>115</v>
      </c>
      <c r="R1106" s="3" t="s">
        <v>11989</v>
      </c>
      <c r="S1106" s="4">
        <v>8</v>
      </c>
      <c r="T1106" s="4">
        <v>8</v>
      </c>
      <c r="U1106" s="5" t="s">
        <v>12773</v>
      </c>
      <c r="V1106" s="5" t="s">
        <v>12773</v>
      </c>
      <c r="W1106" s="5" t="s">
        <v>69</v>
      </c>
      <c r="X1106" s="5" t="s">
        <v>69</v>
      </c>
      <c r="Y1106" s="4">
        <v>385</v>
      </c>
      <c r="Z1106" s="4">
        <v>312</v>
      </c>
      <c r="AA1106" s="4">
        <v>473</v>
      </c>
      <c r="AB1106" s="4">
        <v>1</v>
      </c>
      <c r="AC1106" s="4">
        <v>1</v>
      </c>
      <c r="AD1106" s="4">
        <v>5</v>
      </c>
      <c r="AE1106" s="4">
        <v>11</v>
      </c>
      <c r="AF1106" s="4">
        <v>3</v>
      </c>
      <c r="AG1106" s="4">
        <v>7</v>
      </c>
      <c r="AH1106" s="4">
        <v>1</v>
      </c>
      <c r="AI1106" s="4">
        <v>2</v>
      </c>
      <c r="AJ1106" s="4">
        <v>2</v>
      </c>
      <c r="AK1106" s="4">
        <v>6</v>
      </c>
      <c r="AL1106" s="4">
        <v>0</v>
      </c>
      <c r="AM1106" s="4">
        <v>0</v>
      </c>
      <c r="AN1106" s="4">
        <v>0</v>
      </c>
      <c r="AO1106" s="4">
        <v>0</v>
      </c>
      <c r="AP1106" s="3" t="s">
        <v>59</v>
      </c>
      <c r="AQ1106" s="3" t="s">
        <v>70</v>
      </c>
      <c r="AR1106" s="6" t="str">
        <f>HYPERLINK("http://catalog.hathitrust.org/Record/002477324","HathiTrust Record")</f>
        <v>HathiTrust Record</v>
      </c>
      <c r="AS1106" s="6" t="str">
        <f>HYPERLINK("https://creighton-primo.hosted.exlibrisgroup.com/primo-explore/search?tab=default_tab&amp;search_scope=EVERYTHING&amp;vid=01CRU&amp;lang=en_US&amp;offset=0&amp;query=any,contains,991001431049702656","Catalog Record")</f>
        <v>Catalog Record</v>
      </c>
      <c r="AT1106" s="6" t="str">
        <f>HYPERLINK("http://www.worldcat.org/oclc/23583056","WorldCat Record")</f>
        <v>WorldCat Record</v>
      </c>
    </row>
    <row r="1107" spans="1:46" ht="48" customHeight="1" x14ac:dyDescent="0.25">
      <c r="A1107" s="7" t="s">
        <v>59</v>
      </c>
      <c r="B1107" s="2" t="s">
        <v>12774</v>
      </c>
      <c r="C1107" s="2" t="s">
        <v>12775</v>
      </c>
      <c r="D1107" s="2" t="s">
        <v>12776</v>
      </c>
      <c r="F1107" s="3" t="s">
        <v>59</v>
      </c>
      <c r="G1107" s="3" t="s">
        <v>60</v>
      </c>
      <c r="H1107" s="3" t="s">
        <v>59</v>
      </c>
      <c r="I1107" s="3" t="s">
        <v>59</v>
      </c>
      <c r="J1107" s="3" t="s">
        <v>61</v>
      </c>
      <c r="L1107" s="2" t="s">
        <v>12777</v>
      </c>
      <c r="M1107" s="3" t="s">
        <v>190</v>
      </c>
      <c r="O1107" s="3" t="s">
        <v>64</v>
      </c>
      <c r="P1107" s="3" t="s">
        <v>84</v>
      </c>
      <c r="R1107" s="3" t="s">
        <v>11989</v>
      </c>
      <c r="S1107" s="4">
        <v>18</v>
      </c>
      <c r="T1107" s="4">
        <v>18</v>
      </c>
      <c r="U1107" s="5" t="s">
        <v>12778</v>
      </c>
      <c r="V1107" s="5" t="s">
        <v>12778</v>
      </c>
      <c r="W1107" s="5" t="s">
        <v>12779</v>
      </c>
      <c r="X1107" s="5" t="s">
        <v>12779</v>
      </c>
      <c r="Y1107" s="4">
        <v>267</v>
      </c>
      <c r="Z1107" s="4">
        <v>169</v>
      </c>
      <c r="AA1107" s="4">
        <v>169</v>
      </c>
      <c r="AB1107" s="4">
        <v>2</v>
      </c>
      <c r="AC1107" s="4">
        <v>2</v>
      </c>
      <c r="AD1107" s="4">
        <v>4</v>
      </c>
      <c r="AE1107" s="4">
        <v>4</v>
      </c>
      <c r="AF1107" s="4">
        <v>0</v>
      </c>
      <c r="AG1107" s="4">
        <v>0</v>
      </c>
      <c r="AH1107" s="4">
        <v>1</v>
      </c>
      <c r="AI1107" s="4">
        <v>1</v>
      </c>
      <c r="AJ1107" s="4">
        <v>2</v>
      </c>
      <c r="AK1107" s="4">
        <v>2</v>
      </c>
      <c r="AL1107" s="4">
        <v>1</v>
      </c>
      <c r="AM1107" s="4">
        <v>1</v>
      </c>
      <c r="AN1107" s="4">
        <v>0</v>
      </c>
      <c r="AO1107" s="4">
        <v>0</v>
      </c>
      <c r="AP1107" s="3" t="s">
        <v>59</v>
      </c>
      <c r="AQ1107" s="3" t="s">
        <v>59</v>
      </c>
      <c r="AS1107" s="6" t="str">
        <f>HYPERLINK("https://creighton-primo.hosted.exlibrisgroup.com/primo-explore/search?tab=default_tab&amp;search_scope=EVERYTHING&amp;vid=01CRU&amp;lang=en_US&amp;offset=0&amp;query=any,contains,991001326519702656","Catalog Record")</f>
        <v>Catalog Record</v>
      </c>
      <c r="AT1107" s="6" t="str">
        <f>HYPERLINK("http://www.worldcat.org/oclc/20897267","WorldCat Record")</f>
        <v>WorldCat Record</v>
      </c>
    </row>
    <row r="1108" spans="1:46" ht="48" customHeight="1" x14ac:dyDescent="0.25">
      <c r="A1108" s="7" t="s">
        <v>59</v>
      </c>
      <c r="B1108" s="2" t="s">
        <v>12780</v>
      </c>
      <c r="C1108" s="2" t="s">
        <v>12781</v>
      </c>
      <c r="D1108" s="2" t="s">
        <v>12782</v>
      </c>
      <c r="F1108" s="3" t="s">
        <v>59</v>
      </c>
      <c r="G1108" s="3" t="s">
        <v>60</v>
      </c>
      <c r="H1108" s="3" t="s">
        <v>59</v>
      </c>
      <c r="I1108" s="3" t="s">
        <v>59</v>
      </c>
      <c r="J1108" s="3" t="s">
        <v>61</v>
      </c>
      <c r="L1108" s="2" t="s">
        <v>12783</v>
      </c>
      <c r="M1108" s="3" t="s">
        <v>333</v>
      </c>
      <c r="O1108" s="3" t="s">
        <v>64</v>
      </c>
      <c r="P1108" s="3" t="s">
        <v>2252</v>
      </c>
      <c r="R1108" s="3" t="s">
        <v>11989</v>
      </c>
      <c r="S1108" s="4">
        <v>25</v>
      </c>
      <c r="T1108" s="4">
        <v>25</v>
      </c>
      <c r="U1108" s="5" t="s">
        <v>320</v>
      </c>
      <c r="V1108" s="5" t="s">
        <v>320</v>
      </c>
      <c r="W1108" s="5" t="s">
        <v>12227</v>
      </c>
      <c r="X1108" s="5" t="s">
        <v>12227</v>
      </c>
      <c r="Y1108" s="4">
        <v>260</v>
      </c>
      <c r="Z1108" s="4">
        <v>205</v>
      </c>
      <c r="AA1108" s="4">
        <v>208</v>
      </c>
      <c r="AB1108" s="4">
        <v>1</v>
      </c>
      <c r="AC1108" s="4">
        <v>1</v>
      </c>
      <c r="AD1108" s="4">
        <v>4</v>
      </c>
      <c r="AE1108" s="4">
        <v>4</v>
      </c>
      <c r="AF1108" s="4">
        <v>1</v>
      </c>
      <c r="AG1108" s="4">
        <v>1</v>
      </c>
      <c r="AH1108" s="4">
        <v>2</v>
      </c>
      <c r="AI1108" s="4">
        <v>2</v>
      </c>
      <c r="AJ1108" s="4">
        <v>3</v>
      </c>
      <c r="AK1108" s="4">
        <v>3</v>
      </c>
      <c r="AL1108" s="4">
        <v>0</v>
      </c>
      <c r="AM1108" s="4">
        <v>0</v>
      </c>
      <c r="AN1108" s="4">
        <v>0</v>
      </c>
      <c r="AO1108" s="4">
        <v>0</v>
      </c>
      <c r="AP1108" s="3" t="s">
        <v>59</v>
      </c>
      <c r="AQ1108" s="3" t="s">
        <v>70</v>
      </c>
      <c r="AR1108" s="6" t="str">
        <f>HYPERLINK("http://catalog.hathitrust.org/Record/000346517","HathiTrust Record")</f>
        <v>HathiTrust Record</v>
      </c>
      <c r="AS1108" s="6" t="str">
        <f>HYPERLINK("https://creighton-primo.hosted.exlibrisgroup.com/primo-explore/search?tab=default_tab&amp;search_scope=EVERYTHING&amp;vid=01CRU&amp;lang=en_US&amp;offset=0&amp;query=any,contains,991000861509702656","Catalog Record")</f>
        <v>Catalog Record</v>
      </c>
      <c r="AT1108" s="6" t="str">
        <f>HYPERLINK("http://www.worldcat.org/oclc/10779683","WorldCat Record")</f>
        <v>WorldCat Record</v>
      </c>
    </row>
    <row r="1109" spans="1:46" ht="48" customHeight="1" x14ac:dyDescent="0.25">
      <c r="A1109" s="7" t="s">
        <v>59</v>
      </c>
      <c r="B1109" s="2" t="s">
        <v>12784</v>
      </c>
      <c r="C1109" s="2" t="s">
        <v>12785</v>
      </c>
      <c r="D1109" s="2" t="s">
        <v>12786</v>
      </c>
      <c r="F1109" s="3" t="s">
        <v>59</v>
      </c>
      <c r="G1109" s="3" t="s">
        <v>60</v>
      </c>
      <c r="H1109" s="3" t="s">
        <v>70</v>
      </c>
      <c r="I1109" s="3" t="s">
        <v>59</v>
      </c>
      <c r="J1109" s="3" t="s">
        <v>61</v>
      </c>
      <c r="L1109" s="2" t="s">
        <v>12787</v>
      </c>
      <c r="M1109" s="3" t="s">
        <v>248</v>
      </c>
      <c r="O1109" s="3" t="s">
        <v>64</v>
      </c>
      <c r="P1109" s="3" t="s">
        <v>2252</v>
      </c>
      <c r="R1109" s="3" t="s">
        <v>11989</v>
      </c>
      <c r="S1109" s="4">
        <v>18</v>
      </c>
      <c r="T1109" s="4">
        <v>18</v>
      </c>
      <c r="U1109" s="5" t="s">
        <v>12788</v>
      </c>
      <c r="V1109" s="5" t="s">
        <v>12788</v>
      </c>
      <c r="W1109" s="5" t="s">
        <v>12227</v>
      </c>
      <c r="X1109" s="5" t="s">
        <v>12227</v>
      </c>
      <c r="Y1109" s="4">
        <v>233</v>
      </c>
      <c r="Z1109" s="4">
        <v>199</v>
      </c>
      <c r="AA1109" s="4">
        <v>309</v>
      </c>
      <c r="AB1109" s="4">
        <v>3</v>
      </c>
      <c r="AC1109" s="4">
        <v>3</v>
      </c>
      <c r="AD1109" s="4">
        <v>8</v>
      </c>
      <c r="AE1109" s="4">
        <v>8</v>
      </c>
      <c r="AF1109" s="4">
        <v>4</v>
      </c>
      <c r="AG1109" s="4">
        <v>4</v>
      </c>
      <c r="AH1109" s="4">
        <v>2</v>
      </c>
      <c r="AI1109" s="4">
        <v>2</v>
      </c>
      <c r="AJ1109" s="4">
        <v>3</v>
      </c>
      <c r="AK1109" s="4">
        <v>3</v>
      </c>
      <c r="AL1109" s="4">
        <v>1</v>
      </c>
      <c r="AM1109" s="4">
        <v>1</v>
      </c>
      <c r="AN1109" s="4">
        <v>0</v>
      </c>
      <c r="AO1109" s="4">
        <v>0</v>
      </c>
      <c r="AP1109" s="3" t="s">
        <v>59</v>
      </c>
      <c r="AQ1109" s="3" t="s">
        <v>70</v>
      </c>
      <c r="AR1109" s="6" t="str">
        <f>HYPERLINK("http://catalog.hathitrust.org/Record/101966244","HathiTrust Record")</f>
        <v>HathiTrust Record</v>
      </c>
      <c r="AS1109" s="6" t="str">
        <f>HYPERLINK("https://creighton-primo.hosted.exlibrisgroup.com/primo-explore/search?tab=default_tab&amp;search_scope=EVERYTHING&amp;vid=01CRU&amp;lang=en_US&amp;offset=0&amp;query=any,contains,991000861469702656","Catalog Record")</f>
        <v>Catalog Record</v>
      </c>
      <c r="AT1109" s="6" t="str">
        <f>HYPERLINK("http://www.worldcat.org/oclc/5494116","WorldCat Record")</f>
        <v>WorldCat Record</v>
      </c>
    </row>
    <row r="1110" spans="1:46" ht="48" customHeight="1" x14ac:dyDescent="0.25">
      <c r="A1110" s="7" t="s">
        <v>59</v>
      </c>
      <c r="B1110" s="2" t="s">
        <v>12789</v>
      </c>
      <c r="C1110" s="2" t="s">
        <v>12790</v>
      </c>
      <c r="D1110" s="2" t="s">
        <v>12791</v>
      </c>
      <c r="F1110" s="3" t="s">
        <v>59</v>
      </c>
      <c r="G1110" s="3" t="s">
        <v>60</v>
      </c>
      <c r="H1110" s="3" t="s">
        <v>70</v>
      </c>
      <c r="I1110" s="3" t="s">
        <v>70</v>
      </c>
      <c r="J1110" s="3" t="s">
        <v>61</v>
      </c>
      <c r="L1110" s="2" t="s">
        <v>12792</v>
      </c>
      <c r="M1110" s="3" t="s">
        <v>590</v>
      </c>
      <c r="N1110" s="2" t="s">
        <v>926</v>
      </c>
      <c r="O1110" s="3" t="s">
        <v>64</v>
      </c>
      <c r="P1110" s="3" t="s">
        <v>2252</v>
      </c>
      <c r="R1110" s="3" t="s">
        <v>11989</v>
      </c>
      <c r="S1110" s="4">
        <v>24</v>
      </c>
      <c r="T1110" s="4">
        <v>24</v>
      </c>
      <c r="U1110" s="5" t="s">
        <v>12793</v>
      </c>
      <c r="V1110" s="5" t="s">
        <v>12793</v>
      </c>
      <c r="W1110" s="5" t="s">
        <v>12794</v>
      </c>
      <c r="X1110" s="5" t="s">
        <v>12794</v>
      </c>
      <c r="Y1110" s="4">
        <v>411</v>
      </c>
      <c r="Z1110" s="4">
        <v>326</v>
      </c>
      <c r="AA1110" s="4">
        <v>581</v>
      </c>
      <c r="AB1110" s="4">
        <v>3</v>
      </c>
      <c r="AC1110" s="4">
        <v>6</v>
      </c>
      <c r="AD1110" s="4">
        <v>7</v>
      </c>
      <c r="AE1110" s="4">
        <v>16</v>
      </c>
      <c r="AF1110" s="4">
        <v>4</v>
      </c>
      <c r="AG1110" s="4">
        <v>8</v>
      </c>
      <c r="AH1110" s="4">
        <v>1</v>
      </c>
      <c r="AI1110" s="4">
        <v>3</v>
      </c>
      <c r="AJ1110" s="4">
        <v>4</v>
      </c>
      <c r="AK1110" s="4">
        <v>5</v>
      </c>
      <c r="AL1110" s="4">
        <v>1</v>
      </c>
      <c r="AM1110" s="4">
        <v>4</v>
      </c>
      <c r="AN1110" s="4">
        <v>0</v>
      </c>
      <c r="AO1110" s="4">
        <v>0</v>
      </c>
      <c r="AP1110" s="3" t="s">
        <v>59</v>
      </c>
      <c r="AQ1110" s="3" t="s">
        <v>70</v>
      </c>
      <c r="AR1110" s="6" t="str">
        <f>HYPERLINK("http://catalog.hathitrust.org/Record/000917800","HathiTrust Record")</f>
        <v>HathiTrust Record</v>
      </c>
      <c r="AS1110" s="6" t="str">
        <f>HYPERLINK("https://creighton-primo.hosted.exlibrisgroup.com/primo-explore/search?tab=default_tab&amp;search_scope=EVERYTHING&amp;vid=01CRU&amp;lang=en_US&amp;offset=0&amp;query=any,contains,991001118379702656","Catalog Record")</f>
        <v>Catalog Record</v>
      </c>
      <c r="AT1110" s="6" t="str">
        <f>HYPERLINK("http://www.worldcat.org/oclc/17806126","WorldCat Record")</f>
        <v>WorldCat Record</v>
      </c>
    </row>
    <row r="1111" spans="1:46" ht="48" customHeight="1" x14ac:dyDescent="0.25">
      <c r="A1111" s="7" t="s">
        <v>59</v>
      </c>
      <c r="B1111" s="2" t="s">
        <v>12795</v>
      </c>
      <c r="C1111" s="2" t="s">
        <v>12796</v>
      </c>
      <c r="D1111" s="2" t="s">
        <v>12797</v>
      </c>
      <c r="F1111" s="3" t="s">
        <v>59</v>
      </c>
      <c r="G1111" s="3" t="s">
        <v>60</v>
      </c>
      <c r="H1111" s="3" t="s">
        <v>59</v>
      </c>
      <c r="I1111" s="3" t="s">
        <v>59</v>
      </c>
      <c r="J1111" s="3" t="s">
        <v>61</v>
      </c>
      <c r="L1111" s="2" t="s">
        <v>12232</v>
      </c>
      <c r="M1111" s="3" t="s">
        <v>319</v>
      </c>
      <c r="O1111" s="3" t="s">
        <v>64</v>
      </c>
      <c r="P1111" s="3" t="s">
        <v>2252</v>
      </c>
      <c r="R1111" s="3" t="s">
        <v>11989</v>
      </c>
      <c r="S1111" s="4">
        <v>11</v>
      </c>
      <c r="T1111" s="4">
        <v>11</v>
      </c>
      <c r="U1111" s="5" t="s">
        <v>12298</v>
      </c>
      <c r="V1111" s="5" t="s">
        <v>12298</v>
      </c>
      <c r="W1111" s="5" t="s">
        <v>12227</v>
      </c>
      <c r="X1111" s="5" t="s">
        <v>12227</v>
      </c>
      <c r="Y1111" s="4">
        <v>199</v>
      </c>
      <c r="Z1111" s="4">
        <v>159</v>
      </c>
      <c r="AA1111" s="4">
        <v>432</v>
      </c>
      <c r="AB1111" s="4">
        <v>1</v>
      </c>
      <c r="AC1111" s="4">
        <v>1</v>
      </c>
      <c r="AD1111" s="4">
        <v>1</v>
      </c>
      <c r="AE1111" s="4">
        <v>11</v>
      </c>
      <c r="AF1111" s="4">
        <v>1</v>
      </c>
      <c r="AG1111" s="4">
        <v>7</v>
      </c>
      <c r="AH1111" s="4">
        <v>0</v>
      </c>
      <c r="AI1111" s="4">
        <v>3</v>
      </c>
      <c r="AJ1111" s="4">
        <v>0</v>
      </c>
      <c r="AK1111" s="4">
        <v>4</v>
      </c>
      <c r="AL1111" s="4">
        <v>0</v>
      </c>
      <c r="AM1111" s="4">
        <v>0</v>
      </c>
      <c r="AN1111" s="4">
        <v>0</v>
      </c>
      <c r="AO1111" s="4">
        <v>0</v>
      </c>
      <c r="AP1111" s="3" t="s">
        <v>59</v>
      </c>
      <c r="AQ1111" s="3" t="s">
        <v>70</v>
      </c>
      <c r="AR1111" s="6" t="str">
        <f>HYPERLINK("http://catalog.hathitrust.org/Record/000325811","HathiTrust Record")</f>
        <v>HathiTrust Record</v>
      </c>
      <c r="AS1111" s="6" t="str">
        <f>HYPERLINK("https://creighton-primo.hosted.exlibrisgroup.com/primo-explore/search?tab=default_tab&amp;search_scope=EVERYTHING&amp;vid=01CRU&amp;lang=en_US&amp;offset=0&amp;query=any,contains,991000861569702656","Catalog Record")</f>
        <v>Catalog Record</v>
      </c>
      <c r="AT1111" s="6" t="str">
        <f>HYPERLINK("http://www.worldcat.org/oclc/9622343","WorldCat Record")</f>
        <v>WorldCat Record</v>
      </c>
    </row>
    <row r="1112" spans="1:46" ht="48" customHeight="1" x14ac:dyDescent="0.25">
      <c r="A1112" s="7" t="s">
        <v>59</v>
      </c>
      <c r="B1112" s="2" t="s">
        <v>12798</v>
      </c>
      <c r="C1112" s="2" t="s">
        <v>12799</v>
      </c>
      <c r="D1112" s="2" t="s">
        <v>12800</v>
      </c>
      <c r="F1112" s="3" t="s">
        <v>59</v>
      </c>
      <c r="G1112" s="3" t="s">
        <v>60</v>
      </c>
      <c r="H1112" s="3" t="s">
        <v>59</v>
      </c>
      <c r="I1112" s="3" t="s">
        <v>59</v>
      </c>
      <c r="J1112" s="3" t="s">
        <v>61</v>
      </c>
      <c r="L1112" s="2" t="s">
        <v>12801</v>
      </c>
      <c r="M1112" s="3" t="s">
        <v>113</v>
      </c>
      <c r="O1112" s="3" t="s">
        <v>64</v>
      </c>
      <c r="P1112" s="3" t="s">
        <v>2252</v>
      </c>
      <c r="R1112" s="3" t="s">
        <v>11989</v>
      </c>
      <c r="S1112" s="4">
        <v>4</v>
      </c>
      <c r="T1112" s="4">
        <v>4</v>
      </c>
      <c r="U1112" s="5" t="s">
        <v>12802</v>
      </c>
      <c r="V1112" s="5" t="s">
        <v>12802</v>
      </c>
      <c r="W1112" s="5" t="s">
        <v>12803</v>
      </c>
      <c r="X1112" s="5" t="s">
        <v>12803</v>
      </c>
      <c r="Y1112" s="4">
        <v>141</v>
      </c>
      <c r="Z1112" s="4">
        <v>111</v>
      </c>
      <c r="AA1112" s="4">
        <v>113</v>
      </c>
      <c r="AB1112" s="4">
        <v>1</v>
      </c>
      <c r="AC1112" s="4">
        <v>1</v>
      </c>
      <c r="AD1112" s="4">
        <v>3</v>
      </c>
      <c r="AE1112" s="4">
        <v>3</v>
      </c>
      <c r="AF1112" s="4">
        <v>1</v>
      </c>
      <c r="AG1112" s="4">
        <v>1</v>
      </c>
      <c r="AH1112" s="4">
        <v>2</v>
      </c>
      <c r="AI1112" s="4">
        <v>2</v>
      </c>
      <c r="AJ1112" s="4">
        <v>2</v>
      </c>
      <c r="AK1112" s="4">
        <v>2</v>
      </c>
      <c r="AL1112" s="4">
        <v>0</v>
      </c>
      <c r="AM1112" s="4">
        <v>0</v>
      </c>
      <c r="AN1112" s="4">
        <v>0</v>
      </c>
      <c r="AO1112" s="4">
        <v>0</v>
      </c>
      <c r="AP1112" s="3" t="s">
        <v>59</v>
      </c>
      <c r="AQ1112" s="3" t="s">
        <v>70</v>
      </c>
      <c r="AR1112" s="6" t="str">
        <f>HYPERLINK("http://catalog.hathitrust.org/Record/000858562","HathiTrust Record")</f>
        <v>HathiTrust Record</v>
      </c>
      <c r="AS1112" s="6" t="str">
        <f>HYPERLINK("https://creighton-primo.hosted.exlibrisgroup.com/primo-explore/search?tab=default_tab&amp;search_scope=EVERYTHING&amp;vid=01CRU&amp;lang=en_US&amp;offset=0&amp;query=any,contains,991001192499702656","Catalog Record")</f>
        <v>Catalog Record</v>
      </c>
      <c r="AT1112" s="6" t="str">
        <f>HYPERLINK("http://www.worldcat.org/oclc/14819509","WorldCat Record")</f>
        <v>WorldCat Record</v>
      </c>
    </row>
    <row r="1113" spans="1:46" ht="48" customHeight="1" x14ac:dyDescent="0.25">
      <c r="A1113" s="7" t="s">
        <v>59</v>
      </c>
      <c r="B1113" s="2" t="s">
        <v>12804</v>
      </c>
      <c r="C1113" s="2" t="s">
        <v>12805</v>
      </c>
      <c r="D1113" s="2" t="s">
        <v>12806</v>
      </c>
      <c r="F1113" s="3" t="s">
        <v>59</v>
      </c>
      <c r="G1113" s="3" t="s">
        <v>60</v>
      </c>
      <c r="H1113" s="3" t="s">
        <v>59</v>
      </c>
      <c r="I1113" s="3" t="s">
        <v>59</v>
      </c>
      <c r="J1113" s="3" t="s">
        <v>61</v>
      </c>
      <c r="L1113" s="2" t="s">
        <v>12807</v>
      </c>
      <c r="M1113" s="3" t="s">
        <v>219</v>
      </c>
      <c r="O1113" s="3" t="s">
        <v>64</v>
      </c>
      <c r="P1113" s="3" t="s">
        <v>2252</v>
      </c>
      <c r="R1113" s="3" t="s">
        <v>11989</v>
      </c>
      <c r="S1113" s="4">
        <v>36</v>
      </c>
      <c r="T1113" s="4">
        <v>36</v>
      </c>
      <c r="U1113" s="5" t="s">
        <v>12808</v>
      </c>
      <c r="V1113" s="5" t="s">
        <v>12808</v>
      </c>
      <c r="W1113" s="5" t="s">
        <v>12809</v>
      </c>
      <c r="X1113" s="5" t="s">
        <v>12809</v>
      </c>
      <c r="Y1113" s="4">
        <v>233</v>
      </c>
      <c r="Z1113" s="4">
        <v>182</v>
      </c>
      <c r="AA1113" s="4">
        <v>189</v>
      </c>
      <c r="AB1113" s="4">
        <v>2</v>
      </c>
      <c r="AC1113" s="4">
        <v>2</v>
      </c>
      <c r="AD1113" s="4">
        <v>9</v>
      </c>
      <c r="AE1113" s="4">
        <v>9</v>
      </c>
      <c r="AF1113" s="4">
        <v>5</v>
      </c>
      <c r="AG1113" s="4">
        <v>5</v>
      </c>
      <c r="AH1113" s="4">
        <v>3</v>
      </c>
      <c r="AI1113" s="4">
        <v>3</v>
      </c>
      <c r="AJ1113" s="4">
        <v>4</v>
      </c>
      <c r="AK1113" s="4">
        <v>4</v>
      </c>
      <c r="AL1113" s="4">
        <v>1</v>
      </c>
      <c r="AM1113" s="4">
        <v>1</v>
      </c>
      <c r="AN1113" s="4">
        <v>0</v>
      </c>
      <c r="AO1113" s="4">
        <v>0</v>
      </c>
      <c r="AP1113" s="3" t="s">
        <v>59</v>
      </c>
      <c r="AQ1113" s="3" t="s">
        <v>70</v>
      </c>
      <c r="AR1113" s="6" t="str">
        <f>HYPERLINK("http://catalog.hathitrust.org/Record/002469353","HathiTrust Record")</f>
        <v>HathiTrust Record</v>
      </c>
      <c r="AS1113" s="6" t="str">
        <f>HYPERLINK("https://creighton-primo.hosted.exlibrisgroup.com/primo-explore/search?tab=default_tab&amp;search_scope=EVERYTHING&amp;vid=01CRU&amp;lang=en_US&amp;offset=0&amp;query=any,contains,991000781469702656","Catalog Record")</f>
        <v>Catalog Record</v>
      </c>
      <c r="AT1113" s="6" t="str">
        <f>HYPERLINK("http://www.worldcat.org/oclc/20934293","WorldCat Record")</f>
        <v>WorldCat Record</v>
      </c>
    </row>
    <row r="1114" spans="1:46" ht="48" customHeight="1" x14ac:dyDescent="0.25">
      <c r="A1114" s="7" t="s">
        <v>59</v>
      </c>
      <c r="B1114" s="2" t="s">
        <v>12810</v>
      </c>
      <c r="C1114" s="2" t="s">
        <v>12811</v>
      </c>
      <c r="D1114" s="2" t="s">
        <v>12812</v>
      </c>
      <c r="F1114" s="3" t="s">
        <v>59</v>
      </c>
      <c r="G1114" s="3" t="s">
        <v>60</v>
      </c>
      <c r="H1114" s="3" t="s">
        <v>59</v>
      </c>
      <c r="I1114" s="3" t="s">
        <v>70</v>
      </c>
      <c r="J1114" s="3" t="s">
        <v>61</v>
      </c>
      <c r="L1114" s="2" t="s">
        <v>12813</v>
      </c>
      <c r="M1114" s="3" t="s">
        <v>175</v>
      </c>
      <c r="N1114" s="2" t="s">
        <v>2003</v>
      </c>
      <c r="O1114" s="3" t="s">
        <v>64</v>
      </c>
      <c r="P1114" s="3" t="s">
        <v>264</v>
      </c>
      <c r="R1114" s="3" t="s">
        <v>11989</v>
      </c>
      <c r="S1114" s="4">
        <v>13</v>
      </c>
      <c r="T1114" s="4">
        <v>13</v>
      </c>
      <c r="U1114" s="5" t="s">
        <v>12814</v>
      </c>
      <c r="V1114" s="5" t="s">
        <v>12814</v>
      </c>
      <c r="W1114" s="5" t="s">
        <v>12815</v>
      </c>
      <c r="X1114" s="5" t="s">
        <v>12815</v>
      </c>
      <c r="Y1114" s="4">
        <v>242</v>
      </c>
      <c r="Z1114" s="4">
        <v>204</v>
      </c>
      <c r="AA1114" s="4">
        <v>687</v>
      </c>
      <c r="AB1114" s="4">
        <v>2</v>
      </c>
      <c r="AC1114" s="4">
        <v>8</v>
      </c>
      <c r="AD1114" s="4">
        <v>7</v>
      </c>
      <c r="AE1114" s="4">
        <v>25</v>
      </c>
      <c r="AF1114" s="4">
        <v>3</v>
      </c>
      <c r="AG1114" s="4">
        <v>12</v>
      </c>
      <c r="AH1114" s="4">
        <v>3</v>
      </c>
      <c r="AI1114" s="4">
        <v>5</v>
      </c>
      <c r="AJ1114" s="4">
        <v>2</v>
      </c>
      <c r="AK1114" s="4">
        <v>7</v>
      </c>
      <c r="AL1114" s="4">
        <v>1</v>
      </c>
      <c r="AM1114" s="4">
        <v>6</v>
      </c>
      <c r="AN1114" s="4">
        <v>0</v>
      </c>
      <c r="AO1114" s="4">
        <v>0</v>
      </c>
      <c r="AP1114" s="3" t="s">
        <v>59</v>
      </c>
      <c r="AQ1114" s="3" t="s">
        <v>70</v>
      </c>
      <c r="AR1114" s="6" t="str">
        <f>HYPERLINK("http://catalog.hathitrust.org/Record/003270983","HathiTrust Record")</f>
        <v>HathiTrust Record</v>
      </c>
      <c r="AS1114" s="6" t="str">
        <f>HYPERLINK("https://creighton-primo.hosted.exlibrisgroup.com/primo-explore/search?tab=default_tab&amp;search_scope=EVERYTHING&amp;vid=01CRU&amp;lang=en_US&amp;offset=0&amp;query=any,contains,991001569039702656","Catalog Record")</f>
        <v>Catalog Record</v>
      </c>
      <c r="AT1114" s="6" t="str">
        <f>HYPERLINK("http://www.worldcat.org/oclc/38311519","WorldCat Record")</f>
        <v>WorldCat Record</v>
      </c>
    </row>
    <row r="1115" spans="1:46" ht="48" customHeight="1" x14ac:dyDescent="0.25">
      <c r="A1115" s="7" t="s">
        <v>59</v>
      </c>
      <c r="B1115" s="2" t="s">
        <v>12816</v>
      </c>
      <c r="C1115" s="2" t="s">
        <v>12817</v>
      </c>
      <c r="D1115" s="2" t="s">
        <v>12818</v>
      </c>
      <c r="F1115" s="3" t="s">
        <v>59</v>
      </c>
      <c r="G1115" s="3" t="s">
        <v>60</v>
      </c>
      <c r="H1115" s="3" t="s">
        <v>59</v>
      </c>
      <c r="I1115" s="3" t="s">
        <v>59</v>
      </c>
      <c r="J1115" s="3" t="s">
        <v>61</v>
      </c>
      <c r="K1115" s="2" t="s">
        <v>12819</v>
      </c>
      <c r="L1115" s="2" t="s">
        <v>12820</v>
      </c>
      <c r="M1115" s="3" t="s">
        <v>175</v>
      </c>
      <c r="N1115" s="2" t="s">
        <v>114</v>
      </c>
      <c r="O1115" s="3" t="s">
        <v>64</v>
      </c>
      <c r="P1115" s="3" t="s">
        <v>2140</v>
      </c>
      <c r="R1115" s="3" t="s">
        <v>11989</v>
      </c>
      <c r="S1115" s="4">
        <v>4</v>
      </c>
      <c r="T1115" s="4">
        <v>4</v>
      </c>
      <c r="U1115" s="5" t="s">
        <v>12821</v>
      </c>
      <c r="V1115" s="5" t="s">
        <v>12821</v>
      </c>
      <c r="W1115" s="5" t="s">
        <v>12822</v>
      </c>
      <c r="X1115" s="5" t="s">
        <v>12822</v>
      </c>
      <c r="Y1115" s="4">
        <v>78</v>
      </c>
      <c r="Z1115" s="4">
        <v>62</v>
      </c>
      <c r="AA1115" s="4">
        <v>132</v>
      </c>
      <c r="AB1115" s="4">
        <v>2</v>
      </c>
      <c r="AC1115" s="4">
        <v>2</v>
      </c>
      <c r="AD1115" s="4">
        <v>1</v>
      </c>
      <c r="AE1115" s="4">
        <v>1</v>
      </c>
      <c r="AF1115" s="4">
        <v>0</v>
      </c>
      <c r="AG1115" s="4">
        <v>0</v>
      </c>
      <c r="AH1115" s="4">
        <v>0</v>
      </c>
      <c r="AI1115" s="4">
        <v>0</v>
      </c>
      <c r="AJ1115" s="4">
        <v>0</v>
      </c>
      <c r="AK1115" s="4">
        <v>0</v>
      </c>
      <c r="AL1115" s="4">
        <v>1</v>
      </c>
      <c r="AM1115" s="4">
        <v>1</v>
      </c>
      <c r="AN1115" s="4">
        <v>0</v>
      </c>
      <c r="AO1115" s="4">
        <v>0</v>
      </c>
      <c r="AP1115" s="3" t="s">
        <v>59</v>
      </c>
      <c r="AQ1115" s="3" t="s">
        <v>59</v>
      </c>
      <c r="AS1115" s="6" t="str">
        <f>HYPERLINK("https://creighton-primo.hosted.exlibrisgroup.com/primo-explore/search?tab=default_tab&amp;search_scope=EVERYTHING&amp;vid=01CRU&amp;lang=en_US&amp;offset=0&amp;query=any,contains,991001560079702656","Catalog Record")</f>
        <v>Catalog Record</v>
      </c>
      <c r="AT1115" s="6" t="str">
        <f>HYPERLINK("http://www.worldcat.org/oclc/40043501","WorldCat Record")</f>
        <v>WorldCat Record</v>
      </c>
    </row>
    <row r="1116" spans="1:46" ht="48" customHeight="1" x14ac:dyDescent="0.25">
      <c r="A1116" s="7" t="s">
        <v>59</v>
      </c>
      <c r="B1116" s="2" t="s">
        <v>12823</v>
      </c>
      <c r="C1116" s="2" t="s">
        <v>12824</v>
      </c>
      <c r="D1116" s="2" t="s">
        <v>12825</v>
      </c>
      <c r="F1116" s="3" t="s">
        <v>59</v>
      </c>
      <c r="G1116" s="3" t="s">
        <v>60</v>
      </c>
      <c r="H1116" s="3" t="s">
        <v>59</v>
      </c>
      <c r="I1116" s="3" t="s">
        <v>70</v>
      </c>
      <c r="J1116" s="3" t="s">
        <v>61</v>
      </c>
      <c r="K1116" s="2" t="s">
        <v>2454</v>
      </c>
      <c r="L1116" s="2" t="s">
        <v>12826</v>
      </c>
      <c r="M1116" s="3" t="s">
        <v>1351</v>
      </c>
      <c r="N1116" s="2" t="s">
        <v>926</v>
      </c>
      <c r="O1116" s="3" t="s">
        <v>64</v>
      </c>
      <c r="P1116" s="3" t="s">
        <v>674</v>
      </c>
      <c r="R1116" s="3" t="s">
        <v>11989</v>
      </c>
      <c r="S1116" s="4">
        <v>4</v>
      </c>
      <c r="T1116" s="4">
        <v>4</v>
      </c>
      <c r="U1116" s="5" t="s">
        <v>2350</v>
      </c>
      <c r="V1116" s="5" t="s">
        <v>2350</v>
      </c>
      <c r="W1116" s="5" t="s">
        <v>10100</v>
      </c>
      <c r="X1116" s="5" t="s">
        <v>10100</v>
      </c>
      <c r="Y1116" s="4">
        <v>464</v>
      </c>
      <c r="Z1116" s="4">
        <v>298</v>
      </c>
      <c r="AA1116" s="4">
        <v>999</v>
      </c>
      <c r="AB1116" s="4">
        <v>4</v>
      </c>
      <c r="AC1116" s="4">
        <v>11</v>
      </c>
      <c r="AD1116" s="4">
        <v>10</v>
      </c>
      <c r="AE1116" s="4">
        <v>34</v>
      </c>
      <c r="AF1116" s="4">
        <v>6</v>
      </c>
      <c r="AG1116" s="4">
        <v>16</v>
      </c>
      <c r="AH1116" s="4">
        <v>1</v>
      </c>
      <c r="AI1116" s="4">
        <v>6</v>
      </c>
      <c r="AJ1116" s="4">
        <v>1</v>
      </c>
      <c r="AK1116" s="4">
        <v>10</v>
      </c>
      <c r="AL1116" s="4">
        <v>3</v>
      </c>
      <c r="AM1116" s="4">
        <v>9</v>
      </c>
      <c r="AN1116" s="4">
        <v>0</v>
      </c>
      <c r="AO1116" s="4">
        <v>0</v>
      </c>
      <c r="AP1116" s="3" t="s">
        <v>59</v>
      </c>
      <c r="AQ1116" s="3" t="s">
        <v>70</v>
      </c>
      <c r="AR1116" s="6" t="str">
        <f>HYPERLINK("http://catalog.hathitrust.org/Record/004363578","HathiTrust Record")</f>
        <v>HathiTrust Record</v>
      </c>
      <c r="AS1116" s="6" t="str">
        <f>HYPERLINK("https://creighton-primo.hosted.exlibrisgroup.com/primo-explore/search?tab=default_tab&amp;search_scope=EVERYTHING&amp;vid=01CRU&amp;lang=en_US&amp;offset=0&amp;query=any,contains,991000588069702656","Catalog Record")</f>
        <v>Catalog Record</v>
      </c>
      <c r="AT1116" s="6" t="str">
        <f>HYPERLINK("http://www.worldcat.org/oclc/52334699","WorldCat Record")</f>
        <v>WorldCat Record</v>
      </c>
    </row>
    <row r="1117" spans="1:46" ht="48" customHeight="1" x14ac:dyDescent="0.25">
      <c r="A1117" s="7" t="s">
        <v>59</v>
      </c>
      <c r="B1117" s="2" t="s">
        <v>12827</v>
      </c>
      <c r="C1117" s="2" t="s">
        <v>12828</v>
      </c>
      <c r="D1117" s="2" t="s">
        <v>12829</v>
      </c>
      <c r="F1117" s="3" t="s">
        <v>59</v>
      </c>
      <c r="G1117" s="3" t="s">
        <v>60</v>
      </c>
      <c r="H1117" s="3" t="s">
        <v>59</v>
      </c>
      <c r="I1117" s="3" t="s">
        <v>59</v>
      </c>
      <c r="J1117" s="3" t="s">
        <v>61</v>
      </c>
      <c r="L1117" s="2" t="s">
        <v>12830</v>
      </c>
      <c r="M1117" s="3" t="s">
        <v>219</v>
      </c>
      <c r="O1117" s="3" t="s">
        <v>64</v>
      </c>
      <c r="P1117" s="3" t="s">
        <v>2252</v>
      </c>
      <c r="Q1117" s="2" t="s">
        <v>12831</v>
      </c>
      <c r="R1117" s="3" t="s">
        <v>11989</v>
      </c>
      <c r="S1117" s="4">
        <v>10</v>
      </c>
      <c r="T1117" s="4">
        <v>10</v>
      </c>
      <c r="U1117" s="5" t="s">
        <v>12832</v>
      </c>
      <c r="V1117" s="5" t="s">
        <v>12832</v>
      </c>
      <c r="W1117" s="5" t="s">
        <v>12833</v>
      </c>
      <c r="X1117" s="5" t="s">
        <v>12833</v>
      </c>
      <c r="Y1117" s="4">
        <v>190</v>
      </c>
      <c r="Z1117" s="4">
        <v>152</v>
      </c>
      <c r="AA1117" s="4">
        <v>154</v>
      </c>
      <c r="AB1117" s="4">
        <v>1</v>
      </c>
      <c r="AC1117" s="4">
        <v>1</v>
      </c>
      <c r="AD1117" s="4">
        <v>3</v>
      </c>
      <c r="AE1117" s="4">
        <v>3</v>
      </c>
      <c r="AF1117" s="4">
        <v>1</v>
      </c>
      <c r="AG1117" s="4">
        <v>1</v>
      </c>
      <c r="AH1117" s="4">
        <v>2</v>
      </c>
      <c r="AI1117" s="4">
        <v>2</v>
      </c>
      <c r="AJ1117" s="4">
        <v>2</v>
      </c>
      <c r="AK1117" s="4">
        <v>2</v>
      </c>
      <c r="AL1117" s="4">
        <v>0</v>
      </c>
      <c r="AM1117" s="4">
        <v>0</v>
      </c>
      <c r="AN1117" s="4">
        <v>0</v>
      </c>
      <c r="AO1117" s="4">
        <v>0</v>
      </c>
      <c r="AP1117" s="3" t="s">
        <v>59</v>
      </c>
      <c r="AQ1117" s="3" t="s">
        <v>70</v>
      </c>
      <c r="AR1117" s="6" t="str">
        <f>HYPERLINK("http://catalog.hathitrust.org/Record/002059633","HathiTrust Record")</f>
        <v>HathiTrust Record</v>
      </c>
      <c r="AS1117" s="6" t="str">
        <f>HYPERLINK("https://creighton-primo.hosted.exlibrisgroup.com/primo-explore/search?tab=default_tab&amp;search_scope=EVERYTHING&amp;vid=01CRU&amp;lang=en_US&amp;offset=0&amp;query=any,contains,991001454099702656","Catalog Record")</f>
        <v>Catalog Record</v>
      </c>
      <c r="AT1117" s="6" t="str">
        <f>HYPERLINK("http://www.worldcat.org/oclc/19741975","WorldCat Record")</f>
        <v>WorldCat Record</v>
      </c>
    </row>
    <row r="1118" spans="1:46" ht="48" customHeight="1" x14ac:dyDescent="0.25">
      <c r="A1118" s="7" t="s">
        <v>59</v>
      </c>
      <c r="B1118" s="2" t="s">
        <v>12834</v>
      </c>
      <c r="C1118" s="2" t="s">
        <v>12835</v>
      </c>
      <c r="D1118" s="2" t="s">
        <v>12836</v>
      </c>
      <c r="F1118" s="3" t="s">
        <v>59</v>
      </c>
      <c r="G1118" s="3" t="s">
        <v>60</v>
      </c>
      <c r="H1118" s="3" t="s">
        <v>59</v>
      </c>
      <c r="I1118" s="3" t="s">
        <v>59</v>
      </c>
      <c r="J1118" s="3" t="s">
        <v>61</v>
      </c>
      <c r="L1118" s="2" t="s">
        <v>12109</v>
      </c>
      <c r="M1118" s="3" t="s">
        <v>1351</v>
      </c>
      <c r="O1118" s="3" t="s">
        <v>64</v>
      </c>
      <c r="P1118" s="3" t="s">
        <v>130</v>
      </c>
      <c r="R1118" s="3" t="s">
        <v>11989</v>
      </c>
      <c r="S1118" s="4">
        <v>2</v>
      </c>
      <c r="T1118" s="4">
        <v>2</v>
      </c>
      <c r="U1118" s="5" t="s">
        <v>12837</v>
      </c>
      <c r="V1118" s="5" t="s">
        <v>12837</v>
      </c>
      <c r="W1118" s="5" t="s">
        <v>12838</v>
      </c>
      <c r="X1118" s="5" t="s">
        <v>12838</v>
      </c>
      <c r="Y1118" s="4">
        <v>150</v>
      </c>
      <c r="Z1118" s="4">
        <v>106</v>
      </c>
      <c r="AA1118" s="4">
        <v>108</v>
      </c>
      <c r="AB1118" s="4">
        <v>1</v>
      </c>
      <c r="AC1118" s="4">
        <v>1</v>
      </c>
      <c r="AD1118" s="4">
        <v>7</v>
      </c>
      <c r="AE1118" s="4">
        <v>7</v>
      </c>
      <c r="AF1118" s="4">
        <v>4</v>
      </c>
      <c r="AG1118" s="4">
        <v>4</v>
      </c>
      <c r="AH1118" s="4">
        <v>3</v>
      </c>
      <c r="AI1118" s="4">
        <v>3</v>
      </c>
      <c r="AJ1118" s="4">
        <v>2</v>
      </c>
      <c r="AK1118" s="4">
        <v>2</v>
      </c>
      <c r="AL1118" s="4">
        <v>0</v>
      </c>
      <c r="AM1118" s="4">
        <v>0</v>
      </c>
      <c r="AN1118" s="4">
        <v>0</v>
      </c>
      <c r="AO1118" s="4">
        <v>0</v>
      </c>
      <c r="AP1118" s="3" t="s">
        <v>59</v>
      </c>
      <c r="AQ1118" s="3" t="s">
        <v>70</v>
      </c>
      <c r="AR1118" s="6" t="str">
        <f>HYPERLINK("http://catalog.hathitrust.org/Record/004725716","HathiTrust Record")</f>
        <v>HathiTrust Record</v>
      </c>
      <c r="AS1118" s="6" t="str">
        <f>HYPERLINK("https://creighton-primo.hosted.exlibrisgroup.com/primo-explore/search?tab=default_tab&amp;search_scope=EVERYTHING&amp;vid=01CRU&amp;lang=en_US&amp;offset=0&amp;query=any,contains,991000380639702656","Catalog Record")</f>
        <v>Catalog Record</v>
      </c>
      <c r="AT1118" s="6" t="str">
        <f>HYPERLINK("http://www.worldcat.org/oclc/53083898","WorldCat Record")</f>
        <v>WorldCat Record</v>
      </c>
    </row>
    <row r="1119" spans="1:46" ht="48" customHeight="1" x14ac:dyDescent="0.25">
      <c r="A1119" s="7" t="s">
        <v>59</v>
      </c>
      <c r="B1119" s="2" t="s">
        <v>12839</v>
      </c>
      <c r="C1119" s="2" t="s">
        <v>12840</v>
      </c>
      <c r="D1119" s="2" t="s">
        <v>12841</v>
      </c>
      <c r="F1119" s="3" t="s">
        <v>59</v>
      </c>
      <c r="G1119" s="3" t="s">
        <v>60</v>
      </c>
      <c r="H1119" s="3" t="s">
        <v>59</v>
      </c>
      <c r="I1119" s="3" t="s">
        <v>59</v>
      </c>
      <c r="J1119" s="3" t="s">
        <v>61</v>
      </c>
      <c r="L1119" s="2" t="s">
        <v>12842</v>
      </c>
      <c r="M1119" s="3" t="s">
        <v>1817</v>
      </c>
      <c r="N1119" s="2" t="s">
        <v>6080</v>
      </c>
      <c r="O1119" s="3" t="s">
        <v>64</v>
      </c>
      <c r="P1119" s="3" t="s">
        <v>84</v>
      </c>
      <c r="R1119" s="3" t="s">
        <v>11989</v>
      </c>
      <c r="S1119" s="4">
        <v>0</v>
      </c>
      <c r="T1119" s="4">
        <v>0</v>
      </c>
      <c r="U1119" s="5" t="s">
        <v>12843</v>
      </c>
      <c r="V1119" s="5" t="s">
        <v>12843</v>
      </c>
      <c r="W1119" s="5" t="s">
        <v>12844</v>
      </c>
      <c r="X1119" s="5" t="s">
        <v>12844</v>
      </c>
      <c r="Y1119" s="4">
        <v>97</v>
      </c>
      <c r="Z1119" s="4">
        <v>55</v>
      </c>
      <c r="AA1119" s="4">
        <v>62</v>
      </c>
      <c r="AB1119" s="4">
        <v>1</v>
      </c>
      <c r="AC1119" s="4">
        <v>1</v>
      </c>
      <c r="AD1119" s="4">
        <v>2</v>
      </c>
      <c r="AE1119" s="4">
        <v>2</v>
      </c>
      <c r="AF1119" s="4">
        <v>0</v>
      </c>
      <c r="AG1119" s="4">
        <v>0</v>
      </c>
      <c r="AH1119" s="4">
        <v>1</v>
      </c>
      <c r="AI1119" s="4">
        <v>1</v>
      </c>
      <c r="AJ1119" s="4">
        <v>2</v>
      </c>
      <c r="AK1119" s="4">
        <v>2</v>
      </c>
      <c r="AL1119" s="4">
        <v>0</v>
      </c>
      <c r="AM1119" s="4">
        <v>0</v>
      </c>
      <c r="AN1119" s="4">
        <v>0</v>
      </c>
      <c r="AO1119" s="4">
        <v>0</v>
      </c>
      <c r="AP1119" s="3" t="s">
        <v>59</v>
      </c>
      <c r="AQ1119" s="3" t="s">
        <v>59</v>
      </c>
      <c r="AS1119" s="6" t="str">
        <f>HYPERLINK("https://creighton-primo.hosted.exlibrisgroup.com/primo-explore/search?tab=default_tab&amp;search_scope=EVERYTHING&amp;vid=01CRU&amp;lang=en_US&amp;offset=0&amp;query=any,contains,991000447489702656","Catalog Record")</f>
        <v>Catalog Record</v>
      </c>
      <c r="AT1119" s="6" t="str">
        <f>HYPERLINK("http://www.worldcat.org/oclc/52896048","WorldCat Record")</f>
        <v>WorldCat Record</v>
      </c>
    </row>
    <row r="1120" spans="1:46" ht="48" customHeight="1" x14ac:dyDescent="0.25">
      <c r="A1120" s="7" t="s">
        <v>59</v>
      </c>
      <c r="B1120" s="2" t="s">
        <v>12845</v>
      </c>
      <c r="C1120" s="2" t="s">
        <v>12846</v>
      </c>
      <c r="D1120" s="2" t="s">
        <v>12847</v>
      </c>
      <c r="F1120" s="3" t="s">
        <v>59</v>
      </c>
      <c r="G1120" s="3" t="s">
        <v>60</v>
      </c>
      <c r="H1120" s="3" t="s">
        <v>59</v>
      </c>
      <c r="I1120" s="3" t="s">
        <v>70</v>
      </c>
      <c r="J1120" s="3" t="s">
        <v>61</v>
      </c>
      <c r="K1120" s="2" t="s">
        <v>12848</v>
      </c>
      <c r="L1120" s="2" t="s">
        <v>11640</v>
      </c>
      <c r="M1120" s="3" t="s">
        <v>4596</v>
      </c>
      <c r="N1120" s="2" t="s">
        <v>114</v>
      </c>
      <c r="O1120" s="3" t="s">
        <v>64</v>
      </c>
      <c r="P1120" s="3" t="s">
        <v>674</v>
      </c>
      <c r="R1120" s="3" t="s">
        <v>11989</v>
      </c>
      <c r="S1120" s="4">
        <v>1</v>
      </c>
      <c r="T1120" s="4">
        <v>1</v>
      </c>
      <c r="U1120" s="5" t="s">
        <v>12849</v>
      </c>
      <c r="V1120" s="5" t="s">
        <v>12849</v>
      </c>
      <c r="W1120" s="5" t="s">
        <v>12850</v>
      </c>
      <c r="X1120" s="5" t="s">
        <v>12850</v>
      </c>
      <c r="Y1120" s="4">
        <v>500</v>
      </c>
      <c r="Z1120" s="4">
        <v>390</v>
      </c>
      <c r="AA1120" s="4">
        <v>1393</v>
      </c>
      <c r="AB1120" s="4">
        <v>1</v>
      </c>
      <c r="AC1120" s="4">
        <v>9</v>
      </c>
      <c r="AD1120" s="4">
        <v>1</v>
      </c>
      <c r="AE1120" s="4">
        <v>15</v>
      </c>
      <c r="AF1120" s="4">
        <v>1</v>
      </c>
      <c r="AG1120" s="4">
        <v>8</v>
      </c>
      <c r="AH1120" s="4">
        <v>0</v>
      </c>
      <c r="AI1120" s="4">
        <v>1</v>
      </c>
      <c r="AJ1120" s="4">
        <v>1</v>
      </c>
      <c r="AK1120" s="4">
        <v>3</v>
      </c>
      <c r="AL1120" s="4">
        <v>0</v>
      </c>
      <c r="AM1120" s="4">
        <v>6</v>
      </c>
      <c r="AN1120" s="4">
        <v>0</v>
      </c>
      <c r="AO1120" s="4">
        <v>0</v>
      </c>
      <c r="AP1120" s="3" t="s">
        <v>59</v>
      </c>
      <c r="AQ1120" s="3" t="s">
        <v>59</v>
      </c>
      <c r="AS1120" s="6" t="str">
        <f>HYPERLINK("https://creighton-primo.hosted.exlibrisgroup.com/primo-explore/search?tab=default_tab&amp;search_scope=EVERYTHING&amp;vid=01CRU&amp;lang=en_US&amp;offset=0&amp;query=any,contains,991000437029702656","Catalog Record")</f>
        <v>Catalog Record</v>
      </c>
      <c r="AT1120" s="6" t="str">
        <f>HYPERLINK("http://www.worldcat.org/oclc/56840520","WorldCat Record")</f>
        <v>WorldCat Record</v>
      </c>
    </row>
    <row r="1121" spans="1:46" ht="48" customHeight="1" x14ac:dyDescent="0.25">
      <c r="A1121" s="7" t="s">
        <v>59</v>
      </c>
      <c r="B1121" s="2" t="s">
        <v>12851</v>
      </c>
      <c r="C1121" s="2" t="s">
        <v>12852</v>
      </c>
      <c r="D1121" s="2" t="s">
        <v>12853</v>
      </c>
      <c r="F1121" s="3" t="s">
        <v>59</v>
      </c>
      <c r="G1121" s="3" t="s">
        <v>60</v>
      </c>
      <c r="H1121" s="3" t="s">
        <v>59</v>
      </c>
      <c r="I1121" s="3" t="s">
        <v>59</v>
      </c>
      <c r="J1121" s="3" t="s">
        <v>61</v>
      </c>
      <c r="L1121" s="2" t="s">
        <v>12854</v>
      </c>
      <c r="M1121" s="3" t="s">
        <v>1171</v>
      </c>
      <c r="N1121" s="2" t="s">
        <v>2003</v>
      </c>
      <c r="O1121" s="3" t="s">
        <v>64</v>
      </c>
      <c r="P1121" s="3" t="s">
        <v>264</v>
      </c>
      <c r="R1121" s="3" t="s">
        <v>11989</v>
      </c>
      <c r="S1121" s="4">
        <v>4</v>
      </c>
      <c r="T1121" s="4">
        <v>4</v>
      </c>
      <c r="U1121" s="5" t="s">
        <v>12855</v>
      </c>
      <c r="V1121" s="5" t="s">
        <v>12855</v>
      </c>
      <c r="W1121" s="5" t="s">
        <v>12856</v>
      </c>
      <c r="X1121" s="5" t="s">
        <v>12856</v>
      </c>
      <c r="Y1121" s="4">
        <v>315</v>
      </c>
      <c r="Z1121" s="4">
        <v>244</v>
      </c>
      <c r="AA1121" s="4">
        <v>645</v>
      </c>
      <c r="AB1121" s="4">
        <v>2</v>
      </c>
      <c r="AC1121" s="4">
        <v>9</v>
      </c>
      <c r="AD1121" s="4">
        <v>8</v>
      </c>
      <c r="AE1121" s="4">
        <v>23</v>
      </c>
      <c r="AF1121" s="4">
        <v>5</v>
      </c>
      <c r="AG1121" s="4">
        <v>11</v>
      </c>
      <c r="AH1121" s="4">
        <v>2</v>
      </c>
      <c r="AI1121" s="4">
        <v>4</v>
      </c>
      <c r="AJ1121" s="4">
        <v>3</v>
      </c>
      <c r="AK1121" s="4">
        <v>5</v>
      </c>
      <c r="AL1121" s="4">
        <v>1</v>
      </c>
      <c r="AM1121" s="4">
        <v>8</v>
      </c>
      <c r="AN1121" s="4">
        <v>0</v>
      </c>
      <c r="AO1121" s="4">
        <v>0</v>
      </c>
      <c r="AP1121" s="3" t="s">
        <v>59</v>
      </c>
      <c r="AQ1121" s="3" t="s">
        <v>70</v>
      </c>
      <c r="AR1121" s="6" t="str">
        <f>HYPERLINK("http://catalog.hathitrust.org/Record/005035083","HathiTrust Record")</f>
        <v>HathiTrust Record</v>
      </c>
      <c r="AS1121" s="6" t="str">
        <f>HYPERLINK("https://creighton-primo.hosted.exlibrisgroup.com/primo-explore/search?tab=default_tab&amp;search_scope=EVERYTHING&amp;vid=01CRU&amp;lang=en_US&amp;offset=0&amp;query=any,contains,991000616659702656","Catalog Record")</f>
        <v>Catalog Record</v>
      </c>
      <c r="AT1121" s="6" t="str">
        <f>HYPERLINK("http://www.worldcat.org/oclc/58431689","WorldCat Record")</f>
        <v>WorldCat Record</v>
      </c>
    </row>
    <row r="1122" spans="1:46" ht="48" customHeight="1" x14ac:dyDescent="0.25">
      <c r="A1122" s="7" t="s">
        <v>59</v>
      </c>
      <c r="B1122" s="2" t="s">
        <v>12857</v>
      </c>
      <c r="C1122" s="2" t="s">
        <v>12858</v>
      </c>
      <c r="D1122" s="2" t="s">
        <v>12859</v>
      </c>
      <c r="F1122" s="3" t="s">
        <v>59</v>
      </c>
      <c r="G1122" s="3" t="s">
        <v>60</v>
      </c>
      <c r="H1122" s="3" t="s">
        <v>59</v>
      </c>
      <c r="I1122" s="3" t="s">
        <v>59</v>
      </c>
      <c r="J1122" s="3" t="s">
        <v>61</v>
      </c>
      <c r="L1122" s="2" t="s">
        <v>12860</v>
      </c>
      <c r="M1122" s="3" t="s">
        <v>3113</v>
      </c>
      <c r="O1122" s="3" t="s">
        <v>64</v>
      </c>
      <c r="P1122" s="3" t="s">
        <v>115</v>
      </c>
      <c r="R1122" s="3" t="s">
        <v>11989</v>
      </c>
      <c r="S1122" s="4">
        <v>4</v>
      </c>
      <c r="T1122" s="4">
        <v>4</v>
      </c>
      <c r="U1122" s="5" t="s">
        <v>12861</v>
      </c>
      <c r="V1122" s="5" t="s">
        <v>12861</v>
      </c>
      <c r="W1122" s="5" t="s">
        <v>12862</v>
      </c>
      <c r="X1122" s="5" t="s">
        <v>12862</v>
      </c>
      <c r="Y1122" s="4">
        <v>327</v>
      </c>
      <c r="Z1122" s="4">
        <v>253</v>
      </c>
      <c r="AA1122" s="4">
        <v>255</v>
      </c>
      <c r="AB1122" s="4">
        <v>3</v>
      </c>
      <c r="AC1122" s="4">
        <v>3</v>
      </c>
      <c r="AD1122" s="4">
        <v>8</v>
      </c>
      <c r="AE1122" s="4">
        <v>8</v>
      </c>
      <c r="AF1122" s="4">
        <v>3</v>
      </c>
      <c r="AG1122" s="4">
        <v>3</v>
      </c>
      <c r="AH1122" s="4">
        <v>3</v>
      </c>
      <c r="AI1122" s="4">
        <v>3</v>
      </c>
      <c r="AJ1122" s="4">
        <v>3</v>
      </c>
      <c r="AK1122" s="4">
        <v>3</v>
      </c>
      <c r="AL1122" s="4">
        <v>2</v>
      </c>
      <c r="AM1122" s="4">
        <v>2</v>
      </c>
      <c r="AN1122" s="4">
        <v>0</v>
      </c>
      <c r="AO1122" s="4">
        <v>0</v>
      </c>
      <c r="AP1122" s="3" t="s">
        <v>59</v>
      </c>
      <c r="AQ1122" s="3" t="s">
        <v>70</v>
      </c>
      <c r="AR1122" s="6" t="str">
        <f>HYPERLINK("http://catalog.hathitrust.org/Record/004302994","HathiTrust Record")</f>
        <v>HathiTrust Record</v>
      </c>
      <c r="AS1122" s="6" t="str">
        <f>HYPERLINK("https://creighton-primo.hosted.exlibrisgroup.com/primo-explore/search?tab=default_tab&amp;search_scope=EVERYTHING&amp;vid=01CRU&amp;lang=en_US&amp;offset=0&amp;query=any,contains,991000453969702656","Catalog Record")</f>
        <v>Catalog Record</v>
      </c>
      <c r="AT1122" s="6" t="str">
        <f>HYPERLINK("http://www.worldcat.org/oclc/50002716","WorldCat Record")</f>
        <v>WorldCat Record</v>
      </c>
    </row>
    <row r="1123" spans="1:46" ht="48" customHeight="1" x14ac:dyDescent="0.25">
      <c r="A1123" s="7" t="s">
        <v>59</v>
      </c>
      <c r="B1123" s="2" t="s">
        <v>12863</v>
      </c>
      <c r="C1123" s="2" t="s">
        <v>12864</v>
      </c>
      <c r="D1123" s="2" t="s">
        <v>12865</v>
      </c>
      <c r="F1123" s="3" t="s">
        <v>59</v>
      </c>
      <c r="G1123" s="3" t="s">
        <v>60</v>
      </c>
      <c r="H1123" s="3" t="s">
        <v>59</v>
      </c>
      <c r="I1123" s="3" t="s">
        <v>59</v>
      </c>
      <c r="J1123" s="3" t="s">
        <v>61</v>
      </c>
      <c r="L1123" s="2" t="s">
        <v>12866</v>
      </c>
      <c r="M1123" s="3" t="s">
        <v>175</v>
      </c>
      <c r="N1123" s="2" t="s">
        <v>731</v>
      </c>
      <c r="O1123" s="3" t="s">
        <v>64</v>
      </c>
      <c r="P1123" s="3" t="s">
        <v>130</v>
      </c>
      <c r="R1123" s="3" t="s">
        <v>11989</v>
      </c>
      <c r="S1123" s="4">
        <v>8</v>
      </c>
      <c r="T1123" s="4">
        <v>8</v>
      </c>
      <c r="U1123" s="5" t="s">
        <v>12867</v>
      </c>
      <c r="V1123" s="5" t="s">
        <v>12867</v>
      </c>
      <c r="W1123" s="5" t="s">
        <v>12868</v>
      </c>
      <c r="X1123" s="5" t="s">
        <v>12868</v>
      </c>
      <c r="Y1123" s="4">
        <v>212</v>
      </c>
      <c r="Z1123" s="4">
        <v>132</v>
      </c>
      <c r="AA1123" s="4">
        <v>134</v>
      </c>
      <c r="AB1123" s="4">
        <v>2</v>
      </c>
      <c r="AC1123" s="4">
        <v>2</v>
      </c>
      <c r="AD1123" s="4">
        <v>6</v>
      </c>
      <c r="AE1123" s="4">
        <v>6</v>
      </c>
      <c r="AF1123" s="4">
        <v>4</v>
      </c>
      <c r="AG1123" s="4">
        <v>4</v>
      </c>
      <c r="AH1123" s="4">
        <v>0</v>
      </c>
      <c r="AI1123" s="4">
        <v>0</v>
      </c>
      <c r="AJ1123" s="4">
        <v>3</v>
      </c>
      <c r="AK1123" s="4">
        <v>3</v>
      </c>
      <c r="AL1123" s="4">
        <v>1</v>
      </c>
      <c r="AM1123" s="4">
        <v>1</v>
      </c>
      <c r="AN1123" s="4">
        <v>0</v>
      </c>
      <c r="AO1123" s="4">
        <v>0</v>
      </c>
      <c r="AP1123" s="3" t="s">
        <v>59</v>
      </c>
      <c r="AQ1123" s="3" t="s">
        <v>59</v>
      </c>
      <c r="AS1123" s="6" t="str">
        <f>HYPERLINK("https://creighton-primo.hosted.exlibrisgroup.com/primo-explore/search?tab=default_tab&amp;search_scope=EVERYTHING&amp;vid=01CRU&amp;lang=en_US&amp;offset=0&amp;query=any,contains,991001567819702656","Catalog Record")</f>
        <v>Catalog Record</v>
      </c>
      <c r="AT1123" s="6" t="str">
        <f>HYPERLINK("http://www.worldcat.org/oclc/39533443","WorldCat Record")</f>
        <v>WorldCat Record</v>
      </c>
    </row>
    <row r="1124" spans="1:46" ht="48" customHeight="1" x14ac:dyDescent="0.25">
      <c r="A1124" s="7" t="s">
        <v>59</v>
      </c>
      <c r="B1124" s="2" t="s">
        <v>12869</v>
      </c>
      <c r="C1124" s="2" t="s">
        <v>12870</v>
      </c>
      <c r="D1124" s="2" t="s">
        <v>12871</v>
      </c>
      <c r="F1124" s="3" t="s">
        <v>59</v>
      </c>
      <c r="G1124" s="3" t="s">
        <v>60</v>
      </c>
      <c r="H1124" s="3" t="s">
        <v>59</v>
      </c>
      <c r="I1124" s="3" t="s">
        <v>59</v>
      </c>
      <c r="J1124" s="3" t="s">
        <v>61</v>
      </c>
      <c r="K1124" s="2" t="s">
        <v>12872</v>
      </c>
      <c r="L1124" s="2" t="s">
        <v>12826</v>
      </c>
      <c r="M1124" s="3" t="s">
        <v>1351</v>
      </c>
      <c r="O1124" s="3" t="s">
        <v>64</v>
      </c>
      <c r="P1124" s="3" t="s">
        <v>674</v>
      </c>
      <c r="R1124" s="3" t="s">
        <v>11989</v>
      </c>
      <c r="S1124" s="4">
        <v>3</v>
      </c>
      <c r="T1124" s="4">
        <v>3</v>
      </c>
      <c r="U1124" s="5" t="s">
        <v>1381</v>
      </c>
      <c r="V1124" s="5" t="s">
        <v>1381</v>
      </c>
      <c r="W1124" s="5" t="s">
        <v>12873</v>
      </c>
      <c r="X1124" s="5" t="s">
        <v>12873</v>
      </c>
      <c r="Y1124" s="4">
        <v>315</v>
      </c>
      <c r="Z1124" s="4">
        <v>216</v>
      </c>
      <c r="AA1124" s="4">
        <v>225</v>
      </c>
      <c r="AB1124" s="4">
        <v>3</v>
      </c>
      <c r="AC1124" s="4">
        <v>3</v>
      </c>
      <c r="AD1124" s="4">
        <v>10</v>
      </c>
      <c r="AE1124" s="4">
        <v>10</v>
      </c>
      <c r="AF1124" s="4">
        <v>5</v>
      </c>
      <c r="AG1124" s="4">
        <v>5</v>
      </c>
      <c r="AH1124" s="4">
        <v>3</v>
      </c>
      <c r="AI1124" s="4">
        <v>3</v>
      </c>
      <c r="AJ1124" s="4">
        <v>2</v>
      </c>
      <c r="AK1124" s="4">
        <v>2</v>
      </c>
      <c r="AL1124" s="4">
        <v>2</v>
      </c>
      <c r="AM1124" s="4">
        <v>2</v>
      </c>
      <c r="AN1124" s="4">
        <v>0</v>
      </c>
      <c r="AO1124" s="4">
        <v>0</v>
      </c>
      <c r="AP1124" s="3" t="s">
        <v>59</v>
      </c>
      <c r="AQ1124" s="3" t="s">
        <v>70</v>
      </c>
      <c r="AR1124" s="6" t="str">
        <f>HYPERLINK("http://catalog.hathitrust.org/Record/003885237","HathiTrust Record")</f>
        <v>HathiTrust Record</v>
      </c>
      <c r="AS1124" s="6" t="str">
        <f>HYPERLINK("https://creighton-primo.hosted.exlibrisgroup.com/primo-explore/search?tab=default_tab&amp;search_scope=EVERYTHING&amp;vid=01CRU&amp;lang=en_US&amp;offset=0&amp;query=any,contains,991000395059702656","Catalog Record")</f>
        <v>Catalog Record</v>
      </c>
      <c r="AT1124" s="6" t="str">
        <f>HYPERLINK("http://www.worldcat.org/oclc/52424637","WorldCat Record")</f>
        <v>WorldCat Record</v>
      </c>
    </row>
    <row r="1125" spans="1:46" ht="48" customHeight="1" x14ac:dyDescent="0.25">
      <c r="A1125" s="7" t="s">
        <v>59</v>
      </c>
      <c r="B1125" s="2" t="s">
        <v>12874</v>
      </c>
      <c r="C1125" s="2" t="s">
        <v>12875</v>
      </c>
      <c r="D1125" s="2" t="s">
        <v>12876</v>
      </c>
      <c r="F1125" s="3" t="s">
        <v>59</v>
      </c>
      <c r="G1125" s="3" t="s">
        <v>60</v>
      </c>
      <c r="H1125" s="3" t="s">
        <v>59</v>
      </c>
      <c r="I1125" s="3" t="s">
        <v>59</v>
      </c>
      <c r="J1125" s="3" t="s">
        <v>61</v>
      </c>
      <c r="K1125" s="2" t="s">
        <v>12877</v>
      </c>
      <c r="L1125" s="2" t="s">
        <v>12878</v>
      </c>
      <c r="M1125" s="3" t="s">
        <v>4596</v>
      </c>
      <c r="O1125" s="3" t="s">
        <v>64</v>
      </c>
      <c r="P1125" s="3" t="s">
        <v>115</v>
      </c>
      <c r="R1125" s="3" t="s">
        <v>11989</v>
      </c>
      <c r="S1125" s="4">
        <v>3</v>
      </c>
      <c r="T1125" s="4">
        <v>3</v>
      </c>
      <c r="U1125" s="5" t="s">
        <v>12879</v>
      </c>
      <c r="V1125" s="5" t="s">
        <v>12879</v>
      </c>
      <c r="W1125" s="5" t="s">
        <v>12880</v>
      </c>
      <c r="X1125" s="5" t="s">
        <v>12880</v>
      </c>
      <c r="Y1125" s="4">
        <v>244</v>
      </c>
      <c r="Z1125" s="4">
        <v>167</v>
      </c>
      <c r="AA1125" s="4">
        <v>551</v>
      </c>
      <c r="AB1125" s="4">
        <v>1</v>
      </c>
      <c r="AC1125" s="4">
        <v>5</v>
      </c>
      <c r="AD1125" s="4">
        <v>4</v>
      </c>
      <c r="AE1125" s="4">
        <v>24</v>
      </c>
      <c r="AF1125" s="4">
        <v>0</v>
      </c>
      <c r="AG1125" s="4">
        <v>7</v>
      </c>
      <c r="AH1125" s="4">
        <v>3</v>
      </c>
      <c r="AI1125" s="4">
        <v>8</v>
      </c>
      <c r="AJ1125" s="4">
        <v>2</v>
      </c>
      <c r="AK1125" s="4">
        <v>7</v>
      </c>
      <c r="AL1125" s="4">
        <v>0</v>
      </c>
      <c r="AM1125" s="4">
        <v>4</v>
      </c>
      <c r="AN1125" s="4">
        <v>0</v>
      </c>
      <c r="AO1125" s="4">
        <v>1</v>
      </c>
      <c r="AP1125" s="3" t="s">
        <v>59</v>
      </c>
      <c r="AQ1125" s="3" t="s">
        <v>59</v>
      </c>
      <c r="AS1125" s="6" t="str">
        <f>HYPERLINK("https://creighton-primo.hosted.exlibrisgroup.com/primo-explore/search?tab=default_tab&amp;search_scope=EVERYTHING&amp;vid=01CRU&amp;lang=en_US&amp;offset=0&amp;query=any,contains,991000462169702656","Catalog Record")</f>
        <v>Catalog Record</v>
      </c>
      <c r="AT1125" s="6" t="str">
        <f>HYPERLINK("http://www.worldcat.org/oclc/56324214","WorldCat Record")</f>
        <v>WorldCat Record</v>
      </c>
    </row>
    <row r="1126" spans="1:46" ht="48" customHeight="1" x14ac:dyDescent="0.25">
      <c r="A1126" s="7" t="s">
        <v>59</v>
      </c>
      <c r="B1126" s="2" t="s">
        <v>12881</v>
      </c>
      <c r="C1126" s="2" t="s">
        <v>12882</v>
      </c>
      <c r="D1126" s="2" t="s">
        <v>12883</v>
      </c>
      <c r="F1126" s="3" t="s">
        <v>59</v>
      </c>
      <c r="G1126" s="3" t="s">
        <v>60</v>
      </c>
      <c r="H1126" s="3" t="s">
        <v>59</v>
      </c>
      <c r="I1126" s="3" t="s">
        <v>59</v>
      </c>
      <c r="J1126" s="3" t="s">
        <v>3645</v>
      </c>
      <c r="K1126" s="2" t="s">
        <v>12884</v>
      </c>
      <c r="L1126" s="2" t="s">
        <v>12885</v>
      </c>
      <c r="M1126" s="3" t="s">
        <v>843</v>
      </c>
      <c r="O1126" s="3" t="s">
        <v>64</v>
      </c>
      <c r="P1126" s="3" t="s">
        <v>674</v>
      </c>
      <c r="R1126" s="3" t="s">
        <v>11989</v>
      </c>
      <c r="S1126" s="4">
        <v>0</v>
      </c>
      <c r="T1126" s="4">
        <v>0</v>
      </c>
      <c r="U1126" s="5" t="s">
        <v>12886</v>
      </c>
      <c r="V1126" s="5" t="s">
        <v>12886</v>
      </c>
      <c r="W1126" s="5" t="s">
        <v>12886</v>
      </c>
      <c r="X1126" s="5" t="s">
        <v>12886</v>
      </c>
      <c r="Y1126" s="4">
        <v>87</v>
      </c>
      <c r="Z1126" s="4">
        <v>63</v>
      </c>
      <c r="AA1126" s="4">
        <v>825</v>
      </c>
      <c r="AB1126" s="4">
        <v>1</v>
      </c>
      <c r="AC1126" s="4">
        <v>13</v>
      </c>
      <c r="AD1126" s="4">
        <v>2</v>
      </c>
      <c r="AE1126" s="4">
        <v>40</v>
      </c>
      <c r="AF1126" s="4">
        <v>1</v>
      </c>
      <c r="AG1126" s="4">
        <v>13</v>
      </c>
      <c r="AH1126" s="4">
        <v>1</v>
      </c>
      <c r="AI1126" s="4">
        <v>10</v>
      </c>
      <c r="AJ1126" s="4">
        <v>0</v>
      </c>
      <c r="AK1126" s="4">
        <v>11</v>
      </c>
      <c r="AL1126" s="4">
        <v>0</v>
      </c>
      <c r="AM1126" s="4">
        <v>11</v>
      </c>
      <c r="AN1126" s="4">
        <v>0</v>
      </c>
      <c r="AO1126" s="4">
        <v>1</v>
      </c>
      <c r="AP1126" s="3" t="s">
        <v>59</v>
      </c>
      <c r="AQ1126" s="3" t="s">
        <v>59</v>
      </c>
      <c r="AS1126" s="6" t="str">
        <f>HYPERLINK("https://creighton-primo.hosted.exlibrisgroup.com/primo-explore/search?tab=default_tab&amp;search_scope=EVERYTHING&amp;vid=01CRU&amp;lang=en_US&amp;offset=0&amp;query=any,contains,991001497919702656","Catalog Record")</f>
        <v>Catalog Record</v>
      </c>
      <c r="AT1126" s="6" t="str">
        <f>HYPERLINK("http://www.worldcat.org/oclc/275856893","WorldCat Record")</f>
        <v>WorldCat Record</v>
      </c>
    </row>
    <row r="1127" spans="1:46" ht="48" customHeight="1" x14ac:dyDescent="0.25">
      <c r="A1127" s="7" t="s">
        <v>59</v>
      </c>
      <c r="B1127" s="2" t="s">
        <v>12887</v>
      </c>
      <c r="C1127" s="2" t="s">
        <v>12888</v>
      </c>
      <c r="D1127" s="2" t="s">
        <v>12889</v>
      </c>
      <c r="F1127" s="3" t="s">
        <v>59</v>
      </c>
      <c r="G1127" s="3" t="s">
        <v>60</v>
      </c>
      <c r="H1127" s="3" t="s">
        <v>59</v>
      </c>
      <c r="I1127" s="3" t="s">
        <v>59</v>
      </c>
      <c r="J1127" s="3" t="s">
        <v>61</v>
      </c>
      <c r="L1127" s="2" t="s">
        <v>12890</v>
      </c>
      <c r="M1127" s="3" t="s">
        <v>1351</v>
      </c>
      <c r="N1127" s="2" t="s">
        <v>926</v>
      </c>
      <c r="O1127" s="3" t="s">
        <v>64</v>
      </c>
      <c r="P1127" s="3" t="s">
        <v>674</v>
      </c>
      <c r="R1127" s="3" t="s">
        <v>11989</v>
      </c>
      <c r="S1127" s="4">
        <v>0</v>
      </c>
      <c r="T1127" s="4">
        <v>0</v>
      </c>
      <c r="U1127" s="5" t="s">
        <v>1902</v>
      </c>
      <c r="V1127" s="5" t="s">
        <v>1902</v>
      </c>
      <c r="W1127" s="5" t="s">
        <v>12856</v>
      </c>
      <c r="X1127" s="5" t="s">
        <v>12856</v>
      </c>
      <c r="Y1127" s="4">
        <v>69</v>
      </c>
      <c r="Z1127" s="4">
        <v>59</v>
      </c>
      <c r="AA1127" s="4">
        <v>62</v>
      </c>
      <c r="AB1127" s="4">
        <v>1</v>
      </c>
      <c r="AC1127" s="4">
        <v>1</v>
      </c>
      <c r="AD1127" s="4">
        <v>0</v>
      </c>
      <c r="AE1127" s="4">
        <v>0</v>
      </c>
      <c r="AF1127" s="4">
        <v>0</v>
      </c>
      <c r="AG1127" s="4">
        <v>0</v>
      </c>
      <c r="AH1127" s="4">
        <v>0</v>
      </c>
      <c r="AI1127" s="4">
        <v>0</v>
      </c>
      <c r="AJ1127" s="4">
        <v>0</v>
      </c>
      <c r="AK1127" s="4">
        <v>0</v>
      </c>
      <c r="AL1127" s="4">
        <v>0</v>
      </c>
      <c r="AM1127" s="4">
        <v>0</v>
      </c>
      <c r="AN1127" s="4">
        <v>0</v>
      </c>
      <c r="AO1127" s="4">
        <v>0</v>
      </c>
      <c r="AP1127" s="3" t="s">
        <v>59</v>
      </c>
      <c r="AQ1127" s="3" t="s">
        <v>70</v>
      </c>
      <c r="AR1127" s="6" t="str">
        <f>HYPERLINK("http://catalog.hathitrust.org/Record/004768052","HathiTrust Record")</f>
        <v>HathiTrust Record</v>
      </c>
      <c r="AS1127" s="6" t="str">
        <f>HYPERLINK("https://creighton-primo.hosted.exlibrisgroup.com/primo-explore/search?tab=default_tab&amp;search_scope=EVERYTHING&amp;vid=01CRU&amp;lang=en_US&amp;offset=0&amp;query=any,contains,991000616699702656","Catalog Record")</f>
        <v>Catalog Record</v>
      </c>
      <c r="AT1127" s="6" t="str">
        <f>HYPERLINK("http://www.worldcat.org/oclc/56672473","WorldCat Record")</f>
        <v>WorldCat Record</v>
      </c>
    </row>
    <row r="1128" spans="1:46" ht="48" customHeight="1" x14ac:dyDescent="0.25">
      <c r="A1128" s="7" t="s">
        <v>59</v>
      </c>
      <c r="B1128" s="2" t="s">
        <v>12891</v>
      </c>
      <c r="C1128" s="2" t="s">
        <v>12892</v>
      </c>
      <c r="D1128" s="2" t="s">
        <v>12893</v>
      </c>
      <c r="F1128" s="3" t="s">
        <v>59</v>
      </c>
      <c r="G1128" s="3" t="s">
        <v>60</v>
      </c>
      <c r="H1128" s="3" t="s">
        <v>59</v>
      </c>
      <c r="I1128" s="3" t="s">
        <v>70</v>
      </c>
      <c r="J1128" s="3" t="s">
        <v>61</v>
      </c>
      <c r="K1128" s="2" t="s">
        <v>12894</v>
      </c>
      <c r="L1128" s="2" t="s">
        <v>12895</v>
      </c>
      <c r="M1128" s="3" t="s">
        <v>843</v>
      </c>
      <c r="N1128" s="2" t="s">
        <v>2933</v>
      </c>
      <c r="O1128" s="3" t="s">
        <v>64</v>
      </c>
      <c r="P1128" s="3" t="s">
        <v>264</v>
      </c>
      <c r="R1128" s="3" t="s">
        <v>11989</v>
      </c>
      <c r="S1128" s="4">
        <v>1</v>
      </c>
      <c r="T1128" s="4">
        <v>1</v>
      </c>
      <c r="U1128" s="5" t="s">
        <v>12122</v>
      </c>
      <c r="V1128" s="5" t="s">
        <v>12122</v>
      </c>
      <c r="W1128" s="5" t="s">
        <v>12675</v>
      </c>
      <c r="X1128" s="5" t="s">
        <v>12675</v>
      </c>
      <c r="Y1128" s="4">
        <v>192</v>
      </c>
      <c r="Z1128" s="4">
        <v>154</v>
      </c>
      <c r="AA1128" s="4">
        <v>1285</v>
      </c>
      <c r="AB1128" s="4">
        <v>2</v>
      </c>
      <c r="AC1128" s="4">
        <v>10</v>
      </c>
      <c r="AD1128" s="4">
        <v>8</v>
      </c>
      <c r="AE1128" s="4">
        <v>35</v>
      </c>
      <c r="AF1128" s="4">
        <v>3</v>
      </c>
      <c r="AG1128" s="4">
        <v>19</v>
      </c>
      <c r="AH1128" s="4">
        <v>2</v>
      </c>
      <c r="AI1128" s="4">
        <v>7</v>
      </c>
      <c r="AJ1128" s="4">
        <v>4</v>
      </c>
      <c r="AK1128" s="4">
        <v>11</v>
      </c>
      <c r="AL1128" s="4">
        <v>1</v>
      </c>
      <c r="AM1128" s="4">
        <v>7</v>
      </c>
      <c r="AN1128" s="4">
        <v>0</v>
      </c>
      <c r="AO1128" s="4">
        <v>0</v>
      </c>
      <c r="AP1128" s="3" t="s">
        <v>59</v>
      </c>
      <c r="AQ1128" s="3" t="s">
        <v>59</v>
      </c>
      <c r="AS1128" s="6" t="str">
        <f>HYPERLINK("https://creighton-primo.hosted.exlibrisgroup.com/primo-explore/search?tab=default_tab&amp;search_scope=EVERYTHING&amp;vid=01CRU&amp;lang=en_US&amp;offset=0&amp;query=any,contains,991000911139702656","Catalog Record")</f>
        <v>Catalog Record</v>
      </c>
      <c r="AT1128" s="6" t="str">
        <f>HYPERLINK("http://www.worldcat.org/oclc/86109933","WorldCat Record")</f>
        <v>WorldCat Record</v>
      </c>
    </row>
    <row r="1129" spans="1:46" ht="48" customHeight="1" x14ac:dyDescent="0.25">
      <c r="A1129" s="7" t="s">
        <v>59</v>
      </c>
      <c r="B1129" s="2" t="s">
        <v>12896</v>
      </c>
      <c r="C1129" s="2" t="s">
        <v>12897</v>
      </c>
      <c r="D1129" s="2" t="s">
        <v>12898</v>
      </c>
      <c r="F1129" s="3" t="s">
        <v>59</v>
      </c>
      <c r="G1129" s="3" t="s">
        <v>60</v>
      </c>
      <c r="H1129" s="3" t="s">
        <v>59</v>
      </c>
      <c r="I1129" s="3" t="s">
        <v>70</v>
      </c>
      <c r="J1129" s="3" t="s">
        <v>60</v>
      </c>
      <c r="L1129" s="2" t="s">
        <v>12899</v>
      </c>
      <c r="M1129" s="3" t="s">
        <v>1351</v>
      </c>
      <c r="N1129" s="2" t="s">
        <v>926</v>
      </c>
      <c r="O1129" s="3" t="s">
        <v>64</v>
      </c>
      <c r="P1129" s="3" t="s">
        <v>115</v>
      </c>
      <c r="R1129" s="3" t="s">
        <v>11989</v>
      </c>
      <c r="S1129" s="4">
        <v>2</v>
      </c>
      <c r="T1129" s="4">
        <v>2</v>
      </c>
      <c r="U1129" s="5" t="s">
        <v>5020</v>
      </c>
      <c r="V1129" s="5" t="s">
        <v>5020</v>
      </c>
      <c r="W1129" s="5" t="s">
        <v>12571</v>
      </c>
      <c r="X1129" s="5" t="s">
        <v>12571</v>
      </c>
      <c r="Y1129" s="4">
        <v>371</v>
      </c>
      <c r="Z1129" s="4">
        <v>270</v>
      </c>
      <c r="AA1129" s="4">
        <v>780</v>
      </c>
      <c r="AB1129" s="4">
        <v>2</v>
      </c>
      <c r="AC1129" s="4">
        <v>9</v>
      </c>
      <c r="AD1129" s="4">
        <v>7</v>
      </c>
      <c r="AE1129" s="4">
        <v>32</v>
      </c>
      <c r="AF1129" s="4">
        <v>3</v>
      </c>
      <c r="AG1129" s="4">
        <v>15</v>
      </c>
      <c r="AH1129" s="4">
        <v>2</v>
      </c>
      <c r="AI1129" s="4">
        <v>6</v>
      </c>
      <c r="AJ1129" s="4">
        <v>3</v>
      </c>
      <c r="AK1129" s="4">
        <v>11</v>
      </c>
      <c r="AL1129" s="4">
        <v>1</v>
      </c>
      <c r="AM1129" s="4">
        <v>7</v>
      </c>
      <c r="AN1129" s="4">
        <v>0</v>
      </c>
      <c r="AO1129" s="4">
        <v>0</v>
      </c>
      <c r="AP1129" s="3" t="s">
        <v>59</v>
      </c>
      <c r="AQ1129" s="3" t="s">
        <v>70</v>
      </c>
      <c r="AR1129" s="6" t="str">
        <f>HYPERLINK("http://catalog.hathitrust.org/Record/004377850","HathiTrust Record")</f>
        <v>HathiTrust Record</v>
      </c>
      <c r="AS1129" s="6" t="str">
        <f>HYPERLINK("https://creighton-primo.hosted.exlibrisgroup.com/primo-explore/search?tab=default_tab&amp;search_scope=EVERYTHING&amp;vid=01CRU&amp;lang=en_US&amp;offset=0&amp;query=any,contains,991000404209702656","Catalog Record")</f>
        <v>Catalog Record</v>
      </c>
      <c r="AT1129" s="6" t="str">
        <f>HYPERLINK("http://www.worldcat.org/oclc/52301796","WorldCat Record")</f>
        <v>WorldCat Record</v>
      </c>
    </row>
    <row r="1130" spans="1:46" ht="48" customHeight="1" x14ac:dyDescent="0.25">
      <c r="A1130" s="7" t="s">
        <v>59</v>
      </c>
      <c r="B1130" s="2" t="s">
        <v>12900</v>
      </c>
      <c r="C1130" s="2" t="s">
        <v>12901</v>
      </c>
      <c r="D1130" s="2" t="s">
        <v>12902</v>
      </c>
      <c r="F1130" s="3" t="s">
        <v>59</v>
      </c>
      <c r="G1130" s="3" t="s">
        <v>60</v>
      </c>
      <c r="H1130" s="3" t="s">
        <v>59</v>
      </c>
      <c r="I1130" s="3" t="s">
        <v>59</v>
      </c>
      <c r="J1130" s="3" t="s">
        <v>61</v>
      </c>
      <c r="L1130" s="2" t="s">
        <v>12903</v>
      </c>
      <c r="M1130" s="3" t="s">
        <v>925</v>
      </c>
      <c r="O1130" s="3" t="s">
        <v>64</v>
      </c>
      <c r="P1130" s="3" t="s">
        <v>5944</v>
      </c>
      <c r="R1130" s="3" t="s">
        <v>11989</v>
      </c>
      <c r="S1130" s="4">
        <v>14</v>
      </c>
      <c r="T1130" s="4">
        <v>14</v>
      </c>
      <c r="U1130" s="5" t="s">
        <v>12904</v>
      </c>
      <c r="V1130" s="5" t="s">
        <v>12904</v>
      </c>
      <c r="W1130" s="5" t="s">
        <v>12905</v>
      </c>
      <c r="X1130" s="5" t="s">
        <v>12905</v>
      </c>
      <c r="Y1130" s="4">
        <v>242</v>
      </c>
      <c r="Z1130" s="4">
        <v>184</v>
      </c>
      <c r="AA1130" s="4">
        <v>186</v>
      </c>
      <c r="AB1130" s="4">
        <v>3</v>
      </c>
      <c r="AC1130" s="4">
        <v>3</v>
      </c>
      <c r="AD1130" s="4">
        <v>8</v>
      </c>
      <c r="AE1130" s="4">
        <v>8</v>
      </c>
      <c r="AF1130" s="4">
        <v>3</v>
      </c>
      <c r="AG1130" s="4">
        <v>3</v>
      </c>
      <c r="AH1130" s="4">
        <v>3</v>
      </c>
      <c r="AI1130" s="4">
        <v>3</v>
      </c>
      <c r="AJ1130" s="4">
        <v>2</v>
      </c>
      <c r="AK1130" s="4">
        <v>2</v>
      </c>
      <c r="AL1130" s="4">
        <v>2</v>
      </c>
      <c r="AM1130" s="4">
        <v>2</v>
      </c>
      <c r="AN1130" s="4">
        <v>0</v>
      </c>
      <c r="AO1130" s="4">
        <v>0</v>
      </c>
      <c r="AP1130" s="3" t="s">
        <v>59</v>
      </c>
      <c r="AQ1130" s="3" t="s">
        <v>70</v>
      </c>
      <c r="AR1130" s="6" t="str">
        <f>HYPERLINK("http://catalog.hathitrust.org/Record/003244860","HathiTrust Record")</f>
        <v>HathiTrust Record</v>
      </c>
      <c r="AS1130" s="6" t="str">
        <f>HYPERLINK("https://creighton-primo.hosted.exlibrisgroup.com/primo-explore/search?tab=default_tab&amp;search_scope=EVERYTHING&amp;vid=01CRU&amp;lang=en_US&amp;offset=0&amp;query=any,contains,991001411659702656","Catalog Record")</f>
        <v>Catalog Record</v>
      </c>
      <c r="AT1130" s="6" t="str">
        <f>HYPERLINK("http://www.worldcat.org/oclc/36877397","WorldCat Record")</f>
        <v>WorldCat Record</v>
      </c>
    </row>
    <row r="1131" spans="1:46" ht="48" customHeight="1" x14ac:dyDescent="0.25">
      <c r="A1131" s="7" t="s">
        <v>59</v>
      </c>
      <c r="B1131" s="2" t="s">
        <v>12906</v>
      </c>
      <c r="C1131" s="2" t="s">
        <v>12907</v>
      </c>
      <c r="D1131" s="2" t="s">
        <v>12908</v>
      </c>
      <c r="F1131" s="3" t="s">
        <v>59</v>
      </c>
      <c r="G1131" s="3" t="s">
        <v>60</v>
      </c>
      <c r="H1131" s="3" t="s">
        <v>59</v>
      </c>
      <c r="I1131" s="3" t="s">
        <v>70</v>
      </c>
      <c r="J1131" s="3" t="s">
        <v>61</v>
      </c>
      <c r="L1131" s="2" t="s">
        <v>12909</v>
      </c>
      <c r="M1131" s="3" t="s">
        <v>175</v>
      </c>
      <c r="N1131" s="2" t="s">
        <v>926</v>
      </c>
      <c r="O1131" s="3" t="s">
        <v>64</v>
      </c>
      <c r="P1131" s="3" t="s">
        <v>264</v>
      </c>
      <c r="R1131" s="3" t="s">
        <v>11989</v>
      </c>
      <c r="S1131" s="4">
        <v>10</v>
      </c>
      <c r="T1131" s="4">
        <v>10</v>
      </c>
      <c r="U1131" s="5" t="s">
        <v>12910</v>
      </c>
      <c r="V1131" s="5" t="s">
        <v>12910</v>
      </c>
      <c r="W1131" s="5" t="s">
        <v>12911</v>
      </c>
      <c r="X1131" s="5" t="s">
        <v>12911</v>
      </c>
      <c r="Y1131" s="4">
        <v>295</v>
      </c>
      <c r="Z1131" s="4">
        <v>223</v>
      </c>
      <c r="AA1131" s="4">
        <v>589</v>
      </c>
      <c r="AB1131" s="4">
        <v>4</v>
      </c>
      <c r="AC1131" s="4">
        <v>7</v>
      </c>
      <c r="AD1131" s="4">
        <v>11</v>
      </c>
      <c r="AE1131" s="4">
        <v>21</v>
      </c>
      <c r="AF1131" s="4">
        <v>4</v>
      </c>
      <c r="AG1131" s="4">
        <v>12</v>
      </c>
      <c r="AH1131" s="4">
        <v>2</v>
      </c>
      <c r="AI1131" s="4">
        <v>3</v>
      </c>
      <c r="AJ1131" s="4">
        <v>6</v>
      </c>
      <c r="AK1131" s="4">
        <v>8</v>
      </c>
      <c r="AL1131" s="4">
        <v>3</v>
      </c>
      <c r="AM1131" s="4">
        <v>5</v>
      </c>
      <c r="AN1131" s="4">
        <v>0</v>
      </c>
      <c r="AO1131" s="4">
        <v>0</v>
      </c>
      <c r="AP1131" s="3" t="s">
        <v>59</v>
      </c>
      <c r="AQ1131" s="3" t="s">
        <v>70</v>
      </c>
      <c r="AR1131" s="6" t="str">
        <f>HYPERLINK("http://catalog.hathitrust.org/Record/004239944","HathiTrust Record")</f>
        <v>HathiTrust Record</v>
      </c>
      <c r="AS1131" s="6" t="str">
        <f>HYPERLINK("https://creighton-primo.hosted.exlibrisgroup.com/primo-explore/search?tab=default_tab&amp;search_scope=EVERYTHING&amp;vid=01CRU&amp;lang=en_US&amp;offset=0&amp;query=any,contains,991000797349702656","Catalog Record")</f>
        <v>Catalog Record</v>
      </c>
      <c r="AT1131" s="6" t="str">
        <f>HYPERLINK("http://www.worldcat.org/oclc/38603040","WorldCat Record")</f>
        <v>WorldCat Record</v>
      </c>
    </row>
    <row r="1132" spans="1:46" ht="48" customHeight="1" x14ac:dyDescent="0.25">
      <c r="A1132" s="7" t="s">
        <v>59</v>
      </c>
      <c r="B1132" s="2" t="s">
        <v>12912</v>
      </c>
      <c r="C1132" s="2" t="s">
        <v>12913</v>
      </c>
      <c r="D1132" s="2" t="s">
        <v>12914</v>
      </c>
      <c r="F1132" s="3" t="s">
        <v>59</v>
      </c>
      <c r="G1132" s="3" t="s">
        <v>60</v>
      </c>
      <c r="H1132" s="3" t="s">
        <v>59</v>
      </c>
      <c r="I1132" s="3" t="s">
        <v>70</v>
      </c>
      <c r="J1132" s="3" t="s">
        <v>61</v>
      </c>
      <c r="K1132" s="2" t="s">
        <v>12915</v>
      </c>
      <c r="L1132" s="2" t="s">
        <v>12916</v>
      </c>
      <c r="M1132" s="3" t="s">
        <v>604</v>
      </c>
      <c r="N1132" s="2" t="s">
        <v>114</v>
      </c>
      <c r="O1132" s="3" t="s">
        <v>64</v>
      </c>
      <c r="P1132" s="3" t="s">
        <v>115</v>
      </c>
      <c r="R1132" s="3" t="s">
        <v>11989</v>
      </c>
      <c r="S1132" s="4">
        <v>16</v>
      </c>
      <c r="T1132" s="4">
        <v>16</v>
      </c>
      <c r="U1132" s="5" t="s">
        <v>1143</v>
      </c>
      <c r="V1132" s="5" t="s">
        <v>1143</v>
      </c>
      <c r="W1132" s="5" t="s">
        <v>1448</v>
      </c>
      <c r="X1132" s="5" t="s">
        <v>1448</v>
      </c>
      <c r="Y1132" s="4">
        <v>261</v>
      </c>
      <c r="Z1132" s="4">
        <v>201</v>
      </c>
      <c r="AA1132" s="4">
        <v>390</v>
      </c>
      <c r="AB1132" s="4">
        <v>3</v>
      </c>
      <c r="AC1132" s="4">
        <v>6</v>
      </c>
      <c r="AD1132" s="4">
        <v>6</v>
      </c>
      <c r="AE1132" s="4">
        <v>10</v>
      </c>
      <c r="AF1132" s="4">
        <v>3</v>
      </c>
      <c r="AG1132" s="4">
        <v>4</v>
      </c>
      <c r="AH1132" s="4">
        <v>0</v>
      </c>
      <c r="AI1132" s="4">
        <v>1</v>
      </c>
      <c r="AJ1132" s="4">
        <v>1</v>
      </c>
      <c r="AK1132" s="4">
        <v>1</v>
      </c>
      <c r="AL1132" s="4">
        <v>2</v>
      </c>
      <c r="AM1132" s="4">
        <v>4</v>
      </c>
      <c r="AN1132" s="4">
        <v>0</v>
      </c>
      <c r="AO1132" s="4">
        <v>0</v>
      </c>
      <c r="AP1132" s="3" t="s">
        <v>59</v>
      </c>
      <c r="AQ1132" s="3" t="s">
        <v>59</v>
      </c>
      <c r="AS1132" s="6" t="str">
        <f>HYPERLINK("https://creighton-primo.hosted.exlibrisgroup.com/primo-explore/search?tab=default_tab&amp;search_scope=EVERYTHING&amp;vid=01CRU&amp;lang=en_US&amp;offset=0&amp;query=any,contains,991001401549702656","Catalog Record")</f>
        <v>Catalog Record</v>
      </c>
      <c r="AT1132" s="6" t="str">
        <f>HYPERLINK("http://www.worldcat.org/oclc/29954970","WorldCat Record")</f>
        <v>WorldCat Record</v>
      </c>
    </row>
    <row r="1133" spans="1:46" ht="48" customHeight="1" x14ac:dyDescent="0.25">
      <c r="A1133" s="7" t="s">
        <v>59</v>
      </c>
      <c r="B1133" s="2" t="s">
        <v>12917</v>
      </c>
      <c r="C1133" s="2" t="s">
        <v>12918</v>
      </c>
      <c r="D1133" s="2" t="s">
        <v>12919</v>
      </c>
      <c r="F1133" s="3" t="s">
        <v>59</v>
      </c>
      <c r="G1133" s="3" t="s">
        <v>60</v>
      </c>
      <c r="H1133" s="3" t="s">
        <v>59</v>
      </c>
      <c r="I1133" s="3" t="s">
        <v>59</v>
      </c>
      <c r="J1133" s="3" t="s">
        <v>61</v>
      </c>
      <c r="L1133" s="2" t="s">
        <v>12920</v>
      </c>
      <c r="M1133" s="3" t="s">
        <v>4596</v>
      </c>
      <c r="N1133" s="2" t="s">
        <v>114</v>
      </c>
      <c r="O1133" s="3" t="s">
        <v>64</v>
      </c>
      <c r="P1133" s="3" t="s">
        <v>115</v>
      </c>
      <c r="R1133" s="3" t="s">
        <v>11989</v>
      </c>
      <c r="S1133" s="4">
        <v>2</v>
      </c>
      <c r="T1133" s="4">
        <v>2</v>
      </c>
      <c r="U1133" s="5" t="s">
        <v>3487</v>
      </c>
      <c r="V1133" s="5" t="s">
        <v>3487</v>
      </c>
      <c r="W1133" s="5" t="s">
        <v>12921</v>
      </c>
      <c r="X1133" s="5" t="s">
        <v>12921</v>
      </c>
      <c r="Y1133" s="4">
        <v>216</v>
      </c>
      <c r="Z1133" s="4">
        <v>151</v>
      </c>
      <c r="AA1133" s="4">
        <v>174</v>
      </c>
      <c r="AB1133" s="4">
        <v>2</v>
      </c>
      <c r="AC1133" s="4">
        <v>2</v>
      </c>
      <c r="AD1133" s="4">
        <v>6</v>
      </c>
      <c r="AE1133" s="4">
        <v>8</v>
      </c>
      <c r="AF1133" s="4">
        <v>2</v>
      </c>
      <c r="AG1133" s="4">
        <v>2</v>
      </c>
      <c r="AH1133" s="4">
        <v>2</v>
      </c>
      <c r="AI1133" s="4">
        <v>3</v>
      </c>
      <c r="AJ1133" s="4">
        <v>2</v>
      </c>
      <c r="AK1133" s="4">
        <v>3</v>
      </c>
      <c r="AL1133" s="4">
        <v>1</v>
      </c>
      <c r="AM1133" s="4">
        <v>1</v>
      </c>
      <c r="AN1133" s="4">
        <v>0</v>
      </c>
      <c r="AO1133" s="4">
        <v>0</v>
      </c>
      <c r="AP1133" s="3" t="s">
        <v>59</v>
      </c>
      <c r="AQ1133" s="3" t="s">
        <v>70</v>
      </c>
      <c r="AR1133" s="6" t="str">
        <f>HYPERLINK("http://catalog.hathitrust.org/Record/004766430","HathiTrust Record")</f>
        <v>HathiTrust Record</v>
      </c>
      <c r="AS1133" s="6" t="str">
        <f>HYPERLINK("https://creighton-primo.hosted.exlibrisgroup.com/primo-explore/search?tab=default_tab&amp;search_scope=EVERYTHING&amp;vid=01CRU&amp;lang=en_US&amp;offset=0&amp;query=any,contains,991000455929702656","Catalog Record")</f>
        <v>Catalog Record</v>
      </c>
      <c r="AT1133" s="6" t="str">
        <f>HYPERLINK("http://www.worldcat.org/oclc/54914260","WorldCat Record")</f>
        <v>WorldCat Record</v>
      </c>
    </row>
    <row r="1134" spans="1:46" ht="48" customHeight="1" x14ac:dyDescent="0.25">
      <c r="A1134" s="7" t="s">
        <v>59</v>
      </c>
      <c r="B1134" s="2" t="s">
        <v>12922</v>
      </c>
      <c r="C1134" s="2" t="s">
        <v>12923</v>
      </c>
      <c r="D1134" s="2" t="s">
        <v>12924</v>
      </c>
      <c r="F1134" s="3" t="s">
        <v>59</v>
      </c>
      <c r="G1134" s="3" t="s">
        <v>60</v>
      </c>
      <c r="H1134" s="3" t="s">
        <v>59</v>
      </c>
      <c r="I1134" s="3" t="s">
        <v>59</v>
      </c>
      <c r="J1134" s="3" t="s">
        <v>61</v>
      </c>
      <c r="L1134" s="2" t="s">
        <v>12925</v>
      </c>
      <c r="M1134" s="3" t="s">
        <v>2825</v>
      </c>
      <c r="O1134" s="3" t="s">
        <v>64</v>
      </c>
      <c r="P1134" s="3" t="s">
        <v>2140</v>
      </c>
      <c r="R1134" s="3" t="s">
        <v>11989</v>
      </c>
      <c r="S1134" s="4">
        <v>5</v>
      </c>
      <c r="T1134" s="4">
        <v>5</v>
      </c>
      <c r="U1134" s="5" t="s">
        <v>12590</v>
      </c>
      <c r="V1134" s="5" t="s">
        <v>12590</v>
      </c>
      <c r="W1134" s="5" t="s">
        <v>12926</v>
      </c>
      <c r="X1134" s="5" t="s">
        <v>12926</v>
      </c>
      <c r="Y1134" s="4">
        <v>261</v>
      </c>
      <c r="Z1134" s="4">
        <v>177</v>
      </c>
      <c r="AA1134" s="4">
        <v>232</v>
      </c>
      <c r="AB1134" s="4">
        <v>2</v>
      </c>
      <c r="AC1134" s="4">
        <v>2</v>
      </c>
      <c r="AD1134" s="4">
        <v>8</v>
      </c>
      <c r="AE1134" s="4">
        <v>9</v>
      </c>
      <c r="AF1134" s="4">
        <v>5</v>
      </c>
      <c r="AG1134" s="4">
        <v>5</v>
      </c>
      <c r="AH1134" s="4">
        <v>1</v>
      </c>
      <c r="AI1134" s="4">
        <v>2</v>
      </c>
      <c r="AJ1134" s="4">
        <v>2</v>
      </c>
      <c r="AK1134" s="4">
        <v>2</v>
      </c>
      <c r="AL1134" s="4">
        <v>1</v>
      </c>
      <c r="AM1134" s="4">
        <v>1</v>
      </c>
      <c r="AN1134" s="4">
        <v>0</v>
      </c>
      <c r="AO1134" s="4">
        <v>0</v>
      </c>
      <c r="AP1134" s="3" t="s">
        <v>59</v>
      </c>
      <c r="AQ1134" s="3" t="s">
        <v>70</v>
      </c>
      <c r="AR1134" s="6" t="str">
        <f>HYPERLINK("http://catalog.hathitrust.org/Record/005675330","HathiTrust Record")</f>
        <v>HathiTrust Record</v>
      </c>
      <c r="AS1134" s="6" t="str">
        <f>HYPERLINK("https://creighton-primo.hosted.exlibrisgroup.com/primo-explore/search?tab=default_tab&amp;search_scope=EVERYTHING&amp;vid=01CRU&amp;lang=en_US&amp;offset=0&amp;query=any,contains,991000666259702656","Catalog Record")</f>
        <v>Catalog Record</v>
      </c>
      <c r="AT1134" s="6" t="str">
        <f>HYPERLINK("http://www.worldcat.org/oclc/76805471","WorldCat Record")</f>
        <v>WorldCat Record</v>
      </c>
    </row>
    <row r="1135" spans="1:46" ht="48" customHeight="1" x14ac:dyDescent="0.25">
      <c r="A1135" s="7" t="s">
        <v>59</v>
      </c>
      <c r="B1135" s="2" t="s">
        <v>12927</v>
      </c>
      <c r="C1135" s="2" t="s">
        <v>12928</v>
      </c>
      <c r="D1135" s="2" t="s">
        <v>12929</v>
      </c>
      <c r="F1135" s="3" t="s">
        <v>59</v>
      </c>
      <c r="G1135" s="3" t="s">
        <v>60</v>
      </c>
      <c r="H1135" s="3" t="s">
        <v>70</v>
      </c>
      <c r="I1135" s="3" t="s">
        <v>59</v>
      </c>
      <c r="J1135" s="3" t="s">
        <v>61</v>
      </c>
      <c r="K1135" s="2" t="s">
        <v>12930</v>
      </c>
      <c r="L1135" s="2" t="s">
        <v>12931</v>
      </c>
      <c r="M1135" s="3" t="s">
        <v>3113</v>
      </c>
      <c r="N1135" s="2" t="s">
        <v>114</v>
      </c>
      <c r="O1135" s="3" t="s">
        <v>64</v>
      </c>
      <c r="P1135" s="3" t="s">
        <v>115</v>
      </c>
      <c r="R1135" s="3" t="s">
        <v>11989</v>
      </c>
      <c r="S1135" s="4">
        <v>2</v>
      </c>
      <c r="T1135" s="4">
        <v>4</v>
      </c>
      <c r="U1135" s="5" t="s">
        <v>4501</v>
      </c>
      <c r="V1135" s="5" t="s">
        <v>4501</v>
      </c>
      <c r="W1135" s="5" t="s">
        <v>12932</v>
      </c>
      <c r="X1135" s="5" t="s">
        <v>12933</v>
      </c>
      <c r="Y1135" s="4">
        <v>249</v>
      </c>
      <c r="Z1135" s="4">
        <v>211</v>
      </c>
      <c r="AA1135" s="4">
        <v>393</v>
      </c>
      <c r="AB1135" s="4">
        <v>3</v>
      </c>
      <c r="AC1135" s="4">
        <v>5</v>
      </c>
      <c r="AD1135" s="4">
        <v>8</v>
      </c>
      <c r="AE1135" s="4">
        <v>16</v>
      </c>
      <c r="AF1135" s="4">
        <v>3</v>
      </c>
      <c r="AG1135" s="4">
        <v>8</v>
      </c>
      <c r="AH1135" s="4">
        <v>2</v>
      </c>
      <c r="AI1135" s="4">
        <v>4</v>
      </c>
      <c r="AJ1135" s="4">
        <v>4</v>
      </c>
      <c r="AK1135" s="4">
        <v>6</v>
      </c>
      <c r="AL1135" s="4">
        <v>1</v>
      </c>
      <c r="AM1135" s="4">
        <v>3</v>
      </c>
      <c r="AN1135" s="4">
        <v>0</v>
      </c>
      <c r="AO1135" s="4">
        <v>0</v>
      </c>
      <c r="AP1135" s="3" t="s">
        <v>59</v>
      </c>
      <c r="AQ1135" s="3" t="s">
        <v>59</v>
      </c>
      <c r="AS1135" s="6" t="str">
        <f>HYPERLINK("https://creighton-primo.hosted.exlibrisgroup.com/primo-explore/search?tab=default_tab&amp;search_scope=EVERYTHING&amp;vid=01CRU&amp;lang=en_US&amp;offset=0&amp;query=any,contains,991001712129702656","Catalog Record")</f>
        <v>Catalog Record</v>
      </c>
      <c r="AT1135" s="6" t="str">
        <f>HYPERLINK("http://www.worldcat.org/oclc/46713179","WorldCat Record")</f>
        <v>WorldCat Record</v>
      </c>
    </row>
    <row r="1136" spans="1:46" ht="48" customHeight="1" x14ac:dyDescent="0.25">
      <c r="A1136" s="7" t="s">
        <v>59</v>
      </c>
      <c r="B1136" s="2" t="s">
        <v>12934</v>
      </c>
      <c r="C1136" s="2" t="s">
        <v>12935</v>
      </c>
      <c r="D1136" s="2" t="s">
        <v>12936</v>
      </c>
      <c r="F1136" s="3" t="s">
        <v>59</v>
      </c>
      <c r="G1136" s="3" t="s">
        <v>60</v>
      </c>
      <c r="H1136" s="3" t="s">
        <v>59</v>
      </c>
      <c r="I1136" s="3" t="s">
        <v>70</v>
      </c>
      <c r="J1136" s="3" t="s">
        <v>61</v>
      </c>
      <c r="K1136" s="2" t="s">
        <v>12930</v>
      </c>
      <c r="L1136" s="2" t="s">
        <v>12937</v>
      </c>
      <c r="M1136" s="3" t="s">
        <v>175</v>
      </c>
      <c r="N1136" s="2" t="s">
        <v>114</v>
      </c>
      <c r="O1136" s="3" t="s">
        <v>64</v>
      </c>
      <c r="P1136" s="3" t="s">
        <v>115</v>
      </c>
      <c r="R1136" s="3" t="s">
        <v>11989</v>
      </c>
      <c r="S1136" s="4">
        <v>14</v>
      </c>
      <c r="T1136" s="4">
        <v>14</v>
      </c>
      <c r="U1136" s="5" t="s">
        <v>12938</v>
      </c>
      <c r="V1136" s="5" t="s">
        <v>12938</v>
      </c>
      <c r="W1136" s="5" t="s">
        <v>12939</v>
      </c>
      <c r="X1136" s="5" t="s">
        <v>12939</v>
      </c>
      <c r="Y1136" s="4">
        <v>240</v>
      </c>
      <c r="Z1136" s="4">
        <v>212</v>
      </c>
      <c r="AA1136" s="4">
        <v>466</v>
      </c>
      <c r="AB1136" s="4">
        <v>1</v>
      </c>
      <c r="AC1136" s="4">
        <v>5</v>
      </c>
      <c r="AD1136" s="4">
        <v>5</v>
      </c>
      <c r="AE1136" s="4">
        <v>9</v>
      </c>
      <c r="AF1136" s="4">
        <v>3</v>
      </c>
      <c r="AG1136" s="4">
        <v>4</v>
      </c>
      <c r="AH1136" s="4">
        <v>3</v>
      </c>
      <c r="AI1136" s="4">
        <v>3</v>
      </c>
      <c r="AJ1136" s="4">
        <v>1</v>
      </c>
      <c r="AK1136" s="4">
        <v>1</v>
      </c>
      <c r="AL1136" s="4">
        <v>0</v>
      </c>
      <c r="AM1136" s="4">
        <v>3</v>
      </c>
      <c r="AN1136" s="4">
        <v>0</v>
      </c>
      <c r="AO1136" s="4">
        <v>0</v>
      </c>
      <c r="AP1136" s="3" t="s">
        <v>59</v>
      </c>
      <c r="AQ1136" s="3" t="s">
        <v>70</v>
      </c>
      <c r="AR1136" s="6" t="str">
        <f>HYPERLINK("http://catalog.hathitrust.org/Record/003271024","HathiTrust Record")</f>
        <v>HathiTrust Record</v>
      </c>
      <c r="AS1136" s="6" t="str">
        <f>HYPERLINK("https://creighton-primo.hosted.exlibrisgroup.com/primo-explore/search?tab=default_tab&amp;search_scope=EVERYTHING&amp;vid=01CRU&amp;lang=en_US&amp;offset=0&amp;query=any,contains,991001570489702656","Catalog Record")</f>
        <v>Catalog Record</v>
      </c>
      <c r="AT1136" s="6" t="str">
        <f>HYPERLINK("http://www.worldcat.org/oclc/38603038","WorldCat Record")</f>
        <v>WorldCat Record</v>
      </c>
    </row>
    <row r="1137" spans="1:46" ht="48" customHeight="1" x14ac:dyDescent="0.25">
      <c r="A1137" s="7" t="s">
        <v>59</v>
      </c>
      <c r="B1137" s="2" t="s">
        <v>12940</v>
      </c>
      <c r="C1137" s="2" t="s">
        <v>12941</v>
      </c>
      <c r="D1137" s="2" t="s">
        <v>12942</v>
      </c>
      <c r="F1137" s="3" t="s">
        <v>59</v>
      </c>
      <c r="G1137" s="3" t="s">
        <v>60</v>
      </c>
      <c r="H1137" s="3" t="s">
        <v>59</v>
      </c>
      <c r="I1137" s="3" t="s">
        <v>70</v>
      </c>
      <c r="J1137" s="3" t="s">
        <v>61</v>
      </c>
      <c r="L1137" s="2" t="s">
        <v>12943</v>
      </c>
      <c r="M1137" s="3" t="s">
        <v>1817</v>
      </c>
      <c r="N1137" s="2" t="s">
        <v>2933</v>
      </c>
      <c r="O1137" s="3" t="s">
        <v>64</v>
      </c>
      <c r="P1137" s="3" t="s">
        <v>264</v>
      </c>
      <c r="R1137" s="3" t="s">
        <v>11989</v>
      </c>
      <c r="S1137" s="4">
        <v>2</v>
      </c>
      <c r="T1137" s="4">
        <v>2</v>
      </c>
      <c r="U1137" s="5" t="s">
        <v>12377</v>
      </c>
      <c r="V1137" s="5" t="s">
        <v>12377</v>
      </c>
      <c r="W1137" s="5" t="s">
        <v>12944</v>
      </c>
      <c r="X1137" s="5" t="s">
        <v>12944</v>
      </c>
      <c r="Y1137" s="4">
        <v>145</v>
      </c>
      <c r="Z1137" s="4">
        <v>124</v>
      </c>
      <c r="AA1137" s="4">
        <v>687</v>
      </c>
      <c r="AB1137" s="4">
        <v>1</v>
      </c>
      <c r="AC1137" s="4">
        <v>8</v>
      </c>
      <c r="AD1137" s="4">
        <v>5</v>
      </c>
      <c r="AE1137" s="4">
        <v>25</v>
      </c>
      <c r="AF1137" s="4">
        <v>4</v>
      </c>
      <c r="AG1137" s="4">
        <v>12</v>
      </c>
      <c r="AH1137" s="4">
        <v>1</v>
      </c>
      <c r="AI1137" s="4">
        <v>5</v>
      </c>
      <c r="AJ1137" s="4">
        <v>1</v>
      </c>
      <c r="AK1137" s="4">
        <v>7</v>
      </c>
      <c r="AL1137" s="4">
        <v>0</v>
      </c>
      <c r="AM1137" s="4">
        <v>6</v>
      </c>
      <c r="AN1137" s="4">
        <v>0</v>
      </c>
      <c r="AO1137" s="4">
        <v>0</v>
      </c>
      <c r="AP1137" s="3" t="s">
        <v>59</v>
      </c>
      <c r="AQ1137" s="3" t="s">
        <v>59</v>
      </c>
      <c r="AS1137" s="6" t="str">
        <f>HYPERLINK("https://creighton-primo.hosted.exlibrisgroup.com/primo-explore/search?tab=default_tab&amp;search_scope=EVERYTHING&amp;vid=01CRU&amp;lang=en_US&amp;offset=0&amp;query=any,contains,991000384359702656","Catalog Record")</f>
        <v>Catalog Record</v>
      </c>
      <c r="AT1137" s="6" t="str">
        <f>HYPERLINK("http://www.worldcat.org/oclc/48957905","WorldCat Record")</f>
        <v>WorldCat Record</v>
      </c>
    </row>
    <row r="1138" spans="1:46" ht="48" customHeight="1" x14ac:dyDescent="0.25">
      <c r="A1138" s="7" t="s">
        <v>59</v>
      </c>
      <c r="B1138" s="2" t="s">
        <v>12945</v>
      </c>
      <c r="C1138" s="2" t="s">
        <v>12946</v>
      </c>
      <c r="D1138" s="2" t="s">
        <v>12947</v>
      </c>
      <c r="F1138" s="3" t="s">
        <v>59</v>
      </c>
      <c r="G1138" s="3" t="s">
        <v>60</v>
      </c>
      <c r="H1138" s="3" t="s">
        <v>59</v>
      </c>
      <c r="I1138" s="3" t="s">
        <v>59</v>
      </c>
      <c r="J1138" s="3" t="s">
        <v>61</v>
      </c>
      <c r="K1138" s="2" t="s">
        <v>12948</v>
      </c>
      <c r="L1138" s="2" t="s">
        <v>12943</v>
      </c>
      <c r="M1138" s="3" t="s">
        <v>1817</v>
      </c>
      <c r="O1138" s="3" t="s">
        <v>64</v>
      </c>
      <c r="P1138" s="3" t="s">
        <v>264</v>
      </c>
      <c r="R1138" s="3" t="s">
        <v>11989</v>
      </c>
      <c r="S1138" s="4">
        <v>0</v>
      </c>
      <c r="T1138" s="4">
        <v>0</v>
      </c>
      <c r="U1138" s="5" t="s">
        <v>12949</v>
      </c>
      <c r="V1138" s="5" t="s">
        <v>12949</v>
      </c>
      <c r="W1138" s="5" t="s">
        <v>12944</v>
      </c>
      <c r="X1138" s="5" t="s">
        <v>12944</v>
      </c>
      <c r="Y1138" s="4">
        <v>31</v>
      </c>
      <c r="Z1138" s="4">
        <v>27</v>
      </c>
      <c r="AA1138" s="4">
        <v>27</v>
      </c>
      <c r="AB1138" s="4">
        <v>1</v>
      </c>
      <c r="AC1138" s="4">
        <v>1</v>
      </c>
      <c r="AD1138" s="4">
        <v>1</v>
      </c>
      <c r="AE1138" s="4">
        <v>1</v>
      </c>
      <c r="AF1138" s="4">
        <v>0</v>
      </c>
      <c r="AG1138" s="4">
        <v>0</v>
      </c>
      <c r="AH1138" s="4">
        <v>1</v>
      </c>
      <c r="AI1138" s="4">
        <v>1</v>
      </c>
      <c r="AJ1138" s="4">
        <v>1</v>
      </c>
      <c r="AK1138" s="4">
        <v>1</v>
      </c>
      <c r="AL1138" s="4">
        <v>0</v>
      </c>
      <c r="AM1138" s="4">
        <v>0</v>
      </c>
      <c r="AN1138" s="4">
        <v>0</v>
      </c>
      <c r="AO1138" s="4">
        <v>0</v>
      </c>
      <c r="AP1138" s="3" t="s">
        <v>59</v>
      </c>
      <c r="AQ1138" s="3" t="s">
        <v>59</v>
      </c>
      <c r="AS1138" s="6" t="str">
        <f>HYPERLINK("https://creighton-primo.hosted.exlibrisgroup.com/primo-explore/search?tab=default_tab&amp;search_scope=EVERYTHING&amp;vid=01CRU&amp;lang=en_US&amp;offset=0&amp;query=any,contains,991000384389702656","Catalog Record")</f>
        <v>Catalog Record</v>
      </c>
      <c r="AT1138" s="6" t="str">
        <f>HYPERLINK("http://www.worldcat.org/oclc/50997558","WorldCat Record")</f>
        <v>WorldCat Record</v>
      </c>
    </row>
  </sheetData>
  <sheetProtection sheet="1" objects="1" scenarios="1"/>
  <protectedRanges>
    <protectedRange sqref="A2:A1138" name="Range1"/>
    <protectedRange sqref="A1" name="Range1_1"/>
  </protectedRanges>
  <dataValidations count="1">
    <dataValidation type="list" allowBlank="1" showInputMessage="1" showErrorMessage="1" sqref="A2:A1138" xr:uid="{22457D5E-3EB8-4192-A1F7-8539C72B0FAA}">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530AC973-6AEB-4929-9295-FDBEBA4055D6}"/>
</file>

<file path=customXml/itemProps2.xml><?xml version="1.0" encoding="utf-8"?>
<ds:datastoreItem xmlns:ds="http://schemas.openxmlformats.org/officeDocument/2006/customXml" ds:itemID="{4534E05F-92D4-420B-A205-D379857A1972}"/>
</file>

<file path=customXml/itemProps3.xml><?xml version="1.0" encoding="utf-8"?>
<ds:datastoreItem xmlns:ds="http://schemas.openxmlformats.org/officeDocument/2006/customXml" ds:itemID="{5369B8D2-4A96-4F18-BA25-0BC848DF84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2022-03-04T02:40:19Z</dcterms:created>
  <dcterms:modified xsi:type="dcterms:W3CDTF">2022-03-04T02:41:51Z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291100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